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slicers/slicer2.xml" ContentType="application/vnd.ms-excel.slicer+xml"/>
  <Override PartName="/xl/pivotTables/pivotTable1.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2.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drawings/drawing5.xml" ContentType="application/vnd.openxmlformats-officedocument.drawing+xml"/>
  <Override PartName="/xl/slicers/slicer5.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xl/drawings/drawing10.xml" ContentType="application/vnd.openxmlformats-officedocument.drawing+xml"/>
  <Override PartName="/xl/slicers/slicer7.xml" ContentType="application/vnd.ms-excel.slicer+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11.xml" ContentType="application/vnd.openxmlformats-officedocument.drawing+xml"/>
  <Override PartName="/xl/slicers/slicer8.xml" ContentType="application/vnd.ms-excel.slicer+xml"/>
  <Override PartName="/xl/drawings/drawing12.xml" ContentType="application/vnd.openxmlformats-officedocument.drawing+xml"/>
  <Override PartName="/xl/slicers/slicer9.xml" ContentType="application/vnd.ms-excel.slicer+xml"/>
  <Override PartName="/xl/drawings/drawing13.xml" ContentType="application/vnd.openxmlformats-officedocument.drawing+xml"/>
  <Override PartName="/xl/slicers/slicer10.xml" ContentType="application/vnd.ms-excel.slicer+xml"/>
  <Override PartName="/xl/pivotTables/pivotTable11.xml" ContentType="application/vnd.openxmlformats-officedocument.spreadsheetml.pivotTable+xml"/>
  <Override PartName="/xl/drawings/drawing14.xml" ContentType="application/vnd.openxmlformats-officedocument.drawing+xml"/>
  <Override PartName="/xl/slicers/slicer11.xml" ContentType="application/vnd.ms-excel.slicer+xml"/>
  <Override PartName="/xl/drawings/drawing15.xml" ContentType="application/vnd.openxmlformats-officedocument.drawing+xml"/>
  <Override PartName="/xl/slicers/slicer12.xml" ContentType="application/vnd.ms-excel.slicer+xml"/>
  <Override PartName="/xl/pivotTables/pivotTable12.xml" ContentType="application/vnd.openxmlformats-officedocument.spreadsheetml.pivotTable+xml"/>
  <Override PartName="/xl/drawings/drawing16.xml" ContentType="application/vnd.openxmlformats-officedocument.drawing+xml"/>
  <Override PartName="/xl/slicers/slicer13.xml" ContentType="application/vnd.ms-excel.slicer+xml"/>
  <Override PartName="/xl/drawings/drawing17.xml" ContentType="application/vnd.openxmlformats-officedocument.drawing+xml"/>
  <Override PartName="/xl/slicers/slicer14.xml" ContentType="application/vnd.ms-excel.slicer+xml"/>
  <Override PartName="/xl/pivotTables/pivotTable13.xml" ContentType="application/vnd.openxmlformats-officedocument.spreadsheetml.pivotTable+xml"/>
  <Override PartName="/xl/drawings/drawing18.xml" ContentType="application/vnd.openxmlformats-officedocument.drawing+xml"/>
  <Override PartName="/xl/slicers/slicer15.xml" ContentType="application/vnd.ms-excel.slicer+xml"/>
  <Override PartName="/xl/drawings/drawing19.xml" ContentType="application/vnd.openxmlformats-officedocument.drawing+xml"/>
  <Override PartName="/xl/slicers/slicer16.xml" ContentType="application/vnd.ms-excel.slicer+xml"/>
  <Override PartName="/xl/pivotTables/pivotTable14.xml" ContentType="application/vnd.openxmlformats-officedocument.spreadsheetml.pivotTable+xml"/>
  <Override PartName="/xl/drawings/drawing20.xml" ContentType="application/vnd.openxmlformats-officedocument.drawing+xml"/>
  <Override PartName="/xl/slicers/slicer17.xml" ContentType="application/vnd.ms-excel.slicer+xml"/>
  <Override PartName="/xl/drawings/drawing21.xml" ContentType="application/vnd.openxmlformats-officedocument.drawing+xml"/>
  <Override PartName="/xl/slicers/slicer18.xml" ContentType="application/vnd.ms-excel.slicer+xml"/>
  <Override PartName="/xl/pivotTables/pivotTable15.xml" ContentType="application/vnd.openxmlformats-officedocument.spreadsheetml.pivotTable+xml"/>
  <Override PartName="/xl/drawings/drawing22.xml" ContentType="application/vnd.openxmlformats-officedocument.drawing+xml"/>
  <Override PartName="/xl/slicers/slicer19.xml" ContentType="application/vnd.ms-excel.slicer+xml"/>
  <Override PartName="/xl/drawings/drawing23.xml" ContentType="application/vnd.openxmlformats-officedocument.drawing+xml"/>
  <Override PartName="/xl/slicers/slicer20.xml" ContentType="application/vnd.ms-excel.slicer+xml"/>
  <Override PartName="/xl/pivotTables/pivotTable16.xml" ContentType="application/vnd.openxmlformats-officedocument.spreadsheetml.pivotTable+xml"/>
  <Override PartName="/xl/drawings/drawing24.xml" ContentType="application/vnd.openxmlformats-officedocument.drawing+xml"/>
  <Override PartName="/xl/slicers/slicer21.xml" ContentType="application/vnd.ms-excel.slicer+xml"/>
  <Override PartName="/xl/drawings/drawing25.xml" ContentType="application/vnd.openxmlformats-officedocument.drawing+xml"/>
  <Override PartName="/xl/slicers/slicer22.xml" ContentType="application/vnd.ms-excel.slicer+xml"/>
  <Override PartName="/xl/pivotTables/pivotTable17.xml" ContentType="application/vnd.openxmlformats-officedocument.spreadsheetml.pivotTable+xml"/>
  <Override PartName="/xl/drawings/drawing26.xml" ContentType="application/vnd.openxmlformats-officedocument.drawing+xml"/>
  <Override PartName="/xl/slicers/slicer23.xml" ContentType="application/vnd.ms-excel.slicer+xml"/>
  <Override PartName="/xl/drawings/drawing27.xml" ContentType="application/vnd.openxmlformats-officedocument.drawing+xml"/>
  <Override PartName="/xl/slicers/slicer24.xml" ContentType="application/vnd.ms-excel.slicer+xml"/>
  <Override PartName="/xl/pivotTables/pivotTable18.xml" ContentType="application/vnd.openxmlformats-officedocument.spreadsheetml.pivotTable+xml"/>
  <Override PartName="/xl/drawings/drawing28.xml" ContentType="application/vnd.openxmlformats-officedocument.drawing+xml"/>
  <Override PartName="/xl/slicers/slicer25.xml" ContentType="application/vnd.ms-excel.slicer+xml"/>
  <Override PartName="/xl/pivotTables/pivotTable19.xml" ContentType="application/vnd.openxmlformats-officedocument.spreadsheetml.pivotTable+xml"/>
  <Override PartName="/xl/drawings/drawing29.xml" ContentType="application/vnd.openxmlformats-officedocument.drawing+xml"/>
  <Override PartName="/xl/slicers/slicer26.xml" ContentType="application/vnd.ms-excel.slicer+xml"/>
  <Override PartName="/xl/drawings/drawing30.xml" ContentType="application/vnd.openxmlformats-officedocument.drawing+xml"/>
  <Override PartName="/xl/slicers/slicer27.xml" ContentType="application/vnd.ms-excel.slicer+xml"/>
  <Override PartName="/xl/pivotTables/pivotTable20.xml" ContentType="application/vnd.openxmlformats-officedocument.spreadsheetml.pivotTable+xml"/>
  <Override PartName="/xl/drawings/drawing31.xml" ContentType="application/vnd.openxmlformats-officedocument.drawing+xml"/>
  <Override PartName="/xl/slicers/slicer28.xml" ContentType="application/vnd.ms-excel.slicer+xml"/>
  <Override PartName="/xl/drawings/drawing32.xml" ContentType="application/vnd.openxmlformats-officedocument.drawing+xml"/>
  <Override PartName="/xl/slicers/slicer29.xml" ContentType="application/vnd.ms-excel.slicer+xml"/>
  <Override PartName="/xl/pivotTables/pivotTable21.xml" ContentType="application/vnd.openxmlformats-officedocument.spreadsheetml.pivotTable+xml"/>
  <Override PartName="/xl/drawings/drawing33.xml" ContentType="application/vnd.openxmlformats-officedocument.drawing+xml"/>
  <Override PartName="/xl/slicers/slicer30.xml" ContentType="application/vnd.ms-excel.slicer+xml"/>
  <Override PartName="/xl/drawings/drawing34.xml" ContentType="application/vnd.openxmlformats-officedocument.drawing+xml"/>
  <Override PartName="/xl/slicers/slicer31.xml" ContentType="application/vnd.ms-excel.slicer+xml"/>
  <Override PartName="/xl/pivotTables/pivotTable22.xml" ContentType="application/vnd.openxmlformats-officedocument.spreadsheetml.pivotTable+xml"/>
  <Override PartName="/xl/drawings/drawing35.xml" ContentType="application/vnd.openxmlformats-officedocument.drawing+xml"/>
  <Override PartName="/xl/slicers/slicer32.xml" ContentType="application/vnd.ms-excel.slicer+xml"/>
  <Override PartName="/xl/drawings/drawing36.xml" ContentType="application/vnd.openxmlformats-officedocument.drawing+xml"/>
  <Override PartName="/xl/slicers/slicer33.xml" ContentType="application/vnd.ms-excel.slicer+xml"/>
  <Override PartName="/xl/pivotTables/pivotTable23.xml" ContentType="application/vnd.openxmlformats-officedocument.spreadsheetml.pivotTable+xml"/>
  <Override PartName="/xl/drawings/drawing37.xml" ContentType="application/vnd.openxmlformats-officedocument.drawing+xml"/>
  <Override PartName="/xl/slicers/slicer34.xml" ContentType="application/vnd.ms-excel.slicer+xml"/>
  <Override PartName="/xl/pivotTables/pivotTable24.xml" ContentType="application/vnd.openxmlformats-officedocument.spreadsheetml.pivotTable+xml"/>
  <Override PartName="/xl/drawings/drawing38.xml" ContentType="application/vnd.openxmlformats-officedocument.drawing+xml"/>
  <Override PartName="/xl/slicers/slicer35.xml" ContentType="application/vnd.ms-excel.slicer+xml"/>
  <Override PartName="/xl/drawings/drawing39.xml" ContentType="application/vnd.openxmlformats-officedocument.drawing+xml"/>
  <Override PartName="/xl/slicers/slicer36.xml" ContentType="application/vnd.ms-excel.slicer+xml"/>
  <Override PartName="/xl/pivotTables/pivotTable25.xml" ContentType="application/vnd.openxmlformats-officedocument.spreadsheetml.pivotTable+xml"/>
  <Override PartName="/xl/pivotTables/pivotTable26.xml" ContentType="application/vnd.openxmlformats-officedocument.spreadsheetml.pivotTable+xml"/>
  <Override PartName="/xl/drawings/drawing40.xml" ContentType="application/vnd.openxmlformats-officedocument.drawing+xml"/>
  <Override PartName="/xl/slicers/slicer37.xml" ContentType="application/vnd.ms-excel.slicer+xml"/>
  <Override PartName="/xl/drawings/drawing41.xml" ContentType="application/vnd.openxmlformats-officedocument.drawing+xml"/>
  <Override PartName="/xl/slicers/slicer38.xml" ContentType="application/vnd.ms-excel.slicer+xml"/>
  <Override PartName="/xl/pivotTables/pivotTable27.xml" ContentType="application/vnd.openxmlformats-officedocument.spreadsheetml.pivotTable+xml"/>
  <Override PartName="/xl/drawings/drawing42.xml" ContentType="application/vnd.openxmlformats-officedocument.drawing+xml"/>
  <Override PartName="/xl/slicers/slicer39.xml" ContentType="application/vnd.ms-excel.slicer+xml"/>
  <Override PartName="/xl/drawings/drawing43.xml" ContentType="application/vnd.openxmlformats-officedocument.drawing+xml"/>
  <Override PartName="/xl/slicers/slicer40.xml" ContentType="application/vnd.ms-excel.slicer+xml"/>
  <Override PartName="/xl/pivotTables/pivotTable28.xml" ContentType="application/vnd.openxmlformats-officedocument.spreadsheetml.pivotTable+xml"/>
  <Override PartName="/xl/drawings/drawing44.xml" ContentType="application/vnd.openxmlformats-officedocument.drawing+xml"/>
  <Override PartName="/xl/slicers/slicer41.xml" ContentType="application/vnd.ms-excel.slicer+xml"/>
  <Override PartName="/xl/drawings/drawing45.xml" ContentType="application/vnd.openxmlformats-officedocument.drawing+xml"/>
  <Override PartName="/xl/slicers/slicer42.xml" ContentType="application/vnd.ms-excel.slicer+xml"/>
  <Override PartName="/xl/pivotTables/pivotTable29.xml" ContentType="application/vnd.openxmlformats-officedocument.spreadsheetml.pivotTable+xml"/>
  <Override PartName="/xl/drawings/drawing46.xml" ContentType="application/vnd.openxmlformats-officedocument.drawing+xml"/>
  <Override PartName="/xl/slicers/slicer43.xml" ContentType="application/vnd.ms-excel.slicer+xml"/>
  <Override PartName="/xl/drawings/drawing47.xml" ContentType="application/vnd.openxmlformats-officedocument.drawing+xml"/>
  <Override PartName="/xl/slicers/slicer44.xml" ContentType="application/vnd.ms-excel.slicer+xml"/>
  <Override PartName="/xl/pivotTables/pivotTable30.xml" ContentType="application/vnd.openxmlformats-officedocument.spreadsheetml.pivotTable+xml"/>
  <Override PartName="/xl/drawings/drawing48.xml" ContentType="application/vnd.openxmlformats-officedocument.drawing+xml"/>
  <Override PartName="/xl/slicers/slicer45.xml" ContentType="application/vnd.ms-excel.slicer+xml"/>
  <Override PartName="/xl/drawings/drawing49.xml" ContentType="application/vnd.openxmlformats-officedocument.drawing+xml"/>
  <Override PartName="/xl/slicers/slicer46.xml" ContentType="application/vnd.ms-excel.slicer+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50.xml" ContentType="application/vnd.openxmlformats-officedocument.drawing+xml"/>
  <Override PartName="/xl/slicers/slicer47.xml" ContentType="application/vnd.ms-excel.slicer+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51.xml" ContentType="application/vnd.openxmlformats-officedocument.drawing+xml"/>
  <Override PartName="/xl/slicers/slicer48.xml" ContentType="application/vnd.ms-excel.slicer+xml"/>
  <Override PartName="/xl/pivotTables/pivotTable38.xml" ContentType="application/vnd.openxmlformats-officedocument.spreadsheetml.pivotTable+xml"/>
  <Override PartName="/xl/drawings/drawing52.xml" ContentType="application/vnd.openxmlformats-officedocument.drawing+xml"/>
  <Override PartName="/xl/slicers/slicer49.xml" ContentType="application/vnd.ms-excel.slicer+xml"/>
  <Override PartName="/xl/drawings/drawing53.xml" ContentType="application/vnd.openxmlformats-officedocument.drawing+xml"/>
  <Override PartName="/xl/slicers/slicer50.xml" ContentType="application/vnd.ms-excel.slicer+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drawings/drawing62.xml" ContentType="application/vnd.openxmlformats-officedocument.drawing+xml"/>
  <Override PartName="/xl/slicers/slicer51.xml" ContentType="application/vnd.ms-excel.slicer+xml"/>
  <Override PartName="/xl/drawings/drawing63.xml" ContentType="application/vnd.openxmlformats-officedocument.drawing+xml"/>
  <Override PartName="/xl/slicers/slicer52.xml" ContentType="application/vnd.ms-excel.slicer+xml"/>
  <Override PartName="/xl/drawings/drawing64.xml" ContentType="application/vnd.openxmlformats-officedocument.drawing+xml"/>
  <Override PartName="/xl/slicers/slicer53.xml" ContentType="application/vnd.ms-excel.slicer+xml"/>
  <Override PartName="/xl/drawings/drawing65.xml" ContentType="application/vnd.openxmlformats-officedocument.drawing+xml"/>
  <Override PartName="/xl/slicers/slicer54.xml" ContentType="application/vnd.ms-excel.slicer+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pivotTables/pivotTable61.xml" ContentType="application/vnd.openxmlformats-officedocument.spreadsheetml.pivotTable+xml"/>
  <Override PartName="/xl/pivotTables/pivotTable62.xml" ContentType="application/vnd.openxmlformats-officedocument.spreadsheetml.pivotTable+xml"/>
  <Override PartName="/xl/drawings/drawing79.xml" ContentType="application/vnd.openxmlformats-officedocument.drawing+xml"/>
  <Override PartName="/xl/slicers/slicer55.xml" ContentType="application/vnd.ms-excel.slicer+xml"/>
  <Override PartName="/xl/pivotTables/pivotTable63.xml" ContentType="application/vnd.openxmlformats-officedocument.spreadsheetml.pivotTable+xml"/>
  <Override PartName="/xl/drawings/drawing80.xml" ContentType="application/vnd.openxmlformats-officedocument.drawing+xml"/>
  <Override PartName="/xl/slicers/slicer56.xml" ContentType="application/vnd.ms-excel.slicer+xml"/>
  <Override PartName="/xl/pivotTables/pivotTable64.xml" ContentType="application/vnd.openxmlformats-officedocument.spreadsheetml.pivotTable+xml"/>
  <Override PartName="/xl/drawings/drawing81.xml" ContentType="application/vnd.openxmlformats-officedocument.drawing+xml"/>
  <Override PartName="/xl/slicers/slicer57.xml" ContentType="application/vnd.ms-excel.slicer+xml"/>
  <Override PartName="/xl/drawings/drawing82.xml" ContentType="application/vnd.openxmlformats-officedocument.drawing+xml"/>
  <Override PartName="/xl/slicers/slicer58.xml" ContentType="application/vnd.ms-excel.slicer+xml"/>
  <Override PartName="/xl/pivotTables/pivotTable65.xml" ContentType="application/vnd.openxmlformats-officedocument.spreadsheetml.pivotTable+xml"/>
  <Override PartName="/xl/drawings/drawing83.xml" ContentType="application/vnd.openxmlformats-officedocument.drawing+xml"/>
  <Override PartName="/xl/slicers/slicer59.xml" ContentType="application/vnd.ms-excel.slicer+xml"/>
  <Override PartName="/xl/drawings/drawing84.xml" ContentType="application/vnd.openxmlformats-officedocument.drawing+xml"/>
  <Override PartName="/xl/slicers/slicer60.xml" ContentType="application/vnd.ms-excel.slicer+xml"/>
  <Override PartName="/xl/pivotTables/pivotTable66.xml" ContentType="application/vnd.openxmlformats-officedocument.spreadsheetml.pivotTable+xml"/>
  <Override PartName="/xl/pivotTables/pivotTable67.xml" ContentType="application/vnd.openxmlformats-officedocument.spreadsheetml.pivotTable+xml"/>
  <Override PartName="/xl/drawings/drawing85.xml" ContentType="application/vnd.openxmlformats-officedocument.drawing+xml"/>
  <Override PartName="/xl/slicers/slicer61.xml" ContentType="application/vnd.ms-excel.slicer+xml"/>
  <Override PartName="/xl/drawings/drawing86.xml" ContentType="application/vnd.openxmlformats-officedocument.drawing+xml"/>
  <Override PartName="/xl/slicers/slicer62.xml" ContentType="application/vnd.ms-excel.slicer+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44.xml" ContentType="application/vnd.openxmlformats-officedocument.spreadsheetml.table+xml"/>
  <Override PartName="/xl/tables/table51.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45.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46.xml" ContentType="application/vnd.openxmlformats-officedocument.spreadsheetml.table+xml"/>
  <Override PartName="/xl/tables/table69.xml" ContentType="application/vnd.openxmlformats-officedocument.spreadsheetml.table+xml"/>
  <Override PartName="/xl/tables/table73.xml" ContentType="application/vnd.openxmlformats-officedocument.spreadsheetml.table+xml"/>
  <Override PartName="/xl/tables/table41.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39.xml" ContentType="application/vnd.openxmlformats-officedocument.spreadsheetml.table+xml"/>
  <Override PartName="/xl/tables/table52.xml" ContentType="application/vnd.openxmlformats-officedocument.spreadsheetml.table+xml"/>
  <Override PartName="/xl/tables/table76.xml" ContentType="application/vnd.openxmlformats-officedocument.spreadsheetml.table+xml"/>
  <Override PartName="/xl/tables/table40.xml" ContentType="application/vnd.openxmlformats-officedocument.spreadsheetml.table+xml"/>
  <Override PartName="/xl/tables/table53.xml" ContentType="application/vnd.openxmlformats-officedocument.spreadsheetml.table+xml"/>
  <Override PartName="/xl/tables/table77.xml" ContentType="application/vnd.openxmlformats-officedocument.spreadsheetml.table+xml"/>
  <Override PartName="/xl/tables/table54.xml" ContentType="application/vnd.openxmlformats-officedocument.spreadsheetml.table+xml"/>
  <Override PartName="/xl/queryTables/queryTable1.xml" ContentType="application/vnd.openxmlformats-officedocument.spreadsheetml.queryTable+xml"/>
  <Override PartName="/xl/tables/table78.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5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38.xml" ContentType="application/vnd.openxmlformats-officedocument.spreadsheetml.table+xml"/>
  <Override PartName="/xl/tables/table58.xml" ContentType="application/vnd.openxmlformats-officedocument.spreadsheetml.table+xml"/>
  <Override PartName="/xl/tables/table47.xml" ContentType="application/vnd.openxmlformats-officedocument.spreadsheetml.table+xml"/>
  <Override PartName="/xl/tables/table59.xml" ContentType="application/vnd.openxmlformats-officedocument.spreadsheetml.table+xml"/>
  <Override PartName="/xl/tables/table48.xml" ContentType="application/vnd.openxmlformats-officedocument.spreadsheetml.table+xml"/>
  <Override PartName="/xl/tables/table60.xml" ContentType="application/vnd.openxmlformats-officedocument.spreadsheetml.table+xml"/>
  <Override PartName="/xl/tables/table49.xml" ContentType="application/vnd.openxmlformats-officedocument.spreadsheetml.table+xml"/>
  <Override PartName="/xl/tables/table61.xml" ContentType="application/vnd.openxmlformats-officedocument.spreadsheetml.table+xml"/>
  <Override PartName="/xl/tables/table50.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firescotland-my.sharepoint.com/personal/morag_allan_firescotland_gov_uk/Documents/Desktop/"/>
    </mc:Choice>
  </mc:AlternateContent>
  <xr:revisionPtr revIDLastSave="0" documentId="8_{6393785C-43D9-4102-AD13-C53E25BD2D63}" xr6:coauthVersionLast="47" xr6:coauthVersionMax="47" xr10:uidLastSave="{00000000-0000-0000-0000-000000000000}"/>
  <workbookProtection workbookAlgorithmName="SHA-512" workbookHashValue="MdOwt5kKohPqOLnavyTP1d2KZ7CqnmIBvgwvbxTh2uzlGLn3XqMaXM4KclLdTokIEA9fQsLLxKGWRsujT/OWoQ==" workbookSaltValue="JHydTvchB3G24WBJjWE2Ng==" workbookSpinCount="100000" lockStructure="1"/>
  <bookViews>
    <workbookView xWindow="23880" yWindow="-120" windowWidth="24240" windowHeight="13140" tabRatio="908" xr2:uid="{00000000-000D-0000-FFFF-FFFF00000000}"/>
  </bookViews>
  <sheets>
    <sheet name="Information" sheetId="4" r:id="rId1"/>
    <sheet name="Table of Contents" sheetId="99" r:id="rId2"/>
    <sheet name="Structure" sheetId="38" r:id="rId3"/>
    <sheet name="Crewing Model" sheetId="100" r:id="rId4"/>
    <sheet name="Crewing Model - Area" sheetId="23" r:id="rId5"/>
    <sheet name="CrewingModelAreaPivot" sheetId="223" state="hidden" r:id="rId6"/>
    <sheet name="CrewingModelAreaData" sheetId="221" state="hidden" r:id="rId7"/>
    <sheet name="Primary Crewing" sheetId="22" r:id="rId8"/>
    <sheet name="PrimaryCrewingAreaPivot" sheetId="226" state="hidden" r:id="rId9"/>
    <sheet name="PrimaryCrewingAreaData" sheetId="224" state="hidden" r:id="rId10"/>
    <sheet name="Primary Crewing - Area" sheetId="101" r:id="rId11"/>
    <sheet name="Crewing Level" sheetId="124" r:id="rId12"/>
    <sheet name="CapabilitiesData" sheetId="230" state="hidden" r:id="rId13"/>
    <sheet name="CapabilitiesPivot" sheetId="231" state="hidden" r:id="rId14"/>
    <sheet name="Capabilities" sheetId="114" r:id="rId15"/>
    <sheet name="Chart - Station Type" sheetId="92" r:id="rId16"/>
    <sheet name="Chart - Area" sheetId="103" r:id="rId17"/>
    <sheet name="Chart - Map" sheetId="104" r:id="rId18"/>
    <sheet name="VehiclesPivot" sheetId="236" state="hidden" r:id="rId19"/>
    <sheet name="VehiclesData" sheetId="213" state="hidden" r:id="rId20"/>
    <sheet name="Vehicles" sheetId="24" r:id="rId21"/>
    <sheet name="AppliancesLAPivot" sheetId="215" state="hidden" r:id="rId22"/>
    <sheet name="AppliancesLAData" sheetId="214" state="hidden" r:id="rId23"/>
    <sheet name="Appliances LA" sheetId="25" r:id="rId24"/>
    <sheet name="StaffingPivot" sheetId="238" state="hidden" r:id="rId25"/>
    <sheet name="StaffingData" sheetId="237" state="hidden" r:id="rId26"/>
    <sheet name="Staffing" sheetId="2" r:id="rId27"/>
    <sheet name="DutySystemPivot" sheetId="240" state="hidden" r:id="rId28"/>
    <sheet name="DutySystemData" sheetId="239" state="hidden" r:id="rId29"/>
    <sheet name="DutySystem" sheetId="115" r:id="rId30"/>
    <sheet name="dutysystemlapivot" sheetId="174" state="hidden" r:id="rId31"/>
    <sheet name="dutysystemladata" sheetId="173" state="hidden" r:id="rId32"/>
    <sheet name="DutySytem LA" sheetId="125" r:id="rId33"/>
    <sheet name="Department" sheetId="229" r:id="rId34"/>
    <sheet name="geographicpivot" sheetId="179" state="hidden" r:id="rId35"/>
    <sheet name="geographicdata" sheetId="178" state="hidden" r:id="rId36"/>
    <sheet name="Geographic Structure" sheetId="3" r:id="rId37"/>
    <sheet name="smallareapivot" sheetId="181" state="hidden" r:id="rId38"/>
    <sheet name="smallareadata" sheetId="180" state="hidden" r:id="rId39"/>
    <sheet name="Staff - Small Area" sheetId="7" r:id="rId40"/>
    <sheet name="roledata" sheetId="182" state="hidden" r:id="rId41"/>
    <sheet name="rolepivot" sheetId="183" state="hidden" r:id="rId42"/>
    <sheet name="Role" sheetId="94" r:id="rId43"/>
    <sheet name="roledutysystempivot" sheetId="185" state="hidden" r:id="rId44"/>
    <sheet name="roledutysystemdata" sheetId="184" state="hidden" r:id="rId45"/>
    <sheet name="Role DutySystem" sheetId="126" r:id="rId46"/>
    <sheet name="roleareapivot" sheetId="187" state="hidden" r:id="rId47"/>
    <sheet name="roleareadata" sheetId="186" state="hidden" r:id="rId48"/>
    <sheet name="Role - Area" sheetId="93" r:id="rId49"/>
    <sheet name="wtroleareapivot" sheetId="189" state="hidden" r:id="rId50"/>
    <sheet name="wtroleareadata" sheetId="188" state="hidden" r:id="rId51"/>
    <sheet name="WT Role - Area" sheetId="8" r:id="rId52"/>
    <sheet name="rdsroleareapivot" sheetId="192" state="hidden" r:id="rId53"/>
    <sheet name="rdsroleareadata" sheetId="191" state="hidden" r:id="rId54"/>
    <sheet name="RDS Role - Area" sheetId="9" r:id="rId55"/>
    <sheet name="csroledatapivot" sheetId="195" state="hidden" r:id="rId56"/>
    <sheet name="csroleareadata" sheetId="194" state="hidden" r:id="rId57"/>
    <sheet name="CSRoleAreaSupportPivot" sheetId="217" state="hidden" r:id="rId58"/>
    <sheet name="CSRoleAreaSupportData" sheetId="216" state="hidden" r:id="rId59"/>
    <sheet name="C&amp;S Role - Area" sheetId="10" r:id="rId60"/>
    <sheet name="volroleareapivot" sheetId="197" state="hidden" r:id="rId61"/>
    <sheet name="volroleareadata" sheetId="196" state="hidden" r:id="rId62"/>
    <sheet name="Vol Role - Area" sheetId="11" r:id="rId63"/>
    <sheet name="WTFTERoleAreaPivot" sheetId="199" state="hidden" r:id="rId64"/>
    <sheet name="WTFTERoleAreaData" sheetId="198" state="hidden" r:id="rId65"/>
    <sheet name="WT FTE Role - Area" sheetId="12" r:id="rId66"/>
    <sheet name="RDSFTERoleAreaPivot" sheetId="201" state="hidden" r:id="rId67"/>
    <sheet name="RDSFTERoleAreaData" sheetId="200" state="hidden" r:id="rId68"/>
    <sheet name="RDS FTE Role - Area" sheetId="13" r:id="rId69"/>
    <sheet name="CSFTERoleAreaControlPivot" sheetId="203" state="hidden" r:id="rId70"/>
    <sheet name="CSFTERoleAreaControlData" sheetId="202" state="hidden" r:id="rId71"/>
    <sheet name="CSFTERoleAreaSupportPivot" sheetId="205" state="hidden" r:id="rId72"/>
    <sheet name="CSFTERoleAreaSupportData" sheetId="204" state="hidden" r:id="rId73"/>
    <sheet name="C&amp;S FTE Role - Area" sheetId="14" r:id="rId74"/>
    <sheet name="SexTimeseriesPivot" sheetId="243" state="hidden" r:id="rId75"/>
    <sheet name="SexTimeseriesData" sheetId="242" state="hidden" r:id="rId76"/>
    <sheet name="Sex Timeseries" sheetId="15" r:id="rId77"/>
    <sheet name="SexPivot" sheetId="207" state="hidden" r:id="rId78"/>
    <sheet name="SexData" sheetId="206" state="hidden" r:id="rId79"/>
    <sheet name="Sex" sheetId="17" r:id="rId80"/>
    <sheet name="sexandrolepivot" sheetId="164" state="hidden" r:id="rId81"/>
    <sheet name="sexandroledata" sheetId="162" state="hidden" r:id="rId82"/>
    <sheet name="Sex and Role" sheetId="16" r:id="rId83"/>
    <sheet name="FTESexRolePivot" sheetId="209" state="hidden" r:id="rId84"/>
    <sheet name="FTESexRoleData" sheetId="208" state="hidden" r:id="rId85"/>
    <sheet name="FTE Sex and Role" sheetId="18" r:id="rId86"/>
    <sheet name="agepivot" sheetId="168" state="hidden" r:id="rId87"/>
    <sheet name="agedata" sheetId="167" state="hidden" r:id="rId88"/>
    <sheet name="Age" sheetId="19" r:id="rId89"/>
    <sheet name="servicepivot" sheetId="170" state="hidden" r:id="rId90"/>
    <sheet name="servicedata" sheetId="169" state="hidden" r:id="rId91"/>
    <sheet name="Service Length" sheetId="40" r:id="rId92"/>
    <sheet name="EthnicityData" sheetId="211" state="hidden" r:id="rId93"/>
    <sheet name="EthnicityPivot" sheetId="212" state="hidden" r:id="rId94"/>
    <sheet name="Ethnicity" sheetId="20" r:id="rId95"/>
    <sheet name="DisabilityPivot" sheetId="245" state="hidden" r:id="rId96"/>
    <sheet name="DisabilityData" sheetId="244" state="hidden" r:id="rId97"/>
    <sheet name="Disability" sheetId="21" r:id="rId98"/>
    <sheet name="Entrants - Demographics" sheetId="76" r:id="rId99"/>
    <sheet name="EntrantsPivot" sheetId="228" state="hidden" r:id="rId100"/>
    <sheet name="Entrants_Data" sheetId="227" state="hidden" r:id="rId101"/>
    <sheet name="leaversdata" sheetId="234" state="hidden" r:id="rId102"/>
    <sheet name="leaverspivot" sheetId="172" state="hidden" r:id="rId103"/>
    <sheet name="Leavers" sheetId="96" r:id="rId104"/>
    <sheet name="Chart Headcount" sheetId="43" r:id="rId105"/>
    <sheet name="Chart FTE" sheetId="98" r:id="rId106"/>
    <sheet name="Chart Sex" sheetId="44" r:id="rId107"/>
    <sheet name="Chart Age" sheetId="45" r:id="rId108"/>
    <sheet name="Chart Service Length" sheetId="123" r:id="rId109"/>
    <sheet name="AttacksPivot" sheetId="247" state="hidden" r:id="rId110"/>
    <sheet name="AttacksData" sheetId="246" state="hidden" r:id="rId111"/>
    <sheet name="Attacks" sheetId="26" r:id="rId112"/>
    <sheet name="AttacksAreaPivot" sheetId="249" state="hidden" r:id="rId113"/>
    <sheet name="AttacksAreaData" sheetId="248" state="hidden" r:id="rId114"/>
    <sheet name="Attacks - Area" sheetId="27" r:id="rId115"/>
    <sheet name="Chart - Attacks" sheetId="48" r:id="rId116"/>
    <sheet name="Chart - Injuries" sheetId="58" r:id="rId117"/>
    <sheet name="Chart - AttacksMap" sheetId="122" r:id="rId118"/>
    <sheet name="HFSVPivot" sheetId="253" state="hidden" r:id="rId119"/>
    <sheet name="HFSVData" sheetId="252" state="hidden" r:id="rId120"/>
    <sheet name="ReferenceHouseholds" sheetId="254" state="hidden" r:id="rId121"/>
    <sheet name="HFSVs" sheetId="28" r:id="rId122"/>
    <sheet name="DistinctPropertiesPivot" sheetId="272" state="hidden" r:id="rId123"/>
    <sheet name="DistinctPropertiesData" sheetId="271" state="hidden" r:id="rId124"/>
    <sheet name="Distinct Properties" sheetId="105" r:id="rId125"/>
    <sheet name="DistinctPropertPopPivot" sheetId="274" state="hidden" r:id="rId126"/>
    <sheet name="DistinctPropertPopData" sheetId="273" state="hidden" r:id="rId127"/>
    <sheet name="Distinct Propert. Popul." sheetId="106" r:id="rId128"/>
    <sheet name="ResidentsPivot" sheetId="258" state="hidden" r:id="rId129"/>
    <sheet name="ResidentsData" sheetId="257" state="hidden" r:id="rId130"/>
    <sheet name="ResidentsPercentPivot" sheetId="260" state="hidden" r:id="rId131"/>
    <sheet name="ResidentsPercentData" sheetId="259" state="hidden" r:id="rId132"/>
    <sheet name="Residents" sheetId="81" r:id="rId133"/>
    <sheet name="TenurePivot" sheetId="256" state="hidden" r:id="rId134"/>
    <sheet name="TenureData" sheetId="255" state="hidden" r:id="rId135"/>
    <sheet name="Tenure" sheetId="120" r:id="rId136"/>
    <sheet name="SIMDVisitsPivot" sheetId="262" state="hidden" r:id="rId137"/>
    <sheet name="SIMDVisitsData" sheetId="261" state="hidden" r:id="rId138"/>
    <sheet name="SIMD-Visits" sheetId="82" r:id="rId139"/>
    <sheet name="SIMDAlarmsPivot" sheetId="264" state="hidden" r:id="rId140"/>
    <sheet name="SIMDAlarmsData" sheetId="263" state="hidden" r:id="rId141"/>
    <sheet name="SIMD-Alarms" sheetId="137" r:id="rId142"/>
    <sheet name="SIMD%AlarmPivot" sheetId="270" state="hidden" r:id="rId143"/>
    <sheet name="SIMD%AlarmData" sheetId="269" state="hidden" r:id="rId144"/>
    <sheet name="SIMD-%Alarm" sheetId="138" r:id="rId145"/>
    <sheet name="RuralityPivot" sheetId="266" state="hidden" r:id="rId146"/>
    <sheet name="RuralityData" sheetId="265" state="hidden" r:id="rId147"/>
    <sheet name="Rurality" sheetId="107" r:id="rId148"/>
    <sheet name="HFSVLAPivot" sheetId="150" state="hidden" r:id="rId149"/>
    <sheet name="HFSVLAData" sheetId="148" state="hidden" r:id="rId150"/>
    <sheet name="HFSVs LA" sheetId="30" r:id="rId151"/>
    <sheet name="Outcome LA" sheetId="31" r:id="rId152"/>
    <sheet name="Rate LA" sheetId="32" r:id="rId153"/>
    <sheet name="Chart HFSVs" sheetId="50" r:id="rId154"/>
    <sheet name="Chart Alarms" sheetId="109" r:id="rId155"/>
    <sheet name="Chart Residents" sheetId="110" r:id="rId156"/>
    <sheet name="Chart SIMD" sheetId="116" r:id="rId157"/>
    <sheet name="Chart SIMD Alarms" sheetId="140" r:id="rId158"/>
    <sheet name="Chart SIMD AlarmRate" sheetId="141" r:id="rId159"/>
    <sheet name="Chart SIMD OwnerOcc" sheetId="142" r:id="rId160"/>
    <sheet name="Chart SIMD OwnerYears" sheetId="143" r:id="rId161"/>
    <sheet name="Chart Rurality" sheetId="111" r:id="rId162"/>
    <sheet name="Chart LA" sheetId="112" r:id="rId163"/>
    <sheet name="Chart Map" sheetId="144" r:id="rId164"/>
    <sheet name="Chart Alarms Map" sheetId="145" r:id="rId165"/>
    <sheet name="Chart %Install" sheetId="146" r:id="rId166"/>
    <sheet name="Workflows" sheetId="33" r:id="rId167"/>
    <sheet name="WorkflowsPivot" sheetId="241" state="hidden" r:id="rId168"/>
    <sheet name="WorkflowsData" sheetId="235" state="hidden" r:id="rId169"/>
    <sheet name="Audits" sheetId="113" r:id="rId170"/>
    <sheet name="Audits LA" sheetId="34" r:id="rId171"/>
    <sheet name="auditlapivot" sheetId="154" state="hidden" r:id="rId172"/>
    <sheet name="auditladata" sheetId="153" state="hidden" r:id="rId173"/>
    <sheet name="auditsoutcomepremisespivot" sheetId="159" state="hidden" r:id="rId174"/>
    <sheet name="auditsoutcomepremises" sheetId="158" state="hidden" r:id="rId175"/>
    <sheet name="Audits Outcome" sheetId="35" r:id="rId176"/>
    <sheet name="auditsoutcomeLApivot" sheetId="157" state="hidden" r:id="rId177"/>
    <sheet name="auditsoutcomeLA" sheetId="156" state="hidden" r:id="rId178"/>
    <sheet name="Audits Outcome LA" sheetId="36" r:id="rId179"/>
    <sheet name="NoticesPivot" sheetId="268" state="hidden" r:id="rId180"/>
    <sheet name="NoticesData" sheetId="267" state="hidden" r:id="rId181"/>
    <sheet name="Notices" sheetId="42" r:id="rId182"/>
    <sheet name="riskpivot" sheetId="161" state="hidden" r:id="rId183"/>
    <sheet name="riskdata" sheetId="160" state="hidden" r:id="rId184"/>
    <sheet name="Risk" sheetId="89" r:id="rId185"/>
    <sheet name="Chart Workflows" sheetId="54" r:id="rId186"/>
    <sheet name="Chart Audits" sheetId="55" r:id="rId187"/>
    <sheet name="Chart Audit Share" sheetId="134" r:id="rId188"/>
  </sheets>
  <definedNames>
    <definedName name="_xlnm._FilterDatabase" localSheetId="9" hidden="1">PrimaryCrewingAreaData!$A$1:$F$289</definedName>
    <definedName name="aa" localSheetId="156">#REF!</definedName>
    <definedName name="aa">#REF!</definedName>
    <definedName name="AllStaffExcVol">#REF!</definedName>
    <definedName name="AllStaffTotal">#REF!</definedName>
    <definedName name="AllStationRankings">#REF!</definedName>
    <definedName name="AllStations">#REF!</definedName>
    <definedName name="AuditRankings">#REF!</definedName>
    <definedName name="AuditRates">#REF!</definedName>
    <definedName name="ControlHeadcount">#REF!</definedName>
    <definedName name="d" localSheetId="156">#REF!</definedName>
    <definedName name="d">#REF!</definedName>
    <definedName name="ExternalData_1" localSheetId="87" hidden="1">agedata!$A$1:$H$133</definedName>
    <definedName name="ExternalData_1" localSheetId="22" hidden="1">AppliancesLAData!$A$1:$J$193</definedName>
    <definedName name="ExternalData_1" localSheetId="113" hidden="1">AttacksAreaData!$A$1:$K$33</definedName>
    <definedName name="ExternalData_1" localSheetId="172" hidden="1">auditladata!$A$1:$R$324</definedName>
    <definedName name="ExternalData_1" localSheetId="177" hidden="1">auditsoutcomeLA!$A$1:$K$320</definedName>
    <definedName name="ExternalData_1" localSheetId="174" hidden="1">auditsoutcomepremises!$A$1:$K$151</definedName>
    <definedName name="ExternalData_1" localSheetId="12" hidden="1">CapabilitiesData!$A$1:$D$110</definedName>
    <definedName name="ExternalData_1" localSheetId="70" hidden="1">CSFTERoleAreaControlData!$A$1:$K$12</definedName>
    <definedName name="ExternalData_1" localSheetId="72" hidden="1">CSFTERoleAreaSupportData!$A$1:$L$12</definedName>
    <definedName name="ExternalData_1" localSheetId="56" hidden="1">csroleareadata!$A$1:$I$12</definedName>
    <definedName name="ExternalData_1" localSheetId="58" hidden="1">CSRoleAreaSupportData!$A$1:$L$45</definedName>
    <definedName name="ExternalData_1" localSheetId="96" hidden="1">DisabilityData!$A$1:$I$14</definedName>
    <definedName name="ExternalData_1" localSheetId="123" hidden="1">DistinctPropertiesData!$A$20:$D$30</definedName>
    <definedName name="ExternalData_1" localSheetId="126" hidden="1">DistinctPropertPopData!$A$1:$D$12</definedName>
    <definedName name="ExternalData_1" localSheetId="28" hidden="1">DutySystemData!$A$1:$E$7</definedName>
    <definedName name="ExternalData_1" localSheetId="31" hidden="1">dutysystemladata!$A$1:$H$312</definedName>
    <definedName name="ExternalData_1" localSheetId="100" hidden="1">Entrants_Data!#REF!</definedName>
    <definedName name="ExternalData_1" localSheetId="92" hidden="1">EthnicityData!$A$1:$E$107</definedName>
    <definedName name="ExternalData_1" localSheetId="84" hidden="1">FTESexRoleData!$A$1:$F$257</definedName>
    <definedName name="ExternalData_1" localSheetId="35" hidden="1">geographicdata!$A$1:$H$45</definedName>
    <definedName name="ExternalData_1" localSheetId="119" hidden="1">HFSVData!$A$1:$G$15</definedName>
    <definedName name="ExternalData_1" localSheetId="149" hidden="1">HFSVLAData!$A$1:$O$353</definedName>
    <definedName name="ExternalData_1" localSheetId="101" hidden="1">leaversdata!$A$1:$I$50</definedName>
    <definedName name="ExternalData_1" localSheetId="180" hidden="1">NoticesData!$B$4:$E$14</definedName>
    <definedName name="ExternalData_1" localSheetId="67" hidden="1">RDSFTERoleAreaData!$A$1:$H$344</definedName>
    <definedName name="ExternalData_1" localSheetId="53" hidden="1">rdsroleareadata!$A$1:$G$335</definedName>
    <definedName name="ExternalData_1" localSheetId="120" hidden="1">ReferenceHouseholds!$A$1:$C$25</definedName>
    <definedName name="ExternalData_1" localSheetId="129" hidden="1">ResidentsData!$A$1:$H$12</definedName>
    <definedName name="ExternalData_1" localSheetId="131" hidden="1">ResidentsPercentData!$A$1:$H$12</definedName>
    <definedName name="ExternalData_1" localSheetId="183" hidden="1">riskdata!$A$1:$J$151</definedName>
    <definedName name="ExternalData_1" localSheetId="47" hidden="1">roleareadata!$A$1:$J$45</definedName>
    <definedName name="ExternalData_1" localSheetId="40" hidden="1">roledata!$A$1:$J$57</definedName>
    <definedName name="ExternalData_1" localSheetId="44" hidden="1">roledutysystemdata!$A$1:$I$25</definedName>
    <definedName name="ExternalData_1" localSheetId="146" hidden="1">RuralityData!$A$1:$H$12</definedName>
    <definedName name="ExternalData_1" localSheetId="90" hidden="1">servicedata!$A$1:$G$64</definedName>
    <definedName name="ExternalData_1" localSheetId="81" hidden="1">sexandroledata!$A$1:$F$290</definedName>
    <definedName name="ExternalData_1" localSheetId="78" hidden="1">SexData!$A$1:$E$62</definedName>
    <definedName name="ExternalData_1" localSheetId="75" hidden="1">SexTimeseriesData!$A$1:$M$15</definedName>
    <definedName name="ExternalData_1" localSheetId="143" hidden="1">'SIMD%AlarmData'!$A$1:$G$52</definedName>
    <definedName name="ExternalData_1" localSheetId="140" hidden="1">SIMDAlarmsData!$A$1:$G$11</definedName>
    <definedName name="ExternalData_1" localSheetId="137" hidden="1">SIMDVisitsData!$A$1:$H$12</definedName>
    <definedName name="ExternalData_1" localSheetId="38" hidden="1">smallareadata!$A$1:$K$579</definedName>
    <definedName name="ExternalData_1" localSheetId="25" hidden="1">StaffingData!$A$1:$G$15</definedName>
    <definedName name="ExternalData_1" localSheetId="134" hidden="1">TenureData!$A$1:$J$7</definedName>
    <definedName name="ExternalData_1" localSheetId="19" hidden="1">VehiclesData!#REF!</definedName>
    <definedName name="ExternalData_1" localSheetId="61" hidden="1">volroleareadata!$A$1:$H$176</definedName>
    <definedName name="ExternalData_1" localSheetId="168" hidden="1">WorkflowsData!$A$3:$E$13</definedName>
    <definedName name="ExternalData_1" localSheetId="64" hidden="1">WTFTERoleAreaData!$A$1:$L$565</definedName>
    <definedName name="ExternalData_1" localSheetId="50" hidden="1">wtroleareadata!$A$1:$K$562</definedName>
    <definedName name="ExternalData_10" localSheetId="100" hidden="1">Entrants_Data!$J$22:$Q$87</definedName>
    <definedName name="ExternalData_2" localSheetId="12" hidden="1">CapabilitiesData!$I$6:$K$21</definedName>
    <definedName name="ExternalData_2" localSheetId="96" hidden="1">DisabilityData!$A$25:$I$35</definedName>
    <definedName name="ExternalData_2" localSheetId="126" hidden="1">DistinctPropertPopData!$A$19:$D$29</definedName>
    <definedName name="ExternalData_2" localSheetId="100" hidden="1">Entrants_Data!#REF!</definedName>
    <definedName name="ExternalData_2" localSheetId="146" hidden="1">RuralityData!$A$21:$H$32</definedName>
    <definedName name="ExternalData_2" localSheetId="76" hidden="1">'Sex Timeseries'!#REF!</definedName>
    <definedName name="ExternalData_2" localSheetId="140" hidden="1">SIMDAlarmsData!$A$21:$G$31</definedName>
    <definedName name="ExternalData_2" localSheetId="137" hidden="1">SIMDVisitsData!$A$23:$G$34</definedName>
    <definedName name="ExternalData_2" localSheetId="25" hidden="1">StaffingData!$A$24:$F$37</definedName>
    <definedName name="ExternalData_2" localSheetId="19" hidden="1">VehiclesData!$A$1:$N$13</definedName>
    <definedName name="ExternalData_2" localSheetId="168" hidden="1">WorkflowsData!$I$6:$J$11</definedName>
    <definedName name="ExternalData_3" localSheetId="33" hidden="1">Department!#REF!</definedName>
    <definedName name="ExternalData_5" localSheetId="110" hidden="1">AttacksData!$A$1:$G$10</definedName>
    <definedName name="ExternalData_6" localSheetId="110" hidden="1">AttacksData!$A$14:$G$23</definedName>
    <definedName name="ExternalData_7" localSheetId="110" hidden="1">AttacksData!$A$26:$G$35</definedName>
    <definedName name="ExternalData_7" localSheetId="100" hidden="1">Entrants_Data!$A$1:$G$18</definedName>
    <definedName name="ExternalData_8" localSheetId="110" hidden="1">AttacksData!$A$40:$G$49</definedName>
    <definedName name="ExternalData_8" localSheetId="100" hidden="1">Entrants_Data!$J$1:$Q$13</definedName>
    <definedName name="ExternalData_9" localSheetId="100" hidden="1">Entrants_Data!$A$24:$G$41</definedName>
    <definedName name="FiscalYr">#REF!</definedName>
    <definedName name="HFSV">#REF!</definedName>
    <definedName name="HFSVAbsRankings">#REF!</definedName>
    <definedName name="PremisesRankings">#REF!</definedName>
    <definedName name="PremisesRates">#REF!</definedName>
    <definedName name="_xlnm.Print_Area" localSheetId="36">'Geographic Structure'!$A$3:$K$26</definedName>
    <definedName name="_xlnm.Print_Area" localSheetId="0">Information!$A$1:$L$31</definedName>
    <definedName name="_xlnm.Print_Area" localSheetId="152">'Rate LA'!$B$10:$G$48</definedName>
    <definedName name="_xlnm.Print_Area" localSheetId="26">Staffing!$A$2:$K$71</definedName>
    <definedName name="RDSHeadcount">#REF!</definedName>
    <definedName name="RDSStationRankings">#REF!</definedName>
    <definedName name="RDSStations">#REF!</definedName>
    <definedName name="s_srs_v01_pds_RAP_HFSV_Outcome" localSheetId="121" hidden="1">HFSVs!$A$9:$G$23</definedName>
    <definedName name="s_srs_v01_pds_RAP_HFSV_Tenure_Outcome" localSheetId="135" hidden="1">Tenure!#REF!</definedName>
    <definedName name="s_srs_v01_pds_RAP_SIMD_Alarms_OccupiedDwellings" localSheetId="138" hidden="1">'SIMD-Visits'!#REF!</definedName>
    <definedName name="Slicer_FinYear4">#N/A</definedName>
    <definedName name="Slicer_FinYear41">#N/A</definedName>
    <definedName name="Slicer_FiscalYr">#N/A</definedName>
    <definedName name="Slicer_FiscalYr1">#N/A</definedName>
    <definedName name="Slicer_FisYr11">#N/A</definedName>
    <definedName name="Slicer_FisYr12">#N/A</definedName>
    <definedName name="Slicer_FisYr19">#N/A</definedName>
    <definedName name="Slicer_FisYr2">#N/A</definedName>
    <definedName name="Slicer_FisYr20">#N/A</definedName>
    <definedName name="Slicer_FisYr22">#N/A</definedName>
    <definedName name="Slicer_FisYr24">#N/A</definedName>
    <definedName name="Slicer_Year">#N/A</definedName>
    <definedName name="Slicer_Year1">#N/A</definedName>
    <definedName name="Slicer_Year10">#N/A</definedName>
    <definedName name="Slicer_Year11">#N/A</definedName>
    <definedName name="Slicer_Year12">#N/A</definedName>
    <definedName name="Slicer_Year13">#N/A</definedName>
    <definedName name="Slicer_Year14">#N/A</definedName>
    <definedName name="Slicer_Year15">#N/A</definedName>
    <definedName name="Slicer_Year16">#N/A</definedName>
    <definedName name="Slicer_Year17">#N/A</definedName>
    <definedName name="Slicer_Year18">#N/A</definedName>
    <definedName name="Slicer_Year19">#N/A</definedName>
    <definedName name="Slicer_Year2">#N/A</definedName>
    <definedName name="Slicer_Year20">#N/A</definedName>
    <definedName name="Slicer_Year21">#N/A</definedName>
    <definedName name="Slicer_Year22">#N/A</definedName>
    <definedName name="Slicer_Year23">#N/A</definedName>
    <definedName name="Slicer_Year24">#N/A</definedName>
    <definedName name="Slicer_Year25">#N/A</definedName>
    <definedName name="Slicer_Year26">#N/A</definedName>
    <definedName name="Slicer_Year27">#N/A</definedName>
    <definedName name="Slicer_Year28">#N/A</definedName>
    <definedName name="Slicer_Year29">#N/A</definedName>
    <definedName name="Slicer_Year3">#N/A</definedName>
    <definedName name="Slicer_Year4">#N/A</definedName>
    <definedName name="Slicer_Year5">#N/A</definedName>
    <definedName name="Slicer_Year6">#N/A</definedName>
    <definedName name="Slicer_Year7">#N/A</definedName>
    <definedName name="Slicer_Year8">#N/A</definedName>
    <definedName name="Slicer_Year9">#N/A</definedName>
    <definedName name="StructureData">#REF!</definedName>
    <definedName name="SupportHeadcount">#REF!</definedName>
    <definedName name="VolStationRankings">#REF!</definedName>
    <definedName name="VolStations">#REF!</definedName>
    <definedName name="VolunteerHeadcount">#REF!</definedName>
    <definedName name="WTOperational">#REF!</definedName>
    <definedName name="WTStationRankings">#REF!</definedName>
    <definedName name="WTStations">#REF!</definedName>
    <definedName name="x" localSheetId="156">#REF!</definedName>
    <definedName name="x">#REF!</definedName>
    <definedName name="z" localSheetId="156">#REF!</definedName>
    <definedName name="z">#REF!</definedName>
  </definedNames>
  <calcPr calcId="191029"/>
  <pivotCaches>
    <pivotCache cacheId="0" r:id="rId189"/>
    <pivotCache cacheId="1" r:id="rId190"/>
    <pivotCache cacheId="2" r:id="rId191"/>
    <pivotCache cacheId="3" r:id="rId192"/>
    <pivotCache cacheId="4" r:id="rId193"/>
    <pivotCache cacheId="5" r:id="rId194"/>
    <pivotCache cacheId="6" r:id="rId195"/>
    <pivotCache cacheId="7" r:id="rId196"/>
    <pivotCache cacheId="8" r:id="rId197"/>
    <pivotCache cacheId="9" r:id="rId198"/>
    <pivotCache cacheId="10" r:id="rId199"/>
    <pivotCache cacheId="11" r:id="rId200"/>
    <pivotCache cacheId="12" r:id="rId201"/>
    <pivotCache cacheId="13" r:id="rId202"/>
    <pivotCache cacheId="14" r:id="rId203"/>
    <pivotCache cacheId="15" r:id="rId204"/>
    <pivotCache cacheId="16" r:id="rId205"/>
    <pivotCache cacheId="17" r:id="rId206"/>
    <pivotCache cacheId="18" r:id="rId207"/>
    <pivotCache cacheId="19" r:id="rId208"/>
    <pivotCache cacheId="20" r:id="rId209"/>
    <pivotCache cacheId="21" r:id="rId210"/>
    <pivotCache cacheId="22" r:id="rId211"/>
    <pivotCache cacheId="23" r:id="rId212"/>
    <pivotCache cacheId="24" r:id="rId213"/>
    <pivotCache cacheId="25" r:id="rId214"/>
    <pivotCache cacheId="26" r:id="rId215"/>
    <pivotCache cacheId="27" r:id="rId216"/>
    <pivotCache cacheId="28" r:id="rId217"/>
    <pivotCache cacheId="29" r:id="rId218"/>
    <pivotCache cacheId="30" r:id="rId219"/>
    <pivotCache cacheId="31" r:id="rId220"/>
    <pivotCache cacheId="32" r:id="rId221"/>
    <pivotCache cacheId="33" r:id="rId222"/>
    <pivotCache cacheId="34" r:id="rId223"/>
    <pivotCache cacheId="35" r:id="rId224"/>
    <pivotCache cacheId="36" r:id="rId225"/>
    <pivotCache cacheId="37" r:id="rId226"/>
    <pivotCache cacheId="38" r:id="rId227"/>
    <pivotCache cacheId="39" r:id="rId228"/>
    <pivotCache cacheId="40" r:id="rId229"/>
    <pivotCache cacheId="41" r:id="rId230"/>
    <pivotCache cacheId="42" r:id="rId231"/>
    <pivotCache cacheId="43" r:id="rId232"/>
    <pivotCache cacheId="44" r:id="rId233"/>
    <pivotCache cacheId="45" r:id="rId234"/>
    <pivotCache cacheId="46" r:id="rId235"/>
    <pivotCache cacheId="47" r:id="rId236"/>
    <pivotCache cacheId="48" r:id="rId237"/>
    <pivotCache cacheId="49" r:id="rId238"/>
    <pivotCache cacheId="50" r:id="rId239"/>
    <pivotCache cacheId="51" r:id="rId240"/>
    <pivotCache cacheId="52" r:id="rId241"/>
    <pivotCache cacheId="53" r:id="rId242"/>
    <pivotCache cacheId="54" r:id="rId243"/>
    <pivotCache cacheId="55" r:id="rId244"/>
    <pivotCache cacheId="56" r:id="rId245"/>
    <pivotCache cacheId="57" r:id="rId246"/>
    <pivotCache cacheId="58" r:id="rId247"/>
    <pivotCache cacheId="59" r:id="rId248"/>
    <pivotCache cacheId="60" r:id="rId249"/>
    <pivotCache cacheId="61" r:id="rId250"/>
    <pivotCache cacheId="62" r:id="rId251"/>
    <pivotCache cacheId="63" r:id="rId252"/>
    <pivotCache cacheId="64" r:id="rId253"/>
    <pivotCache cacheId="65" r:id="rId254"/>
    <pivotCache cacheId="66" r:id="rId255"/>
  </pivotCaches>
  <extLst>
    <ext xmlns:x14="http://schemas.microsoft.com/office/spreadsheetml/2009/9/main" uri="{BBE1A952-AA13-448e-AADC-164F8A28A991}">
      <x14:slicerCaches>
        <x14:slicerCache r:id="rId256"/>
        <x14:slicerCache r:id="rId257"/>
        <x14:slicerCache r:id="rId258"/>
        <x14:slicerCache r:id="rId259"/>
        <x14:slicerCache r:id="rId260"/>
        <x14:slicerCache r:id="rId261"/>
        <x14:slicerCache r:id="rId262"/>
        <x14:slicerCache r:id="rId263"/>
        <x14:slicerCache r:id="rId264"/>
        <x14:slicerCache r:id="rId265"/>
        <x14:slicerCache r:id="rId266"/>
        <x14:slicerCache r:id="rId267"/>
        <x14:slicerCache r:id="rId268"/>
        <x14:slicerCache r:id="rId269"/>
        <x14:slicerCache r:id="rId270"/>
        <x14:slicerCache r:id="rId271"/>
        <x14:slicerCache r:id="rId272"/>
        <x14:slicerCache r:id="rId273"/>
        <x14:slicerCache r:id="rId274"/>
        <x14:slicerCache r:id="rId275"/>
        <x14:slicerCache r:id="rId276"/>
        <x14:slicerCache r:id="rId277"/>
        <x14:slicerCache r:id="rId278"/>
        <x14:slicerCache r:id="rId279"/>
        <x14:slicerCache r:id="rId280"/>
        <x14:slicerCache r:id="rId281"/>
        <x14:slicerCache r:id="rId282"/>
        <x14:slicerCache r:id="rId283"/>
        <x14:slicerCache r:id="rId284"/>
        <x14:slicerCache r:id="rId285"/>
        <x14:slicerCache r:id="rId286"/>
        <x14:slicerCache r:id="rId287"/>
        <x14:slicerCache r:id="rId288"/>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89"/>
        <x14:slicerCache r:id="rId290"/>
        <x14:slicerCache r:id="rId291"/>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6" i="113" l="1"/>
  <c r="B26" i="113"/>
  <c r="C26" i="113"/>
  <c r="D26" i="113"/>
  <c r="E26" i="113"/>
  <c r="F26" i="113"/>
  <c r="G26" i="113"/>
  <c r="H26" i="113"/>
  <c r="I26" i="113"/>
  <c r="J26" i="113"/>
  <c r="K26" i="113"/>
  <c r="L26" i="113"/>
  <c r="M26" i="113"/>
  <c r="N26" i="113"/>
  <c r="O26" i="113"/>
  <c r="C12" i="32"/>
  <c r="B20" i="138" l="1"/>
  <c r="B45" i="137" l="1"/>
  <c r="B26" i="16" l="1"/>
  <c r="C26" i="16"/>
  <c r="E53" i="2"/>
  <c r="G44" i="12"/>
  <c r="D64" i="12"/>
  <c r="B26" i="28" l="1"/>
  <c r="G46" i="15"/>
  <c r="F46" i="15"/>
  <c r="F45" i="15"/>
  <c r="C46" i="15"/>
  <c r="D46" i="15"/>
  <c r="E46" i="15"/>
  <c r="H46" i="15"/>
  <c r="I46" i="15"/>
  <c r="J46" i="15"/>
  <c r="K46" i="15"/>
  <c r="L46" i="15"/>
  <c r="M46" i="15"/>
  <c r="N46" i="15"/>
  <c r="O46" i="15"/>
  <c r="P46" i="15"/>
  <c r="Q46" i="15"/>
  <c r="B46" i="15"/>
  <c r="C45" i="15"/>
  <c r="D45" i="15"/>
  <c r="E45" i="15"/>
  <c r="G45" i="15"/>
  <c r="H45" i="15"/>
  <c r="I45" i="15"/>
  <c r="J45" i="15"/>
  <c r="K45" i="15"/>
  <c r="L45" i="15"/>
  <c r="M45" i="15"/>
  <c r="N45" i="15"/>
  <c r="O45" i="15"/>
  <c r="P45" i="15"/>
  <c r="Q45" i="15"/>
  <c r="B45" i="15"/>
  <c r="A44" i="15"/>
  <c r="C42" i="15"/>
  <c r="D42" i="15"/>
  <c r="E42" i="15"/>
  <c r="F42" i="15"/>
  <c r="G42" i="15"/>
  <c r="H42" i="15"/>
  <c r="I42" i="15"/>
  <c r="J42" i="15"/>
  <c r="K42" i="15"/>
  <c r="L42" i="15"/>
  <c r="M42" i="15"/>
  <c r="N42" i="15"/>
  <c r="O42" i="15"/>
  <c r="P42" i="15"/>
  <c r="Q42" i="15"/>
  <c r="B42" i="15"/>
  <c r="C41" i="15"/>
  <c r="D41" i="15"/>
  <c r="E41" i="15"/>
  <c r="F41" i="15"/>
  <c r="G41" i="15"/>
  <c r="H41" i="15"/>
  <c r="I41" i="15"/>
  <c r="J41" i="15"/>
  <c r="K41" i="15"/>
  <c r="L41" i="15"/>
  <c r="M41" i="15"/>
  <c r="N41" i="15"/>
  <c r="O41" i="15"/>
  <c r="P41" i="15"/>
  <c r="Q41" i="15"/>
  <c r="B41" i="15"/>
  <c r="A40" i="15"/>
  <c r="B26" i="18"/>
  <c r="C26" i="18"/>
  <c r="A39" i="22" l="1"/>
  <c r="B39" i="22"/>
  <c r="C39" i="22"/>
  <c r="D39" i="22"/>
  <c r="E39" i="22"/>
  <c r="F39" i="22"/>
  <c r="F17" i="124"/>
  <c r="D48" i="28"/>
  <c r="F15" i="105"/>
  <c r="F16" i="105"/>
  <c r="F17" i="105"/>
  <c r="F18" i="105"/>
  <c r="F19" i="105"/>
  <c r="F20" i="105"/>
  <c r="F21" i="105"/>
  <c r="F14" i="105"/>
  <c r="B35" i="106"/>
  <c r="B44" i="106"/>
  <c r="B36" i="106"/>
  <c r="B37" i="106"/>
  <c r="B38" i="106"/>
  <c r="B39" i="106"/>
  <c r="B40" i="106"/>
  <c r="B41" i="106"/>
  <c r="B34" i="106"/>
  <c r="E15" i="105"/>
  <c r="E16" i="105"/>
  <c r="E17" i="105"/>
  <c r="E18" i="105"/>
  <c r="E19" i="105"/>
  <c r="E20" i="105"/>
  <c r="E21" i="105"/>
  <c r="E14" i="105"/>
  <c r="D40" i="105"/>
  <c r="D41" i="105"/>
  <c r="D39" i="105"/>
  <c r="D38" i="105"/>
  <c r="B44" i="105"/>
  <c r="C38" i="105"/>
  <c r="C39" i="105"/>
  <c r="C40" i="105"/>
  <c r="C41" i="105"/>
  <c r="C37" i="105"/>
  <c r="C36" i="105"/>
  <c r="B35" i="105"/>
  <c r="B36" i="105"/>
  <c r="B37" i="105"/>
  <c r="B38" i="105"/>
  <c r="B39" i="105"/>
  <c r="B40" i="105"/>
  <c r="B41" i="105"/>
  <c r="B34" i="105"/>
  <c r="D17" i="106"/>
  <c r="D18" i="106"/>
  <c r="D19" i="106"/>
  <c r="D20" i="106"/>
  <c r="D21" i="106"/>
  <c r="D16" i="106"/>
  <c r="D15" i="106"/>
  <c r="C18" i="106"/>
  <c r="C20" i="106"/>
  <c r="C21" i="106"/>
  <c r="C19" i="106"/>
  <c r="C15" i="106"/>
  <c r="C16" i="106"/>
  <c r="C17" i="106"/>
  <c r="C14" i="106"/>
  <c r="C13" i="106"/>
  <c r="B13" i="106"/>
  <c r="B21" i="106"/>
  <c r="B20" i="106"/>
  <c r="B14" i="106"/>
  <c r="B15" i="106"/>
  <c r="B16" i="106"/>
  <c r="B17" i="106"/>
  <c r="B12" i="106"/>
  <c r="B18" i="106"/>
  <c r="B19" i="106"/>
  <c r="B11" i="106"/>
  <c r="D13" i="3"/>
  <c r="D12" i="3"/>
  <c r="D11" i="3"/>
  <c r="D10" i="3"/>
  <c r="H14" i="94"/>
  <c r="G14" i="94"/>
  <c r="F14" i="94"/>
  <c r="E14" i="94"/>
  <c r="D14" i="94"/>
  <c r="C14" i="94"/>
  <c r="B14" i="94"/>
  <c r="I14" i="94" l="1"/>
  <c r="C15" i="94" s="1"/>
  <c r="D14" i="3"/>
  <c r="E22" i="28"/>
  <c r="E14" i="28"/>
  <c r="E20" i="28"/>
  <c r="E15" i="28"/>
  <c r="E18" i="28"/>
  <c r="E21" i="28"/>
  <c r="E12" i="28"/>
  <c r="E17" i="28"/>
  <c r="E16" i="28"/>
  <c r="E11" i="28"/>
  <c r="E13" i="28"/>
  <c r="E19" i="28"/>
  <c r="E23" i="28"/>
  <c r="D16" i="105"/>
  <c r="D17" i="105"/>
  <c r="D18" i="105"/>
  <c r="D19" i="105"/>
  <c r="D20" i="105"/>
  <c r="D21" i="105"/>
  <c r="D15" i="105"/>
  <c r="C15" i="105"/>
  <c r="C14" i="105"/>
  <c r="C16" i="105"/>
  <c r="C17" i="105"/>
  <c r="C18" i="105"/>
  <c r="C19" i="105"/>
  <c r="C20" i="105"/>
  <c r="C21" i="105"/>
  <c r="C13" i="105"/>
  <c r="B12" i="105"/>
  <c r="B20" i="105"/>
  <c r="B13" i="105"/>
  <c r="B21" i="105"/>
  <c r="B14" i="105"/>
  <c r="B15" i="105"/>
  <c r="B16" i="105"/>
  <c r="B17" i="105"/>
  <c r="B18" i="105"/>
  <c r="B19" i="105"/>
  <c r="B11" i="105"/>
  <c r="B36" i="138"/>
  <c r="C36" i="138"/>
  <c r="C44" i="138"/>
  <c r="C39" i="138"/>
  <c r="E44" i="138"/>
  <c r="B41" i="138"/>
  <c r="D35" i="138"/>
  <c r="C38" i="138"/>
  <c r="D36" i="138"/>
  <c r="F35" i="138"/>
  <c r="B37" i="138"/>
  <c r="C40" i="138"/>
  <c r="F41" i="138"/>
  <c r="D37" i="138"/>
  <c r="E38" i="138"/>
  <c r="F40" i="138"/>
  <c r="E36" i="138"/>
  <c r="B44" i="138"/>
  <c r="F38" i="138"/>
  <c r="D44" i="138"/>
  <c r="B39" i="138"/>
  <c r="F37" i="138"/>
  <c r="E35" i="138"/>
  <c r="D41" i="138"/>
  <c r="E41" i="138"/>
  <c r="F44" i="138"/>
  <c r="E40" i="138"/>
  <c r="E39" i="138"/>
  <c r="F39" i="138"/>
  <c r="B40" i="138"/>
  <c r="F36" i="138"/>
  <c r="C41" i="138"/>
  <c r="C37" i="138"/>
  <c r="B35" i="138"/>
  <c r="D38" i="138"/>
  <c r="D40" i="138"/>
  <c r="D39" i="138"/>
  <c r="C35" i="138"/>
  <c r="B38" i="138"/>
  <c r="E37" i="138"/>
  <c r="H15" i="94" l="1"/>
  <c r="G15" i="94"/>
  <c r="F15" i="94"/>
  <c r="E15" i="94"/>
  <c r="D15" i="94"/>
  <c r="B15" i="94"/>
  <c r="I15" i="94"/>
  <c r="N56" i="35"/>
  <c r="N55" i="35"/>
  <c r="N48" i="35"/>
  <c r="N49" i="35"/>
  <c r="H42" i="35"/>
  <c r="E44" i="32" l="1"/>
  <c r="E33" i="32"/>
  <c r="E34" i="32"/>
  <c r="E35" i="32"/>
  <c r="E36" i="32"/>
  <c r="E37" i="32"/>
  <c r="E38" i="32"/>
  <c r="E39" i="32"/>
  <c r="E40" i="32"/>
  <c r="E41" i="32"/>
  <c r="E42" i="32"/>
  <c r="E43" i="32"/>
  <c r="E25" i="32"/>
  <c r="E26" i="32"/>
  <c r="E27" i="32"/>
  <c r="E28" i="32"/>
  <c r="E29" i="32"/>
  <c r="E30" i="32"/>
  <c r="E31" i="32"/>
  <c r="E32" i="32"/>
  <c r="E18" i="32"/>
  <c r="E19" i="32"/>
  <c r="E20" i="32"/>
  <c r="E21" i="32"/>
  <c r="E22" i="32"/>
  <c r="E23" i="32"/>
  <c r="E24" i="32"/>
  <c r="E13" i="32"/>
  <c r="E14" i="32"/>
  <c r="E15" i="32"/>
  <c r="E16" i="32"/>
  <c r="E17" i="32"/>
  <c r="E12" i="32"/>
  <c r="D16" i="42"/>
  <c r="B18" i="42"/>
  <c r="B16" i="42"/>
  <c r="C18" i="42"/>
  <c r="D19" i="42"/>
  <c r="B11" i="42"/>
  <c r="C19" i="42"/>
  <c r="B12" i="42"/>
  <c r="D18" i="42"/>
  <c r="B14" i="42"/>
  <c r="D13" i="42"/>
  <c r="D17" i="42"/>
  <c r="D14" i="42"/>
  <c r="D12" i="42"/>
  <c r="C16" i="42"/>
  <c r="D15" i="42"/>
  <c r="C17" i="42"/>
  <c r="B19" i="42"/>
  <c r="D11" i="42"/>
  <c r="B15" i="42"/>
  <c r="D10" i="42"/>
  <c r="C13" i="42"/>
  <c r="C15" i="42"/>
  <c r="C14" i="42"/>
  <c r="C12" i="42"/>
  <c r="C10" i="42"/>
  <c r="C11" i="42"/>
  <c r="B17" i="42"/>
  <c r="B13" i="42"/>
  <c r="B10" i="42"/>
  <c r="G33" i="32"/>
  <c r="G25" i="32"/>
  <c r="G36" i="32"/>
  <c r="G18" i="32"/>
  <c r="G35" i="32"/>
  <c r="G32" i="32"/>
  <c r="G38" i="32"/>
  <c r="G30" i="32"/>
  <c r="G26" i="32"/>
  <c r="G43" i="32"/>
  <c r="G24" i="32"/>
  <c r="G15" i="32"/>
  <c r="G21" i="32"/>
  <c r="G40" i="32"/>
  <c r="G19" i="32"/>
  <c r="G31" i="32"/>
  <c r="G42" i="32"/>
  <c r="G16" i="32"/>
  <c r="G41" i="32"/>
  <c r="G23" i="32"/>
  <c r="G39" i="32"/>
  <c r="G22" i="32"/>
  <c r="G13" i="32"/>
  <c r="G20" i="32"/>
  <c r="G17" i="32"/>
  <c r="G37" i="32"/>
  <c r="G27" i="32"/>
  <c r="G29" i="32"/>
  <c r="G34" i="32"/>
  <c r="G14" i="32"/>
  <c r="G12" i="32"/>
  <c r="G28" i="32"/>
  <c r="G44" i="32" l="1"/>
  <c r="B9" i="32" l="1"/>
  <c r="B9" i="31"/>
  <c r="B9" i="30"/>
  <c r="H28" i="30"/>
  <c r="H25" i="30"/>
  <c r="C37" i="30"/>
  <c r="D11" i="30"/>
  <c r="D41" i="30"/>
  <c r="H24" i="30"/>
  <c r="C21" i="30"/>
  <c r="E34" i="30"/>
  <c r="E27" i="30"/>
  <c r="G32" i="30"/>
  <c r="D22" i="30"/>
  <c r="D30" i="30"/>
  <c r="D42" i="30"/>
  <c r="H19" i="30"/>
  <c r="H16" i="30"/>
  <c r="G41" i="30"/>
  <c r="F26" i="30"/>
  <c r="F42" i="30"/>
  <c r="E30" i="30"/>
  <c r="E26" i="30"/>
  <c r="E11" i="30"/>
  <c r="F18" i="30"/>
  <c r="F30" i="30"/>
  <c r="D28" i="30"/>
  <c r="D36" i="30"/>
  <c r="F39" i="30"/>
  <c r="E35" i="30"/>
  <c r="G36" i="30"/>
  <c r="E33" i="30"/>
  <c r="C12" i="30"/>
  <c r="C32" i="30"/>
  <c r="G37" i="30"/>
  <c r="F13" i="30"/>
  <c r="C13" i="30"/>
  <c r="E16" i="30"/>
  <c r="F41" i="30"/>
  <c r="E19" i="30"/>
  <c r="E37" i="30"/>
  <c r="D14" i="30"/>
  <c r="F23" i="30"/>
  <c r="E38" i="30"/>
  <c r="H22" i="30"/>
  <c r="H39" i="30"/>
  <c r="D27" i="30"/>
  <c r="G39" i="30"/>
  <c r="H33" i="30"/>
  <c r="H11" i="30"/>
  <c r="F40" i="30"/>
  <c r="H42" i="30"/>
  <c r="H23" i="30"/>
  <c r="G34" i="30"/>
  <c r="E13" i="30"/>
  <c r="H20" i="30"/>
  <c r="C30" i="30"/>
  <c r="D39" i="30"/>
  <c r="G11" i="30"/>
  <c r="C19" i="30"/>
  <c r="D33" i="30"/>
  <c r="G15" i="30"/>
  <c r="G31" i="30"/>
  <c r="H13" i="30"/>
  <c r="C42" i="30"/>
  <c r="F36" i="30"/>
  <c r="H30" i="30"/>
  <c r="E17" i="30"/>
  <c r="C25" i="30"/>
  <c r="C26" i="30"/>
  <c r="E21" i="30"/>
  <c r="E12" i="30"/>
  <c r="E40" i="30"/>
  <c r="E14" i="30"/>
  <c r="C29" i="30"/>
  <c r="F37" i="30"/>
  <c r="D20" i="30"/>
  <c r="D26" i="30"/>
  <c r="E24" i="30"/>
  <c r="D35" i="30"/>
  <c r="E31" i="30"/>
  <c r="C40" i="30"/>
  <c r="H32" i="30"/>
  <c r="H14" i="30"/>
  <c r="C33" i="30"/>
  <c r="C15" i="30"/>
  <c r="F29" i="30"/>
  <c r="F35" i="30"/>
  <c r="C36" i="30"/>
  <c r="H21" i="30"/>
  <c r="E36" i="30"/>
  <c r="H27" i="30"/>
  <c r="D18" i="30"/>
  <c r="F38" i="30"/>
  <c r="C24" i="30"/>
  <c r="F32" i="30"/>
  <c r="G28" i="30"/>
  <c r="F11" i="30"/>
  <c r="G22" i="30"/>
  <c r="E23" i="30"/>
  <c r="F27" i="30"/>
  <c r="H17" i="30"/>
  <c r="E32" i="30"/>
  <c r="E28" i="30"/>
  <c r="H40" i="30"/>
  <c r="D24" i="30"/>
  <c r="D17" i="30"/>
  <c r="G25" i="30"/>
  <c r="G27" i="30"/>
  <c r="C27" i="30"/>
  <c r="F14" i="30"/>
  <c r="F20" i="30"/>
  <c r="E41" i="30"/>
  <c r="G14" i="30"/>
  <c r="H15" i="30"/>
  <c r="C34" i="30"/>
  <c r="D38" i="30"/>
  <c r="F19" i="30"/>
  <c r="D34" i="30"/>
  <c r="F31" i="30"/>
  <c r="G26" i="30"/>
  <c r="H26" i="30"/>
  <c r="G20" i="30"/>
  <c r="C14" i="30"/>
  <c r="G23" i="30"/>
  <c r="G16" i="30"/>
  <c r="F16" i="30"/>
  <c r="D21" i="30"/>
  <c r="F21" i="30"/>
  <c r="H37" i="30"/>
  <c r="C17" i="30"/>
  <c r="G17" i="30"/>
  <c r="H18" i="30"/>
  <c r="H36" i="30"/>
  <c r="D13" i="30"/>
  <c r="E18" i="30"/>
  <c r="F22" i="30"/>
  <c r="G21" i="30"/>
  <c r="D16" i="30"/>
  <c r="H38" i="30"/>
  <c r="D31" i="30"/>
  <c r="C35" i="30"/>
  <c r="F28" i="30"/>
  <c r="G30" i="30"/>
  <c r="F33" i="30"/>
  <c r="G35" i="30"/>
  <c r="E20" i="30"/>
  <c r="C18" i="30"/>
  <c r="E42" i="30"/>
  <c r="C23" i="30"/>
  <c r="D19" i="30"/>
  <c r="H12" i="30"/>
  <c r="F34" i="30"/>
  <c r="C41" i="30"/>
  <c r="F17" i="30"/>
  <c r="G42" i="30"/>
  <c r="E15" i="30"/>
  <c r="D23" i="30"/>
  <c r="C28" i="30"/>
  <c r="F24" i="30"/>
  <c r="H41" i="30"/>
  <c r="G24" i="30"/>
  <c r="C22" i="30"/>
  <c r="G18" i="30"/>
  <c r="G33" i="30"/>
  <c r="H34" i="30"/>
  <c r="E39" i="30"/>
  <c r="G38" i="30"/>
  <c r="G13" i="30"/>
  <c r="F25" i="30"/>
  <c r="E29" i="30"/>
  <c r="D37" i="30"/>
  <c r="D25" i="30"/>
  <c r="C39" i="30"/>
  <c r="H31" i="30"/>
  <c r="G19" i="30"/>
  <c r="D15" i="30"/>
  <c r="D29" i="30"/>
  <c r="F12" i="30"/>
  <c r="E25" i="30"/>
  <c r="C16" i="30"/>
  <c r="D32" i="30"/>
  <c r="D12" i="30"/>
  <c r="E22" i="30"/>
  <c r="C20" i="30"/>
  <c r="G12" i="30"/>
  <c r="H29" i="30"/>
  <c r="C38" i="30"/>
  <c r="H35" i="30"/>
  <c r="C31" i="30"/>
  <c r="D40" i="30"/>
  <c r="G40" i="30"/>
  <c r="G29" i="30"/>
  <c r="C11" i="30"/>
  <c r="F15" i="30"/>
  <c r="D43" i="30" l="1"/>
  <c r="F32" i="32"/>
  <c r="F40" i="32"/>
  <c r="F21" i="32"/>
  <c r="F29" i="32"/>
  <c r="F12" i="32"/>
  <c r="F33" i="32"/>
  <c r="F41" i="32"/>
  <c r="F22" i="32"/>
  <c r="F30" i="32"/>
  <c r="F34" i="32"/>
  <c r="F42" i="32"/>
  <c r="F23" i="32"/>
  <c r="F31" i="32"/>
  <c r="F35" i="32"/>
  <c r="F43" i="32"/>
  <c r="F24" i="32"/>
  <c r="F13" i="32"/>
  <c r="F36" i="32"/>
  <c r="F44" i="32"/>
  <c r="F25" i="32"/>
  <c r="F14" i="32"/>
  <c r="F37" i="32"/>
  <c r="F18" i="32"/>
  <c r="F26" i="32"/>
  <c r="F15" i="32"/>
  <c r="F38" i="32"/>
  <c r="F19" i="32"/>
  <c r="F27" i="32"/>
  <c r="F16" i="32"/>
  <c r="F39" i="32"/>
  <c r="F20" i="32"/>
  <c r="F28" i="32"/>
  <c r="F17" i="32"/>
  <c r="D39" i="32"/>
  <c r="D43" i="32"/>
  <c r="D31" i="32"/>
  <c r="D35" i="32"/>
  <c r="D19" i="32"/>
  <c r="D23" i="32"/>
  <c r="D27" i="32"/>
  <c r="D16" i="32"/>
  <c r="C20" i="32"/>
  <c r="D12" i="32"/>
  <c r="C19" i="32"/>
  <c r="C44" i="32"/>
  <c r="C40" i="32"/>
  <c r="C28" i="32"/>
  <c r="C32" i="32"/>
  <c r="C36" i="32"/>
  <c r="C24" i="32"/>
  <c r="C13" i="32"/>
  <c r="C23" i="32"/>
  <c r="D44" i="32"/>
  <c r="D40" i="32"/>
  <c r="D28" i="32"/>
  <c r="D32" i="32"/>
  <c r="D36" i="32"/>
  <c r="D20" i="32"/>
  <c r="D24" i="32"/>
  <c r="D13" i="32"/>
  <c r="C18" i="32"/>
  <c r="C15" i="32"/>
  <c r="C39" i="32"/>
  <c r="C16" i="32"/>
  <c r="C37" i="32"/>
  <c r="C41" i="32"/>
  <c r="C29" i="32"/>
  <c r="C33" i="32"/>
  <c r="C17" i="32"/>
  <c r="C21" i="32"/>
  <c r="C25" i="32"/>
  <c r="C14" i="32"/>
  <c r="C34" i="32"/>
  <c r="C43" i="32"/>
  <c r="D37" i="32"/>
  <c r="D41" i="32"/>
  <c r="D29" i="32"/>
  <c r="D33" i="32"/>
  <c r="D17" i="32"/>
  <c r="D21" i="32"/>
  <c r="D25" i="32"/>
  <c r="D14" i="32"/>
  <c r="C26" i="32"/>
  <c r="C38" i="32"/>
  <c r="C42" i="32"/>
  <c r="C30" i="32"/>
  <c r="C22" i="32"/>
  <c r="C35" i="32"/>
  <c r="D38" i="32"/>
  <c r="D42" i="32"/>
  <c r="D30" i="32"/>
  <c r="D34" i="32"/>
  <c r="D18" i="32"/>
  <c r="D22" i="32"/>
  <c r="D26" i="32"/>
  <c r="D15" i="32"/>
  <c r="C31" i="32"/>
  <c r="C27" i="32"/>
  <c r="D40" i="31"/>
  <c r="D12" i="31"/>
  <c r="D21" i="31"/>
  <c r="D37" i="31"/>
  <c r="D29" i="31"/>
  <c r="D28" i="31"/>
  <c r="D27" i="31"/>
  <c r="D24" i="31"/>
  <c r="D32" i="31"/>
  <c r="D15" i="31"/>
  <c r="D36" i="31"/>
  <c r="D14" i="31"/>
  <c r="D19" i="31"/>
  <c r="D13" i="31"/>
  <c r="D18" i="31"/>
  <c r="D34" i="31"/>
  <c r="D26" i="31"/>
  <c r="D16" i="31"/>
  <c r="D20" i="31"/>
  <c r="D35" i="31"/>
  <c r="D25" i="31"/>
  <c r="D17" i="31"/>
  <c r="D33" i="31"/>
  <c r="D43" i="31"/>
  <c r="D42" i="31"/>
  <c r="D41" i="31"/>
  <c r="D23" i="31"/>
  <c r="D39" i="31"/>
  <c r="D31" i="31"/>
  <c r="D22" i="31"/>
  <c r="D38" i="31"/>
  <c r="D30" i="31"/>
  <c r="F42" i="107"/>
  <c r="G39" i="107"/>
  <c r="B40" i="107"/>
  <c r="D34" i="107"/>
  <c r="D41" i="107"/>
  <c r="E41" i="107"/>
  <c r="G42" i="107"/>
  <c r="H40" i="107"/>
  <c r="F35" i="107"/>
  <c r="E35" i="107"/>
  <c r="D40" i="107"/>
  <c r="G34" i="107"/>
  <c r="C37" i="107"/>
  <c r="B33" i="107"/>
  <c r="H42" i="107"/>
  <c r="C34" i="107"/>
  <c r="H37" i="107"/>
  <c r="F36" i="107"/>
  <c r="F41" i="107"/>
  <c r="H35" i="107"/>
  <c r="D38" i="107"/>
  <c r="B34" i="107"/>
  <c r="E36" i="107"/>
  <c r="C40" i="107"/>
  <c r="G37" i="107"/>
  <c r="E34" i="107"/>
  <c r="B37" i="107"/>
  <c r="E39" i="107"/>
  <c r="H33" i="107"/>
  <c r="D33" i="107"/>
  <c r="C33" i="107"/>
  <c r="B42" i="107"/>
  <c r="C35" i="107"/>
  <c r="F37" i="107"/>
  <c r="C39" i="107"/>
  <c r="H38" i="107"/>
  <c r="F34" i="107"/>
  <c r="C38" i="107"/>
  <c r="F40" i="107"/>
  <c r="G33" i="107"/>
  <c r="D36" i="107"/>
  <c r="G38" i="107"/>
  <c r="D39" i="107"/>
  <c r="C41" i="107"/>
  <c r="G35" i="107"/>
  <c r="G41" i="107"/>
  <c r="B38" i="107"/>
  <c r="B36" i="107"/>
  <c r="C42" i="107"/>
  <c r="E40" i="107"/>
  <c r="F33" i="107"/>
  <c r="C36" i="107"/>
  <c r="E38" i="107"/>
  <c r="D42" i="107"/>
  <c r="E37" i="107"/>
  <c r="H39" i="107"/>
  <c r="G40" i="107"/>
  <c r="G36" i="107"/>
  <c r="H36" i="107"/>
  <c r="H41" i="107"/>
  <c r="B35" i="107"/>
  <c r="E33" i="107"/>
  <c r="E42" i="107"/>
  <c r="F38" i="107"/>
  <c r="B41" i="107"/>
  <c r="D35" i="107"/>
  <c r="B39" i="107"/>
  <c r="H34" i="107"/>
  <c r="D37" i="107"/>
  <c r="F39" i="107"/>
  <c r="B18" i="107"/>
  <c r="H17" i="107"/>
  <c r="D19" i="107"/>
  <c r="E11" i="107"/>
  <c r="F19" i="107"/>
  <c r="F15" i="107"/>
  <c r="H19" i="107"/>
  <c r="G16" i="107"/>
  <c r="D11" i="107"/>
  <c r="F12" i="107"/>
  <c r="F11" i="107"/>
  <c r="G11" i="107"/>
  <c r="H11" i="107"/>
  <c r="B12" i="107"/>
  <c r="H10" i="107"/>
  <c r="B14" i="107"/>
  <c r="F10" i="107"/>
  <c r="C17" i="107"/>
  <c r="B15" i="107"/>
  <c r="D15" i="107"/>
  <c r="E10" i="107"/>
  <c r="H15" i="107"/>
  <c r="D16" i="107"/>
  <c r="F16" i="107"/>
  <c r="B17" i="107"/>
  <c r="G19" i="107"/>
  <c r="F17" i="107"/>
  <c r="G17" i="107"/>
  <c r="C10" i="107"/>
  <c r="B11" i="107"/>
  <c r="C18" i="107"/>
  <c r="E18" i="107"/>
  <c r="C12" i="107"/>
  <c r="G18" i="107"/>
  <c r="B10" i="107"/>
  <c r="C19" i="107"/>
  <c r="C11" i="107"/>
  <c r="G13" i="107"/>
  <c r="E12" i="107"/>
  <c r="B16" i="107"/>
  <c r="G12" i="107"/>
  <c r="H12" i="107"/>
  <c r="B13" i="107"/>
  <c r="C13" i="107"/>
  <c r="G10" i="107"/>
  <c r="D12" i="107"/>
  <c r="H14" i="107"/>
  <c r="F13" i="107"/>
  <c r="D18" i="107"/>
  <c r="H13" i="107"/>
  <c r="C14" i="107"/>
  <c r="D14" i="107"/>
  <c r="G14" i="107"/>
  <c r="E17" i="107"/>
  <c r="C15" i="107"/>
  <c r="E15" i="107"/>
  <c r="E19" i="107"/>
  <c r="H18" i="107"/>
  <c r="C16" i="107"/>
  <c r="E16" i="107"/>
  <c r="D10" i="107"/>
  <c r="G15" i="107"/>
  <c r="F18" i="107"/>
  <c r="E14" i="107"/>
  <c r="D17" i="107"/>
  <c r="E13" i="107"/>
  <c r="F14" i="107"/>
  <c r="H16" i="107"/>
  <c r="D13" i="107"/>
  <c r="B19" i="107"/>
  <c r="C11" i="120" l="1"/>
  <c r="B13" i="120"/>
  <c r="J14" i="120"/>
  <c r="J15" i="120"/>
  <c r="H11" i="120"/>
  <c r="H10" i="120"/>
  <c r="G14" i="120"/>
  <c r="D14" i="120"/>
  <c r="C10" i="120"/>
  <c r="E15" i="120"/>
  <c r="H12" i="120"/>
  <c r="I10" i="120"/>
  <c r="B11" i="120"/>
  <c r="B12" i="120"/>
  <c r="J13" i="120"/>
  <c r="I15" i="120"/>
  <c r="G13" i="120"/>
  <c r="G12" i="120"/>
  <c r="G10" i="120"/>
  <c r="D13" i="120"/>
  <c r="B14" i="120"/>
  <c r="J11" i="120"/>
  <c r="J12" i="120"/>
  <c r="I14" i="120"/>
  <c r="F14" i="120"/>
  <c r="G11" i="120"/>
  <c r="F13" i="120"/>
  <c r="F10" i="120"/>
  <c r="I11" i="120"/>
  <c r="I12" i="120"/>
  <c r="I13" i="120"/>
  <c r="H15" i="120"/>
  <c r="F11" i="120"/>
  <c r="F12" i="120"/>
  <c r="E14" i="120"/>
  <c r="E10" i="120"/>
  <c r="D12" i="120"/>
  <c r="B15" i="120"/>
  <c r="H13" i="120"/>
  <c r="H14" i="120"/>
  <c r="E11" i="120"/>
  <c r="E12" i="120"/>
  <c r="E13" i="120"/>
  <c r="D15" i="120"/>
  <c r="D10" i="120"/>
  <c r="G15" i="120"/>
  <c r="C12" i="120"/>
  <c r="F15" i="120"/>
  <c r="D11" i="120"/>
  <c r="C13" i="120"/>
  <c r="C14" i="120"/>
  <c r="C15" i="120"/>
  <c r="J10" i="120"/>
  <c r="B10" i="120"/>
  <c r="C34" i="81"/>
  <c r="F39" i="81"/>
  <c r="D35" i="81"/>
  <c r="G40" i="81"/>
  <c r="D34" i="81"/>
  <c r="C32" i="81"/>
  <c r="E34" i="81"/>
  <c r="G36" i="81"/>
  <c r="F35" i="81"/>
  <c r="F34" i="81"/>
  <c r="H16" i="81"/>
  <c r="F16" i="81"/>
  <c r="H12" i="81"/>
  <c r="G14" i="81"/>
  <c r="D15" i="81"/>
  <c r="D11" i="81"/>
  <c r="D17" i="81"/>
  <c r="D16" i="81"/>
  <c r="E17" i="81"/>
  <c r="E11" i="81"/>
  <c r="E36" i="81"/>
  <c r="B41" i="81"/>
  <c r="C20" i="81"/>
  <c r="F38" i="81"/>
  <c r="E32" i="81"/>
  <c r="C33" i="81"/>
  <c r="D32" i="81"/>
  <c r="B42" i="81"/>
  <c r="D33" i="81"/>
  <c r="C35" i="81"/>
  <c r="E37" i="81"/>
  <c r="E33" i="81"/>
  <c r="F41" i="81"/>
  <c r="E12" i="81"/>
  <c r="D13" i="81"/>
  <c r="B11" i="81"/>
  <c r="G19" i="81"/>
  <c r="D20" i="81"/>
  <c r="B20" i="81"/>
  <c r="G11" i="81"/>
  <c r="C18" i="81"/>
  <c r="B19" i="81"/>
  <c r="B21" i="81"/>
  <c r="H42" i="81"/>
  <c r="G37" i="81"/>
  <c r="F15" i="81"/>
  <c r="C41" i="81"/>
  <c r="F37" i="81"/>
  <c r="D42" i="81"/>
  <c r="E35" i="81"/>
  <c r="D41" i="81"/>
  <c r="C38" i="81"/>
  <c r="E41" i="81"/>
  <c r="E39" i="81"/>
  <c r="F42" i="81"/>
  <c r="D37" i="81"/>
  <c r="F21" i="81"/>
  <c r="F18" i="81"/>
  <c r="E20" i="81"/>
  <c r="E19" i="81"/>
  <c r="H15" i="81"/>
  <c r="G16" i="81"/>
  <c r="G15" i="81"/>
  <c r="G13" i="81"/>
  <c r="F14" i="81"/>
  <c r="G42" i="81"/>
  <c r="B13" i="81"/>
  <c r="F19" i="81"/>
  <c r="B39" i="81"/>
  <c r="E42" i="81"/>
  <c r="C40" i="81"/>
  <c r="D40" i="81"/>
  <c r="C39" i="81"/>
  <c r="B34" i="81"/>
  <c r="D39" i="81"/>
  <c r="G32" i="81"/>
  <c r="E40" i="81"/>
  <c r="C42" i="81"/>
  <c r="C17" i="81"/>
  <c r="B18" i="81"/>
  <c r="G20" i="81"/>
  <c r="B15" i="81"/>
  <c r="F17" i="81"/>
  <c r="D12" i="81"/>
  <c r="H19" i="81"/>
  <c r="B14" i="81"/>
  <c r="E16" i="81"/>
  <c r="G41" i="81"/>
  <c r="D21" i="81"/>
  <c r="E13" i="81"/>
  <c r="H36" i="81"/>
  <c r="B36" i="81"/>
  <c r="B38" i="81"/>
  <c r="H33" i="81"/>
  <c r="B37" i="81"/>
  <c r="G35" i="81"/>
  <c r="C37" i="81"/>
  <c r="B40" i="81"/>
  <c r="D38" i="81"/>
  <c r="E38" i="81"/>
  <c r="G12" i="81"/>
  <c r="F13" i="81"/>
  <c r="G17" i="81"/>
  <c r="C14" i="81"/>
  <c r="F20" i="81"/>
  <c r="E21" i="81"/>
  <c r="B12" i="81"/>
  <c r="E18" i="81"/>
  <c r="D19" i="81"/>
  <c r="H41" i="81"/>
  <c r="C19" i="81"/>
  <c r="G34" i="81"/>
  <c r="B32" i="81"/>
  <c r="H35" i="81"/>
  <c r="B33" i="81"/>
  <c r="H34" i="81"/>
  <c r="F32" i="81"/>
  <c r="B35" i="81"/>
  <c r="F40" i="81"/>
  <c r="C36" i="81"/>
  <c r="E15" i="81"/>
  <c r="H21" i="81"/>
  <c r="C15" i="81"/>
  <c r="E14" i="81"/>
  <c r="D14" i="81"/>
  <c r="C16" i="81"/>
  <c r="B17" i="81"/>
  <c r="C21" i="81"/>
  <c r="F11" i="81"/>
  <c r="H14" i="81"/>
  <c r="H38" i="81"/>
  <c r="C13" i="81"/>
  <c r="D36" i="81"/>
  <c r="H37" i="81"/>
  <c r="G33" i="81"/>
  <c r="F33" i="81"/>
  <c r="G39" i="81"/>
  <c r="G38" i="81"/>
  <c r="H40" i="81"/>
  <c r="H39" i="81"/>
  <c r="H32" i="81"/>
  <c r="C12" i="81"/>
  <c r="C11" i="81"/>
  <c r="D18" i="81"/>
  <c r="H20" i="81"/>
  <c r="H18" i="81"/>
  <c r="H11" i="81"/>
  <c r="F12" i="81"/>
  <c r="H17" i="81"/>
  <c r="B16" i="81"/>
  <c r="G18" i="81"/>
  <c r="F36" i="81"/>
  <c r="H13" i="81"/>
  <c r="G21" i="81"/>
  <c r="E38" i="137"/>
  <c r="E42" i="137"/>
  <c r="D36" i="137"/>
  <c r="C41" i="137"/>
  <c r="E39" i="137"/>
  <c r="C45" i="137"/>
  <c r="C43" i="137"/>
  <c r="E14" i="137"/>
  <c r="E16" i="137"/>
  <c r="F20" i="137"/>
  <c r="E11" i="137"/>
  <c r="G16" i="137"/>
  <c r="G18" i="137"/>
  <c r="F15" i="137"/>
  <c r="B14" i="137"/>
  <c r="F37" i="137"/>
  <c r="G17" i="137"/>
  <c r="B43" i="137"/>
  <c r="B41" i="137"/>
  <c r="E41" i="137"/>
  <c r="B44" i="137"/>
  <c r="C39" i="137"/>
  <c r="C37" i="137"/>
  <c r="B40" i="137"/>
  <c r="E18" i="137"/>
  <c r="D19" i="137"/>
  <c r="G12" i="137"/>
  <c r="B16" i="137"/>
  <c r="D18" i="137"/>
  <c r="F12" i="137"/>
  <c r="F17" i="137"/>
  <c r="D15" i="137"/>
  <c r="D41" i="137"/>
  <c r="E13" i="137"/>
  <c r="C14" i="137"/>
  <c r="F42" i="137"/>
  <c r="G36" i="137"/>
  <c r="G41" i="137"/>
  <c r="C36" i="137"/>
  <c r="D39" i="137"/>
  <c r="F40" i="137"/>
  <c r="F36" i="137"/>
  <c r="B18" i="137"/>
  <c r="G20" i="137"/>
  <c r="D16" i="137"/>
  <c r="F13" i="137"/>
  <c r="C19" i="137"/>
  <c r="D14" i="137"/>
  <c r="F19" i="137"/>
  <c r="C11" i="137"/>
  <c r="D45" i="137"/>
  <c r="G42" i="137"/>
  <c r="D43" i="137"/>
  <c r="E37" i="137"/>
  <c r="E40" i="137"/>
  <c r="E44" i="137"/>
  <c r="G38" i="137"/>
  <c r="B39" i="137"/>
  <c r="E19" i="137"/>
  <c r="D12" i="137"/>
  <c r="B13" i="137"/>
  <c r="E15" i="137"/>
  <c r="C20" i="137"/>
  <c r="B19" i="137"/>
  <c r="C12" i="137"/>
  <c r="G13" i="137"/>
  <c r="G45" i="137"/>
  <c r="D20" i="137"/>
  <c r="C44" i="137"/>
  <c r="E45" i="137"/>
  <c r="F44" i="137"/>
  <c r="F43" i="137"/>
  <c r="E43" i="137"/>
  <c r="D38" i="137"/>
  <c r="E36" i="137"/>
  <c r="G37" i="137"/>
  <c r="C13" i="137"/>
  <c r="C17" i="137"/>
  <c r="D13" i="137"/>
  <c r="B17" i="137"/>
  <c r="C18" i="137"/>
  <c r="F11" i="137"/>
  <c r="E12" i="137"/>
  <c r="F38" i="137"/>
  <c r="G19" i="137"/>
  <c r="D44" i="137"/>
  <c r="B37" i="137"/>
  <c r="G40" i="137"/>
  <c r="D40" i="137"/>
  <c r="C40" i="137"/>
  <c r="G39" i="137"/>
  <c r="B36" i="137"/>
  <c r="F39" i="137"/>
  <c r="G15" i="137"/>
  <c r="B12" i="137"/>
  <c r="C16" i="137"/>
  <c r="D11" i="137"/>
  <c r="B11" i="137"/>
  <c r="F14" i="137"/>
  <c r="C15" i="137"/>
  <c r="F45" i="137"/>
  <c r="B15" i="137"/>
  <c r="G44" i="137"/>
  <c r="B42" i="137"/>
  <c r="B38" i="137"/>
  <c r="C38" i="137"/>
  <c r="C42" i="137"/>
  <c r="D42" i="137"/>
  <c r="G43" i="137"/>
  <c r="D37" i="137"/>
  <c r="G11" i="137"/>
  <c r="G14" i="137"/>
  <c r="E20" i="137"/>
  <c r="D17" i="137"/>
  <c r="B20" i="137"/>
  <c r="E17" i="137"/>
  <c r="F16" i="137"/>
  <c r="F41" i="137"/>
  <c r="F18" i="137"/>
  <c r="D17" i="82"/>
  <c r="D19" i="82"/>
  <c r="B13" i="82"/>
  <c r="G11" i="82"/>
  <c r="G14" i="82"/>
  <c r="F20" i="82"/>
  <c r="G12" i="82"/>
  <c r="F12" i="82"/>
  <c r="E20" i="82"/>
  <c r="C20" i="82"/>
  <c r="D18" i="82"/>
  <c r="F17" i="82"/>
  <c r="E13" i="82"/>
  <c r="E11" i="82"/>
  <c r="C13" i="82"/>
  <c r="G15" i="82"/>
  <c r="E15" i="82"/>
  <c r="E14" i="82"/>
  <c r="D12" i="82"/>
  <c r="F18" i="82"/>
  <c r="B20" i="82"/>
  <c r="D16" i="82"/>
  <c r="B12" i="82"/>
  <c r="D11" i="82"/>
  <c r="C11" i="82"/>
  <c r="C17" i="82"/>
  <c r="E18" i="82"/>
  <c r="C14" i="82"/>
  <c r="F13" i="82"/>
  <c r="B15" i="82"/>
  <c r="C15" i="82"/>
  <c r="D13" i="82"/>
  <c r="F14" i="82"/>
  <c r="E16" i="82"/>
  <c r="B11" i="82"/>
  <c r="F11" i="82"/>
  <c r="B14" i="82"/>
  <c r="E12" i="82"/>
  <c r="G13" i="82"/>
  <c r="B17" i="82"/>
  <c r="C16" i="82"/>
  <c r="E17" i="82"/>
  <c r="B16" i="82"/>
  <c r="G20" i="82"/>
  <c r="G16" i="82"/>
  <c r="C18" i="82"/>
  <c r="D14" i="82"/>
  <c r="B18" i="82"/>
  <c r="B19" i="82"/>
  <c r="D20" i="82"/>
  <c r="G18" i="82"/>
  <c r="E19" i="82"/>
  <c r="G19" i="82"/>
  <c r="D15" i="82"/>
  <c r="F16" i="82"/>
  <c r="F15" i="82"/>
  <c r="G17" i="82"/>
  <c r="C19" i="82"/>
  <c r="C12" i="82"/>
  <c r="F19" i="82"/>
  <c r="B36" i="82"/>
  <c r="G44" i="82"/>
  <c r="G42" i="82"/>
  <c r="D36" i="82"/>
  <c r="E40" i="82"/>
  <c r="B38" i="82"/>
  <c r="G40" i="82"/>
  <c r="E35" i="82"/>
  <c r="D42" i="82"/>
  <c r="C44" i="82"/>
  <c r="F37" i="82"/>
  <c r="C43" i="82"/>
  <c r="D39" i="82"/>
  <c r="F39" i="82"/>
  <c r="D35" i="82"/>
  <c r="G39" i="82"/>
  <c r="G37" i="82"/>
  <c r="B39" i="82"/>
  <c r="E43" i="82"/>
  <c r="F40" i="82"/>
  <c r="E38" i="82"/>
  <c r="C35" i="82"/>
  <c r="G41" i="82"/>
  <c r="B42" i="82"/>
  <c r="G36" i="82"/>
  <c r="D37" i="82"/>
  <c r="F38" i="82"/>
  <c r="B40" i="82"/>
  <c r="D41" i="82"/>
  <c r="E37" i="82"/>
  <c r="C42" i="82"/>
  <c r="F41" i="82"/>
  <c r="C37" i="82"/>
  <c r="D43" i="82"/>
  <c r="B37" i="82"/>
  <c r="F43" i="82"/>
  <c r="G35" i="82"/>
  <c r="C41" i="82"/>
  <c r="E39" i="82"/>
  <c r="D40" i="82"/>
  <c r="F42" i="82"/>
  <c r="G38" i="82"/>
  <c r="D38" i="82"/>
  <c r="B43" i="82"/>
  <c r="E42" i="82"/>
  <c r="F44" i="82"/>
  <c r="G43" i="82"/>
  <c r="C40" i="82"/>
  <c r="D44" i="82"/>
  <c r="E36" i="82"/>
  <c r="C38" i="82"/>
  <c r="E41" i="82"/>
  <c r="C39" i="82"/>
  <c r="F36" i="82"/>
  <c r="F35" i="82"/>
  <c r="C36" i="82"/>
  <c r="B41" i="82"/>
  <c r="B35" i="82"/>
  <c r="B44" i="82"/>
  <c r="E44" i="82"/>
  <c r="L10" i="120" l="1"/>
  <c r="B16" i="120"/>
  <c r="J16" i="120"/>
  <c r="T10" i="120" s="1"/>
  <c r="M15" i="120"/>
  <c r="M13" i="120"/>
  <c r="N11" i="120"/>
  <c r="P15" i="120"/>
  <c r="D16" i="120"/>
  <c r="N15" i="120" s="1"/>
  <c r="N10" i="120"/>
  <c r="O13" i="120"/>
  <c r="O12" i="120"/>
  <c r="O11" i="120"/>
  <c r="L15" i="120"/>
  <c r="N12" i="120"/>
  <c r="E16" i="120"/>
  <c r="O10" i="120"/>
  <c r="O14" i="120"/>
  <c r="P12" i="120"/>
  <c r="S13" i="120"/>
  <c r="S12" i="120"/>
  <c r="S11" i="120"/>
  <c r="F16" i="120"/>
  <c r="P11" i="120" s="1"/>
  <c r="P10" i="120"/>
  <c r="P13" i="120"/>
  <c r="S14" i="120"/>
  <c r="T12" i="120"/>
  <c r="L14" i="120"/>
  <c r="N13" i="120"/>
  <c r="G16" i="120"/>
  <c r="Q11" i="120" s="1"/>
  <c r="S15" i="120"/>
  <c r="L12" i="120"/>
  <c r="L11" i="120"/>
  <c r="S10" i="120"/>
  <c r="I16" i="120"/>
  <c r="O15" i="120"/>
  <c r="M10" i="120"/>
  <c r="C16" i="120"/>
  <c r="M12" i="120" s="1"/>
  <c r="N14" i="120"/>
  <c r="H16" i="120"/>
  <c r="R14" i="120" s="1"/>
  <c r="T15" i="120"/>
  <c r="T14" i="120"/>
  <c r="L13" i="120"/>
  <c r="M11" i="120"/>
  <c r="F20" i="138"/>
  <c r="E20" i="138"/>
  <c r="C20" i="138"/>
  <c r="D20" i="138"/>
  <c r="A29" i="28"/>
  <c r="A25" i="28"/>
  <c r="F83" i="28"/>
  <c r="F82" i="28"/>
  <c r="F74" i="28"/>
  <c r="F85" i="28"/>
  <c r="F80" i="28"/>
  <c r="F72" i="28"/>
  <c r="F78" i="28"/>
  <c r="F73" i="28"/>
  <c r="F76" i="28"/>
  <c r="F84" i="28"/>
  <c r="F79" i="28"/>
  <c r="F81" i="28"/>
  <c r="F75" i="28"/>
  <c r="F77" i="28"/>
  <c r="T13" i="120" l="1"/>
  <c r="T11" i="120"/>
  <c r="M14" i="120"/>
  <c r="R11" i="120"/>
  <c r="R12" i="120"/>
  <c r="Q12" i="120"/>
  <c r="P14" i="120"/>
  <c r="R15" i="120"/>
  <c r="R13" i="120"/>
  <c r="Q15" i="120"/>
  <c r="Q14" i="120"/>
  <c r="Q13" i="120"/>
  <c r="R10" i="120"/>
  <c r="Q10" i="120"/>
  <c r="G20" i="28"/>
  <c r="B18" i="28"/>
  <c r="B17" i="28"/>
  <c r="B15" i="28"/>
  <c r="C13" i="28"/>
  <c r="B16" i="28"/>
  <c r="D23" i="28"/>
  <c r="G19" i="28"/>
  <c r="B22" i="28"/>
  <c r="F14" i="28"/>
  <c r="F20" i="28"/>
  <c r="B12" i="28"/>
  <c r="D12" i="28"/>
  <c r="D20" i="28"/>
  <c r="B13" i="28"/>
  <c r="F13" i="28"/>
  <c r="F23" i="28"/>
  <c r="C10" i="28"/>
  <c r="G18" i="28"/>
  <c r="C22" i="28"/>
  <c r="C19" i="28"/>
  <c r="F17" i="28"/>
  <c r="D18" i="28"/>
  <c r="C18" i="28"/>
  <c r="B11" i="28"/>
  <c r="C17" i="28"/>
  <c r="D13" i="28"/>
  <c r="D10" i="28"/>
  <c r="G17" i="28"/>
  <c r="D16" i="28"/>
  <c r="G15" i="28"/>
  <c r="B14" i="28"/>
  <c r="C21" i="28"/>
  <c r="G13" i="28"/>
  <c r="C20" i="28"/>
  <c r="B20" i="28"/>
  <c r="D14" i="28"/>
  <c r="C16" i="28"/>
  <c r="B10" i="28"/>
  <c r="G16" i="28"/>
  <c r="D17" i="28"/>
  <c r="C15" i="28"/>
  <c r="B23" i="28"/>
  <c r="G14" i="28"/>
  <c r="D21" i="28"/>
  <c r="D22" i="28"/>
  <c r="C12" i="28"/>
  <c r="D15" i="28"/>
  <c r="B21" i="28"/>
  <c r="F19" i="28"/>
  <c r="D19" i="28"/>
  <c r="D11" i="28"/>
  <c r="F15" i="28"/>
  <c r="G23" i="28"/>
  <c r="C11" i="28"/>
  <c r="F18" i="28"/>
  <c r="C23" i="28"/>
  <c r="C14" i="28"/>
  <c r="F16" i="28"/>
  <c r="B19" i="28"/>
  <c r="D85" i="28" l="1"/>
  <c r="C85" i="28"/>
  <c r="E85" i="28"/>
  <c r="B85" i="28"/>
  <c r="B59" i="28"/>
  <c r="C59" i="28"/>
  <c r="E59" i="28"/>
  <c r="D59" i="28"/>
  <c r="B46" i="28"/>
  <c r="B30" i="28"/>
  <c r="B31" i="28" s="1"/>
  <c r="C30" i="28"/>
  <c r="C31" i="28" s="1"/>
  <c r="D30" i="28"/>
  <c r="D31" i="28" s="1"/>
  <c r="E30" i="28"/>
  <c r="E31" i="28" s="1"/>
  <c r="B27" i="28"/>
  <c r="C26" i="28"/>
  <c r="C27" i="28" s="1"/>
  <c r="D26" i="28"/>
  <c r="D27" i="28" s="1"/>
  <c r="E26" i="28"/>
  <c r="E27" i="28" s="1"/>
  <c r="D20" i="16"/>
  <c r="D10" i="16"/>
  <c r="D44" i="16"/>
  <c r="D43" i="16"/>
  <c r="D34" i="16"/>
  <c r="D50" i="16"/>
  <c r="D26" i="16"/>
  <c r="D40" i="16"/>
  <c r="D46" i="16"/>
  <c r="D22" i="16"/>
  <c r="D52" i="16"/>
  <c r="D41" i="16"/>
  <c r="D15" i="16"/>
  <c r="D21" i="16"/>
  <c r="D16" i="16"/>
  <c r="D51" i="16"/>
  <c r="D13" i="16"/>
  <c r="D27" i="16"/>
  <c r="D12" i="16"/>
  <c r="D42" i="16"/>
  <c r="D36" i="16"/>
  <c r="D32" i="16"/>
  <c r="D14" i="16"/>
  <c r="D31" i="16"/>
  <c r="D35" i="16"/>
  <c r="D33" i="16"/>
  <c r="D45" i="16"/>
  <c r="D11" i="16"/>
  <c r="D17" i="16" l="1"/>
  <c r="D23" i="16"/>
  <c r="D37" i="16"/>
  <c r="D47" i="16"/>
  <c r="D53" i="16"/>
  <c r="B52" i="76"/>
  <c r="F68" i="76"/>
  <c r="E52" i="76"/>
  <c r="E68" i="76"/>
  <c r="C68" i="76"/>
  <c r="B68" i="76"/>
  <c r="F52" i="76"/>
  <c r="D52" i="76"/>
  <c r="C52" i="76"/>
  <c r="B23" i="76"/>
  <c r="F23" i="76"/>
  <c r="C23" i="76"/>
  <c r="E23" i="76"/>
  <c r="D23" i="76"/>
  <c r="G23" i="76" l="1"/>
  <c r="D26" i="18" l="1"/>
  <c r="C23" i="19"/>
  <c r="B23" i="19"/>
  <c r="G23" i="19"/>
  <c r="D23" i="19"/>
  <c r="F23" i="19"/>
  <c r="C49" i="12"/>
  <c r="C39" i="125"/>
  <c r="A39" i="15" l="1"/>
  <c r="B39" i="15"/>
  <c r="C39" i="15"/>
  <c r="D39" i="15"/>
  <c r="E39" i="15"/>
  <c r="F39" i="15"/>
  <c r="G39" i="15"/>
  <c r="H39" i="15"/>
  <c r="I39" i="15"/>
  <c r="J39" i="15"/>
  <c r="K39" i="15"/>
  <c r="L39" i="15"/>
  <c r="M39" i="15"/>
  <c r="N39" i="15"/>
  <c r="O39" i="15"/>
  <c r="P39" i="15"/>
  <c r="Q39" i="15"/>
  <c r="B23" i="15"/>
  <c r="J23" i="15"/>
  <c r="K23" i="15"/>
  <c r="C23" i="15"/>
  <c r="D23" i="15"/>
  <c r="L23" i="15"/>
  <c r="E23" i="15"/>
  <c r="M23" i="15"/>
  <c r="I23" i="15"/>
  <c r="F23" i="15"/>
  <c r="G23" i="15"/>
  <c r="H23" i="15"/>
  <c r="G43" i="21"/>
  <c r="C43" i="21"/>
  <c r="I43" i="21"/>
  <c r="B43" i="21"/>
  <c r="E43" i="21"/>
  <c r="F43" i="21"/>
  <c r="H43" i="21"/>
  <c r="C22" i="21"/>
  <c r="I22" i="21"/>
  <c r="D22" i="21"/>
  <c r="E22" i="21"/>
  <c r="F22" i="21"/>
  <c r="G22" i="21"/>
  <c r="H22" i="21"/>
  <c r="B22" i="21"/>
  <c r="N19" i="20"/>
  <c r="E14" i="20"/>
  <c r="V23" i="20"/>
  <c r="N22" i="20"/>
  <c r="C11" i="20"/>
  <c r="V21" i="20"/>
  <c r="N18" i="20"/>
  <c r="K12" i="20"/>
  <c r="T12" i="20"/>
  <c r="R14" i="20"/>
  <c r="M20" i="20"/>
  <c r="G22" i="20"/>
  <c r="W12" i="20"/>
  <c r="V17" i="20"/>
  <c r="P23" i="20"/>
  <c r="J21" i="20"/>
  <c r="D16" i="20"/>
  <c r="B12" i="20"/>
  <c r="Q21" i="20"/>
  <c r="E19" i="20"/>
  <c r="T13" i="20"/>
  <c r="P11" i="20"/>
  <c r="B22" i="20"/>
  <c r="T16" i="20"/>
  <c r="N16" i="20"/>
  <c r="L14" i="20"/>
  <c r="W17" i="20"/>
  <c r="R13" i="20"/>
  <c r="M21" i="20"/>
  <c r="E16" i="20"/>
  <c r="Y22" i="20"/>
  <c r="U19" i="20"/>
  <c r="O16" i="20"/>
  <c r="I22" i="20"/>
  <c r="B17" i="20"/>
  <c r="D23" i="20"/>
  <c r="F21" i="20"/>
  <c r="X21" i="20"/>
  <c r="O14" i="20"/>
  <c r="B19" i="20"/>
  <c r="B15" i="20"/>
  <c r="K23" i="20"/>
  <c r="F13" i="20"/>
  <c r="T15" i="20"/>
  <c r="S22" i="20"/>
  <c r="V18" i="20"/>
  <c r="C17" i="20"/>
  <c r="M12" i="20"/>
  <c r="K15" i="20"/>
  <c r="K11" i="20"/>
  <c r="S11" i="20"/>
  <c r="Q18" i="20"/>
  <c r="U21" i="20"/>
  <c r="G14" i="20"/>
  <c r="L15" i="20"/>
  <c r="D13" i="20"/>
  <c r="U16" i="20"/>
  <c r="K16" i="20"/>
  <c r="X20" i="20"/>
  <c r="U14" i="20"/>
  <c r="O18" i="20"/>
  <c r="F23" i="20"/>
  <c r="V19" i="20"/>
  <c r="R19" i="20"/>
  <c r="L21" i="20"/>
  <c r="G16" i="20"/>
  <c r="X15" i="20"/>
  <c r="R17" i="20"/>
  <c r="O22" i="20"/>
  <c r="I19" i="20"/>
  <c r="S12" i="20"/>
  <c r="B16" i="20"/>
  <c r="O13" i="20"/>
  <c r="D18" i="20"/>
  <c r="U13" i="20"/>
  <c r="L16" i="20"/>
  <c r="X17" i="20"/>
  <c r="T14" i="20"/>
  <c r="O21" i="20"/>
  <c r="G12" i="20"/>
  <c r="U15" i="20"/>
  <c r="S21" i="20"/>
  <c r="M23" i="20"/>
  <c r="G21" i="20"/>
  <c r="X22" i="20"/>
  <c r="R12" i="20"/>
  <c r="O19" i="20"/>
  <c r="G17" i="20"/>
  <c r="R23" i="20"/>
  <c r="J23" i="20"/>
  <c r="T11" i="20"/>
  <c r="S17" i="20"/>
  <c r="U17" i="20"/>
  <c r="P20" i="20"/>
  <c r="W23" i="20"/>
  <c r="R18" i="20"/>
  <c r="N20" i="20"/>
  <c r="L11" i="20"/>
  <c r="F16" i="20"/>
  <c r="D15" i="20"/>
  <c r="K17" i="20"/>
  <c r="Y21" i="20"/>
  <c r="F22" i="20"/>
  <c r="C22" i="20"/>
  <c r="V15" i="20"/>
  <c r="N11" i="20"/>
  <c r="I23" i="20"/>
  <c r="L22" i="20"/>
  <c r="X12" i="20"/>
  <c r="T22" i="20"/>
  <c r="H21" i="20"/>
  <c r="Y15" i="20"/>
  <c r="Q12" i="20"/>
  <c r="P21" i="20"/>
  <c r="G11" i="20"/>
  <c r="V14" i="20"/>
  <c r="P17" i="20"/>
  <c r="M14" i="20"/>
  <c r="F11" i="20"/>
  <c r="W21" i="20"/>
  <c r="Q23" i="20"/>
  <c r="P14" i="20"/>
  <c r="F18" i="20"/>
  <c r="N23" i="20"/>
  <c r="J22" i="20"/>
  <c r="K13" i="20"/>
  <c r="Y14" i="20"/>
  <c r="V13" i="20"/>
  <c r="H22" i="20"/>
  <c r="Y20" i="20"/>
  <c r="U20" i="20"/>
  <c r="O17" i="20"/>
  <c r="F14" i="20"/>
  <c r="U18" i="20"/>
  <c r="R11" i="20"/>
  <c r="K14" i="20"/>
  <c r="E17" i="20"/>
  <c r="W16" i="20"/>
  <c r="S20" i="20"/>
  <c r="L12" i="20"/>
  <c r="G18" i="20"/>
  <c r="O15" i="20"/>
  <c r="E12" i="20"/>
  <c r="W13" i="20"/>
  <c r="K20" i="20"/>
  <c r="G13" i="20"/>
  <c r="W18" i="20"/>
  <c r="W15" i="20"/>
  <c r="N14" i="20"/>
  <c r="N12" i="20"/>
  <c r="Q16" i="20"/>
  <c r="C23" i="20"/>
  <c r="D14" i="20"/>
  <c r="F15" i="20"/>
  <c r="C16" i="20"/>
  <c r="F20" i="20"/>
  <c r="U11" i="20"/>
  <c r="E20" i="20"/>
  <c r="Y18" i="20"/>
  <c r="Q15" i="20"/>
  <c r="D22" i="20"/>
  <c r="Y17" i="20"/>
  <c r="Q13" i="20"/>
  <c r="M17" i="20"/>
  <c r="Y12" i="20"/>
  <c r="T17" i="20"/>
  <c r="N21" i="20"/>
  <c r="I21" i="20"/>
  <c r="D21" i="20"/>
  <c r="Y16" i="20"/>
  <c r="S13" i="20"/>
  <c r="L23" i="20"/>
  <c r="F19" i="20"/>
  <c r="M15" i="20"/>
  <c r="D12" i="20"/>
  <c r="G23" i="20"/>
  <c r="Y23" i="20"/>
  <c r="Q20" i="20"/>
  <c r="B23" i="20"/>
  <c r="X16" i="20"/>
  <c r="R15" i="20"/>
  <c r="O11" i="20"/>
  <c r="W20" i="20"/>
  <c r="V16" i="20"/>
  <c r="P22" i="20"/>
  <c r="J20" i="20"/>
  <c r="C15" i="20"/>
  <c r="Y11" i="20"/>
  <c r="R22" i="20"/>
  <c r="L13" i="20"/>
  <c r="G19" i="20"/>
  <c r="L19" i="20"/>
  <c r="B20" i="20"/>
  <c r="H20" i="20"/>
  <c r="E23" i="20"/>
  <c r="C12" i="20"/>
  <c r="N15" i="20"/>
  <c r="W14" i="20"/>
  <c r="L20" i="20"/>
  <c r="B11" i="20"/>
  <c r="O23" i="20"/>
  <c r="C13" i="20"/>
  <c r="T23" i="20"/>
  <c r="W19" i="20"/>
  <c r="N13" i="20"/>
  <c r="E18" i="20"/>
  <c r="D20" i="20"/>
  <c r="X14" i="20"/>
  <c r="Q14" i="20"/>
  <c r="D19" i="20"/>
  <c r="W11" i="20"/>
  <c r="R21" i="20"/>
  <c r="K18" i="20"/>
  <c r="X18" i="20"/>
  <c r="S14" i="20"/>
  <c r="N17" i="20"/>
  <c r="J19" i="20"/>
  <c r="C20" i="20"/>
  <c r="U12" i="20"/>
  <c r="Q22" i="20"/>
  <c r="M13" i="20"/>
  <c r="E11" i="20"/>
  <c r="M22" i="20"/>
  <c r="U22" i="20"/>
  <c r="E22" i="20"/>
  <c r="Y13" i="20"/>
  <c r="R16" i="20"/>
  <c r="C19" i="20"/>
  <c r="W22" i="20"/>
  <c r="S23" i="20"/>
  <c r="K21" i="20"/>
  <c r="X23" i="20"/>
  <c r="V11" i="20"/>
  <c r="P13" i="20"/>
  <c r="H23" i="20"/>
  <c r="C18" i="20"/>
  <c r="T18" i="20"/>
  <c r="Q11" i="20"/>
  <c r="M16" i="20"/>
  <c r="B21" i="20"/>
  <c r="D11" i="20"/>
  <c r="X11" i="20"/>
  <c r="O12" i="20"/>
  <c r="I20" i="20"/>
  <c r="U23" i="20"/>
  <c r="S16" i="20"/>
  <c r="M18" i="20"/>
  <c r="Y19" i="20"/>
  <c r="R20" i="20"/>
  <c r="P19" i="20"/>
  <c r="E13" i="20"/>
  <c r="B14" i="20"/>
  <c r="T20" i="20"/>
  <c r="O20" i="20"/>
  <c r="L17" i="20"/>
  <c r="D17" i="20"/>
  <c r="H19" i="20"/>
  <c r="E21" i="20"/>
  <c r="B13" i="20"/>
  <c r="X19" i="20"/>
  <c r="Q17" i="20"/>
  <c r="F12" i="20"/>
  <c r="V12" i="20"/>
  <c r="Q19" i="20"/>
  <c r="L18" i="20"/>
  <c r="X13" i="20"/>
  <c r="S19" i="20"/>
  <c r="P16" i="20"/>
  <c r="E15" i="20"/>
  <c r="C21" i="20"/>
  <c r="T21" i="20"/>
  <c r="P12" i="20"/>
  <c r="M19" i="20"/>
  <c r="B18" i="20"/>
  <c r="G20" i="20"/>
  <c r="S18" i="20"/>
  <c r="V20" i="20"/>
  <c r="P15" i="20"/>
  <c r="T19" i="20"/>
  <c r="K22" i="20"/>
  <c r="S15" i="20"/>
  <c r="G15" i="20"/>
  <c r="V22" i="20"/>
  <c r="M11" i="20"/>
  <c r="F17" i="20"/>
  <c r="P18" i="20"/>
  <c r="K19" i="20"/>
  <c r="C14" i="20"/>
  <c r="E17" i="40"/>
  <c r="B9" i="40"/>
  <c r="D9" i="40"/>
  <c r="E9" i="40"/>
  <c r="C9" i="40"/>
  <c r="D17" i="40"/>
  <c r="F17" i="40"/>
  <c r="C17" i="40"/>
  <c r="B17" i="40"/>
  <c r="F9" i="40"/>
  <c r="O23" i="15" l="1"/>
  <c r="N23" i="15"/>
  <c r="Q23" i="15"/>
  <c r="P23" i="15"/>
  <c r="E49" i="8"/>
  <c r="C22" i="2" l="1"/>
  <c r="B22" i="2"/>
  <c r="D22" i="2"/>
  <c r="G22" i="2"/>
  <c r="E22" i="2"/>
  <c r="F22" i="2"/>
  <c r="C31" i="27"/>
  <c r="D38" i="27"/>
  <c r="D31" i="27"/>
  <c r="E38" i="27"/>
  <c r="K33" i="27"/>
  <c r="C41" i="27"/>
  <c r="K34" i="27"/>
  <c r="H39" i="27"/>
  <c r="J36" i="27"/>
  <c r="J37" i="27"/>
  <c r="E35" i="27"/>
  <c r="J31" i="27"/>
  <c r="G15" i="27"/>
  <c r="H22" i="27"/>
  <c r="I29" i="27"/>
  <c r="C18" i="27"/>
  <c r="I14" i="27"/>
  <c r="K28" i="27"/>
  <c r="H28" i="27"/>
  <c r="D20" i="27"/>
  <c r="D15" i="27"/>
  <c r="F11" i="27"/>
  <c r="G18" i="27"/>
  <c r="C24" i="27"/>
  <c r="D14" i="27"/>
  <c r="J10" i="27"/>
  <c r="C30" i="27"/>
  <c r="F13" i="27"/>
  <c r="E10" i="27"/>
  <c r="K31" i="27"/>
  <c r="C39" i="27"/>
  <c r="C32" i="27"/>
  <c r="D39" i="27"/>
  <c r="J34" i="27"/>
  <c r="K41" i="27"/>
  <c r="J35" i="27"/>
  <c r="I32" i="27"/>
  <c r="I37" i="27"/>
  <c r="H31" i="27"/>
  <c r="G40" i="27"/>
  <c r="D36" i="27"/>
  <c r="F35" i="27"/>
  <c r="F16" i="27"/>
  <c r="G23" i="27"/>
  <c r="H30" i="27"/>
  <c r="G13" i="27"/>
  <c r="I20" i="27"/>
  <c r="H15" i="27"/>
  <c r="I22" i="27"/>
  <c r="J29" i="27"/>
  <c r="D23" i="27"/>
  <c r="I12" i="27"/>
  <c r="K13" i="27"/>
  <c r="C21" i="27"/>
  <c r="D28" i="27"/>
  <c r="J17" i="27"/>
  <c r="I27" i="27"/>
  <c r="E12" i="27"/>
  <c r="F19" i="27"/>
  <c r="G26" i="27"/>
  <c r="H27" i="27"/>
  <c r="J19" i="27"/>
  <c r="C15" i="27"/>
  <c r="D22" i="27"/>
  <c r="I10" i="27"/>
  <c r="J40" i="27"/>
  <c r="H36" i="27"/>
  <c r="H37" i="27"/>
  <c r="G39" i="27"/>
  <c r="K37" i="27"/>
  <c r="D18" i="27"/>
  <c r="I25" i="27"/>
  <c r="I28" i="27"/>
  <c r="D29" i="27"/>
  <c r="I15" i="27"/>
  <c r="K29" i="27"/>
  <c r="C14" i="27"/>
  <c r="E28" i="27"/>
  <c r="J16" i="27"/>
  <c r="G10" i="27"/>
  <c r="I41" i="27"/>
  <c r="G38" i="27"/>
  <c r="F40" i="27"/>
  <c r="J38" i="27"/>
  <c r="D26" i="27"/>
  <c r="D11" i="27"/>
  <c r="H26" i="27"/>
  <c r="I23" i="27"/>
  <c r="G28" i="27"/>
  <c r="C22" i="27"/>
  <c r="I17" i="27"/>
  <c r="G35" i="27"/>
  <c r="E32" i="27"/>
  <c r="D35" i="27"/>
  <c r="J12" i="27"/>
  <c r="I18" i="27"/>
  <c r="D19" i="27"/>
  <c r="G17" i="27"/>
  <c r="G22" i="27"/>
  <c r="K25" i="27"/>
  <c r="J32" i="27"/>
  <c r="K39" i="27"/>
  <c r="K32" i="27"/>
  <c r="K40" i="27"/>
  <c r="I35" i="27"/>
  <c r="F41" i="27"/>
  <c r="I36" i="27"/>
  <c r="G31" i="27"/>
  <c r="H38" i="27"/>
  <c r="G32" i="27"/>
  <c r="G34" i="27"/>
  <c r="C37" i="27"/>
  <c r="H41" i="27"/>
  <c r="E17" i="27"/>
  <c r="F24" i="27"/>
  <c r="K30" i="27"/>
  <c r="D16" i="27"/>
  <c r="D25" i="27"/>
  <c r="G16" i="27"/>
  <c r="H23" i="27"/>
  <c r="I30" i="27"/>
  <c r="I26" i="27"/>
  <c r="D17" i="27"/>
  <c r="J14" i="27"/>
  <c r="K21" i="27"/>
  <c r="C29" i="27"/>
  <c r="F21" i="27"/>
  <c r="J11" i="27"/>
  <c r="D13" i="27"/>
  <c r="E20" i="27"/>
  <c r="F27" i="27"/>
  <c r="H12" i="27"/>
  <c r="F23" i="27"/>
  <c r="K15" i="27"/>
  <c r="C23" i="27"/>
  <c r="H10" i="27"/>
  <c r="I33" i="27"/>
  <c r="J33" i="27"/>
  <c r="E36" i="27"/>
  <c r="D37" i="27"/>
  <c r="F32" i="27"/>
  <c r="F33" i="27"/>
  <c r="I40" i="27"/>
  <c r="C11" i="27"/>
  <c r="E25" i="27"/>
  <c r="I19" i="27"/>
  <c r="F17" i="27"/>
  <c r="G24" i="27"/>
  <c r="H21" i="27"/>
  <c r="J22" i="27"/>
  <c r="K24" i="27"/>
  <c r="F15" i="27"/>
  <c r="D21" i="27"/>
  <c r="C17" i="27"/>
  <c r="K26" i="27"/>
  <c r="K23" i="27"/>
  <c r="H34" i="27"/>
  <c r="I34" i="27"/>
  <c r="K38" i="27"/>
  <c r="G37" i="27"/>
  <c r="F31" i="27"/>
  <c r="E33" i="27"/>
  <c r="I31" i="27"/>
  <c r="K11" i="27"/>
  <c r="C19" i="27"/>
  <c r="G12" i="27"/>
  <c r="E18" i="27"/>
  <c r="E15" i="27"/>
  <c r="E24" i="27"/>
  <c r="J30" i="27"/>
  <c r="K18" i="27"/>
  <c r="G27" i="27"/>
  <c r="G30" i="27"/>
  <c r="J24" i="27"/>
  <c r="C40" i="27"/>
  <c r="F38" i="27"/>
  <c r="F39" i="27"/>
  <c r="E41" i="27"/>
  <c r="I39" i="27"/>
  <c r="C27" i="27"/>
  <c r="C12" i="27"/>
  <c r="E26" i="27"/>
  <c r="J27" i="27"/>
  <c r="F14" i="27"/>
  <c r="K22" i="27"/>
  <c r="H18" i="27"/>
  <c r="E30" i="27"/>
  <c r="E34" i="27"/>
  <c r="E23" i="27"/>
  <c r="F25" i="27"/>
  <c r="H16" i="27"/>
  <c r="K14" i="27"/>
  <c r="F22" i="27"/>
  <c r="F10" i="27"/>
  <c r="H35" i="27"/>
  <c r="E31" i="27"/>
  <c r="D34" i="27"/>
  <c r="H32" i="27"/>
  <c r="K19" i="27"/>
  <c r="J26" i="27"/>
  <c r="E29" i="27"/>
  <c r="H24" i="27"/>
  <c r="J15" i="27"/>
  <c r="G11" i="27"/>
  <c r="F36" i="27"/>
  <c r="J41" i="27"/>
  <c r="G36" i="27"/>
  <c r="D32" i="27"/>
  <c r="E39" i="27"/>
  <c r="D33" i="27"/>
  <c r="E40" i="27"/>
  <c r="C35" i="27"/>
  <c r="I38" i="27"/>
  <c r="C36" i="27"/>
  <c r="G33" i="27"/>
  <c r="H40" i="27"/>
  <c r="I13" i="27"/>
  <c r="J20" i="27"/>
  <c r="K27" i="27"/>
  <c r="E22" i="27"/>
  <c r="F30" i="27"/>
  <c r="K12" i="27"/>
  <c r="C20" i="27"/>
  <c r="D27" i="27"/>
  <c r="E14" i="27"/>
  <c r="G21" i="27"/>
  <c r="E11" i="27"/>
  <c r="F18" i="27"/>
  <c r="G25" i="27"/>
  <c r="F28" i="27"/>
  <c r="K17" i="27"/>
  <c r="C26" i="27"/>
  <c r="I16" i="27"/>
  <c r="J23" i="27"/>
  <c r="K16" i="27"/>
  <c r="G29" i="27"/>
  <c r="F12" i="27"/>
  <c r="G19" i="27"/>
  <c r="I11" i="27"/>
  <c r="D10" i="27"/>
  <c r="E37" i="27"/>
  <c r="C38" i="27"/>
  <c r="F37" i="27"/>
  <c r="C33" i="27"/>
  <c r="D40" i="27"/>
  <c r="C34" i="27"/>
  <c r="D41" i="27"/>
  <c r="K35" i="27"/>
  <c r="H33" i="27"/>
  <c r="K36" i="27"/>
  <c r="F34" i="27"/>
  <c r="G41" i="27"/>
  <c r="H14" i="27"/>
  <c r="I21" i="27"/>
  <c r="J28" i="27"/>
  <c r="J25" i="27"/>
  <c r="G14" i="27"/>
  <c r="J13" i="27"/>
  <c r="K20" i="27"/>
  <c r="C28" i="27"/>
  <c r="C16" i="27"/>
  <c r="C25" i="27"/>
  <c r="D12" i="27"/>
  <c r="E19" i="27"/>
  <c r="F26" i="27"/>
  <c r="D30" i="27"/>
  <c r="H20" i="27"/>
  <c r="H29" i="27"/>
  <c r="H17" i="27"/>
  <c r="I24" i="27"/>
  <c r="G20" i="27"/>
  <c r="H13" i="27"/>
  <c r="E13" i="27"/>
  <c r="F20" i="27"/>
  <c r="K10" i="27"/>
  <c r="C10" i="27"/>
  <c r="J39" i="27"/>
  <c r="F29" i="27"/>
  <c r="J21" i="27"/>
  <c r="H19" i="27"/>
  <c r="C13" i="27"/>
  <c r="E27" i="27"/>
  <c r="D24" i="27"/>
  <c r="H25" i="27"/>
  <c r="E16" i="27"/>
  <c r="E21" i="27"/>
  <c r="J18" i="27"/>
  <c r="H11" i="27"/>
  <c r="H35" i="114"/>
  <c r="L26" i="114"/>
  <c r="J17" i="114"/>
  <c r="B17" i="114"/>
  <c r="C17" i="114"/>
  <c r="E35" i="114"/>
  <c r="I26" i="114"/>
  <c r="H17" i="114"/>
  <c r="G17" i="114"/>
  <c r="F26" i="114"/>
  <c r="C26" i="114"/>
  <c r="J26" i="114"/>
  <c r="D26" i="114"/>
  <c r="D35" i="114"/>
  <c r="B26" i="114"/>
  <c r="F17" i="114"/>
  <c r="C35" i="114"/>
  <c r="B35" i="114"/>
  <c r="F35" i="114"/>
  <c r="H26" i="114"/>
  <c r="G26" i="114"/>
  <c r="E26" i="114"/>
  <c r="D17" i="114"/>
  <c r="H22" i="2" l="1"/>
  <c r="I35" i="114"/>
  <c r="M26" i="114"/>
  <c r="K17" i="114"/>
  <c r="E17" i="114"/>
  <c r="K42" i="27"/>
  <c r="F41" i="21"/>
  <c r="I42" i="21"/>
  <c r="G40" i="21"/>
  <c r="F36" i="21"/>
  <c r="D42" i="21"/>
  <c r="H34" i="21"/>
  <c r="F37" i="21"/>
  <c r="C40" i="21"/>
  <c r="H42" i="21"/>
  <c r="B42" i="21"/>
  <c r="G35" i="21"/>
  <c r="F40" i="21"/>
  <c r="G41" i="21"/>
  <c r="D39" i="21"/>
  <c r="F38" i="21"/>
  <c r="G36" i="21"/>
  <c r="C36" i="21"/>
  <c r="I39" i="21"/>
  <c r="H38" i="21"/>
  <c r="F42" i="21"/>
  <c r="F35" i="21"/>
  <c r="B34" i="21"/>
  <c r="I37" i="21"/>
  <c r="C35" i="21"/>
  <c r="D40" i="21"/>
  <c r="E34" i="21"/>
  <c r="H41" i="21"/>
  <c r="F34" i="21"/>
  <c r="H36" i="21"/>
  <c r="E36" i="21"/>
  <c r="E40" i="21"/>
  <c r="I38" i="21"/>
  <c r="B37" i="21"/>
  <c r="B36" i="21"/>
  <c r="F39" i="21"/>
  <c r="G38" i="21"/>
  <c r="G39" i="21"/>
  <c r="D41" i="21"/>
  <c r="E35" i="21"/>
  <c r="G42" i="21"/>
  <c r="I36" i="21"/>
  <c r="G37" i="21"/>
  <c r="C42" i="21"/>
  <c r="B39" i="21"/>
  <c r="I41" i="21"/>
  <c r="H37" i="21"/>
  <c r="I40" i="21"/>
  <c r="E39" i="21"/>
  <c r="H39" i="21"/>
  <c r="H40" i="21"/>
  <c r="E38" i="21"/>
  <c r="C39" i="21"/>
  <c r="I34" i="21"/>
  <c r="C38" i="21"/>
  <c r="B41" i="21"/>
  <c r="C41" i="21"/>
  <c r="E42" i="21"/>
  <c r="H35" i="21"/>
  <c r="B35" i="21"/>
  <c r="B40" i="21"/>
  <c r="B38" i="21"/>
  <c r="C37" i="21"/>
  <c r="G34" i="21"/>
  <c r="E41" i="21"/>
  <c r="C34" i="21"/>
  <c r="I35" i="21"/>
  <c r="E37" i="21"/>
  <c r="F10" i="21"/>
  <c r="B19" i="21"/>
  <c r="D19" i="21"/>
  <c r="C18" i="21"/>
  <c r="I14" i="21"/>
  <c r="F17" i="21"/>
  <c r="H16" i="21"/>
  <c r="B14" i="21"/>
  <c r="F16" i="21"/>
  <c r="I19" i="21"/>
  <c r="I16" i="21"/>
  <c r="I20" i="21"/>
  <c r="E21" i="21"/>
  <c r="G19" i="21"/>
  <c r="F19" i="21"/>
  <c r="E16" i="21"/>
  <c r="I13" i="21"/>
  <c r="H18" i="21"/>
  <c r="H10" i="21"/>
  <c r="G13" i="21"/>
  <c r="F15" i="21"/>
  <c r="E18" i="21"/>
  <c r="I15" i="21"/>
  <c r="H11" i="21"/>
  <c r="B12" i="21"/>
  <c r="E12" i="21"/>
  <c r="B13" i="21"/>
  <c r="F21" i="21"/>
  <c r="F11" i="21"/>
  <c r="G18" i="21"/>
  <c r="E17" i="21"/>
  <c r="H19" i="21"/>
  <c r="B21" i="21"/>
  <c r="B20" i="21"/>
  <c r="B11" i="21"/>
  <c r="F18" i="21"/>
  <c r="G12" i="21"/>
  <c r="I17" i="21"/>
  <c r="C21" i="21"/>
  <c r="I21" i="21"/>
  <c r="E15" i="21"/>
  <c r="G20" i="21"/>
  <c r="H17" i="21"/>
  <c r="E13" i="21"/>
  <c r="I12" i="21"/>
  <c r="B17" i="21"/>
  <c r="H13" i="21"/>
  <c r="E14" i="21"/>
  <c r="G16" i="21"/>
  <c r="G11" i="21"/>
  <c r="B16" i="21"/>
  <c r="H15" i="21"/>
  <c r="H12" i="21"/>
  <c r="D20" i="21"/>
  <c r="F12" i="21"/>
  <c r="I11" i="21"/>
  <c r="C19" i="21"/>
  <c r="C16" i="21"/>
  <c r="I18" i="21"/>
  <c r="G15" i="21"/>
  <c r="G10" i="21"/>
  <c r="C10" i="21"/>
  <c r="B18" i="21"/>
  <c r="F20" i="21"/>
  <c r="H14" i="21"/>
  <c r="C17" i="21"/>
  <c r="C15" i="21"/>
  <c r="C20" i="21"/>
  <c r="E20" i="21"/>
  <c r="D18" i="21"/>
  <c r="H20" i="21"/>
  <c r="B15" i="21"/>
  <c r="C14" i="21"/>
  <c r="F14" i="21"/>
  <c r="E11" i="21"/>
  <c r="E10" i="21"/>
  <c r="C13" i="21"/>
  <c r="I10" i="21"/>
  <c r="G17" i="21"/>
  <c r="C11" i="21"/>
  <c r="G21" i="21"/>
  <c r="B10" i="21"/>
  <c r="G14" i="21"/>
  <c r="F13" i="21"/>
  <c r="C12" i="21"/>
  <c r="E19" i="21"/>
  <c r="H21" i="21"/>
  <c r="D21" i="21"/>
  <c r="J36" i="26"/>
  <c r="K33" i="26"/>
  <c r="M36" i="26"/>
  <c r="J40" i="26"/>
  <c r="J34" i="26"/>
  <c r="K32" i="26"/>
  <c r="K40" i="26"/>
  <c r="L39" i="26"/>
  <c r="M37" i="26"/>
  <c r="I35" i="26"/>
  <c r="K38" i="26"/>
  <c r="L37" i="26"/>
  <c r="M35" i="26"/>
  <c r="J32" i="26"/>
  <c r="I37" i="26"/>
  <c r="L34" i="26"/>
  <c r="K39" i="26"/>
  <c r="L36" i="26"/>
  <c r="I40" i="26"/>
  <c r="I34" i="26"/>
  <c r="K37" i="26"/>
  <c r="I32" i="26"/>
  <c r="M32" i="26"/>
  <c r="L32" i="26"/>
  <c r="J33" i="26"/>
  <c r="J38" i="26"/>
  <c r="J39" i="26"/>
  <c r="L35" i="26"/>
  <c r="I39" i="26"/>
  <c r="L33" i="26"/>
  <c r="I36" i="26"/>
  <c r="M34" i="26"/>
  <c r="M39" i="26"/>
  <c r="M33" i="26"/>
  <c r="J37" i="26"/>
  <c r="L40" i="26"/>
  <c r="I38" i="26"/>
  <c r="L38" i="26"/>
  <c r="K36" i="26"/>
  <c r="M40" i="26"/>
  <c r="K35" i="26"/>
  <c r="M38" i="26"/>
  <c r="K34" i="26"/>
  <c r="I33" i="26"/>
  <c r="J35" i="26"/>
  <c r="I19" i="26"/>
  <c r="M19" i="26"/>
  <c r="I16" i="26"/>
  <c r="I14" i="26"/>
  <c r="L16" i="26"/>
  <c r="J17" i="26"/>
  <c r="J11" i="26"/>
  <c r="K12" i="26"/>
  <c r="L17" i="26"/>
  <c r="K18" i="26"/>
  <c r="L14" i="26"/>
  <c r="K14" i="26"/>
  <c r="M12" i="26"/>
  <c r="L15" i="26"/>
  <c r="M15" i="26"/>
  <c r="J19" i="26"/>
  <c r="I12" i="26"/>
  <c r="J12" i="26"/>
  <c r="L12" i="26"/>
  <c r="J16" i="26"/>
  <c r="K13" i="26"/>
  <c r="K17" i="26"/>
  <c r="I11" i="26"/>
  <c r="I17" i="26"/>
  <c r="M17" i="26"/>
  <c r="L13" i="26"/>
  <c r="M13" i="26"/>
  <c r="J13" i="26"/>
  <c r="M11" i="26"/>
  <c r="L18" i="26"/>
  <c r="K19" i="26"/>
  <c r="J15" i="26"/>
  <c r="K15" i="26"/>
  <c r="M14" i="26"/>
  <c r="L11" i="26"/>
  <c r="I13" i="26"/>
  <c r="I15" i="26"/>
  <c r="M18" i="26"/>
  <c r="L19" i="26"/>
  <c r="M16" i="26"/>
  <c r="J14" i="26"/>
  <c r="K16" i="26"/>
  <c r="K11" i="26"/>
  <c r="I18" i="26"/>
  <c r="J18" i="26"/>
  <c r="F33" i="26"/>
  <c r="C33" i="26"/>
  <c r="F39" i="26"/>
  <c r="D35" i="26"/>
  <c r="D40" i="26"/>
  <c r="D34" i="26"/>
  <c r="B38" i="26"/>
  <c r="E32" i="26"/>
  <c r="C36" i="26"/>
  <c r="D32" i="26"/>
  <c r="F34" i="26"/>
  <c r="E33" i="26"/>
  <c r="B37" i="26"/>
  <c r="B36" i="26"/>
  <c r="E37" i="26"/>
  <c r="E34" i="26"/>
  <c r="C34" i="26"/>
  <c r="D33" i="26"/>
  <c r="B33" i="26"/>
  <c r="D36" i="26"/>
  <c r="C35" i="26"/>
  <c r="E38" i="26"/>
  <c r="F40" i="26"/>
  <c r="F32" i="26"/>
  <c r="C40" i="26"/>
  <c r="F35" i="26"/>
  <c r="F36" i="26"/>
  <c r="F37" i="26"/>
  <c r="B35" i="26"/>
  <c r="B40" i="26"/>
  <c r="E35" i="26"/>
  <c r="D37" i="26"/>
  <c r="C32" i="26"/>
  <c r="C38" i="26"/>
  <c r="E40" i="26"/>
  <c r="B34" i="26"/>
  <c r="D39" i="26"/>
  <c r="E36" i="26"/>
  <c r="C39" i="26"/>
  <c r="C37" i="26"/>
  <c r="B39" i="26"/>
  <c r="B32" i="26"/>
  <c r="E39" i="26"/>
  <c r="F38" i="26"/>
  <c r="D38" i="26"/>
  <c r="D19" i="26"/>
  <c r="F13" i="26"/>
  <c r="E14" i="26"/>
  <c r="E17" i="26"/>
  <c r="B18" i="26"/>
  <c r="C11" i="26"/>
  <c r="D15" i="26"/>
  <c r="D12" i="26"/>
  <c r="B13" i="26"/>
  <c r="D13" i="26"/>
  <c r="B11" i="26"/>
  <c r="B17" i="26"/>
  <c r="E12" i="26"/>
  <c r="F17" i="26"/>
  <c r="B15" i="26"/>
  <c r="E18" i="26"/>
  <c r="C14" i="26"/>
  <c r="F12" i="26"/>
  <c r="E16" i="26"/>
  <c r="B14" i="26"/>
  <c r="F15" i="26"/>
  <c r="C16" i="26"/>
  <c r="F16" i="26"/>
  <c r="E15" i="26"/>
  <c r="C13" i="26"/>
  <c r="E19" i="26"/>
  <c r="B12" i="26"/>
  <c r="E13" i="26"/>
  <c r="C15" i="26"/>
  <c r="F19" i="26"/>
  <c r="D18" i="26"/>
  <c r="C17" i="26"/>
  <c r="D14" i="26"/>
  <c r="F14" i="26"/>
  <c r="E11" i="26"/>
  <c r="C19" i="26"/>
  <c r="C12" i="26"/>
  <c r="F18" i="26"/>
  <c r="B16" i="26"/>
  <c r="D16" i="26"/>
  <c r="D11" i="26"/>
  <c r="C18" i="26"/>
  <c r="B19" i="26"/>
  <c r="D17" i="26"/>
  <c r="F11" i="26"/>
  <c r="J22" i="2" l="1"/>
  <c r="H12" i="15"/>
  <c r="L22" i="15"/>
  <c r="I20" i="15"/>
  <c r="L17" i="15"/>
  <c r="I15" i="15"/>
  <c r="H14" i="15"/>
  <c r="M12" i="15"/>
  <c r="K14" i="15"/>
  <c r="J22" i="15"/>
  <c r="F19" i="15"/>
  <c r="G18" i="15"/>
  <c r="C14" i="15"/>
  <c r="C19" i="15"/>
  <c r="C13" i="15"/>
  <c r="C15" i="15"/>
  <c r="E13" i="15"/>
  <c r="C11" i="15"/>
  <c r="J13" i="15"/>
  <c r="M19" i="15"/>
  <c r="K21" i="15"/>
  <c r="H19" i="15"/>
  <c r="K16" i="15"/>
  <c r="J15" i="15"/>
  <c r="I14" i="15"/>
  <c r="H13" i="15"/>
  <c r="I13" i="15"/>
  <c r="G19" i="15"/>
  <c r="F18" i="15"/>
  <c r="C16" i="15"/>
  <c r="D12" i="15"/>
  <c r="E12" i="15"/>
  <c r="C21" i="15"/>
  <c r="E15" i="15"/>
  <c r="B11" i="15"/>
  <c r="K11" i="15"/>
  <c r="C22" i="15"/>
  <c r="E21" i="15"/>
  <c r="L12" i="15"/>
  <c r="D11" i="15"/>
  <c r="L14" i="15"/>
  <c r="I12" i="15"/>
  <c r="M22" i="15"/>
  <c r="J20" i="15"/>
  <c r="M17" i="15"/>
  <c r="L16" i="15"/>
  <c r="K15" i="15"/>
  <c r="J14" i="15"/>
  <c r="M11" i="15"/>
  <c r="F20" i="15"/>
  <c r="B12" i="15"/>
  <c r="C18" i="15"/>
  <c r="D14" i="15"/>
  <c r="E14" i="15"/>
  <c r="B13" i="15"/>
  <c r="E17" i="15"/>
  <c r="H17" i="15"/>
  <c r="D18" i="15"/>
  <c r="I17" i="15"/>
  <c r="B17" i="15"/>
  <c r="H16" i="15"/>
  <c r="K13" i="15"/>
  <c r="I21" i="15"/>
  <c r="L21" i="15"/>
  <c r="I19" i="15"/>
  <c r="H18" i="15"/>
  <c r="M16" i="15"/>
  <c r="L15" i="15"/>
  <c r="L11" i="15"/>
  <c r="G20" i="15"/>
  <c r="B14" i="15"/>
  <c r="C20" i="15"/>
  <c r="D16" i="15"/>
  <c r="E16" i="15"/>
  <c r="D13" i="15"/>
  <c r="E19" i="15"/>
  <c r="I18" i="15"/>
  <c r="D15" i="15"/>
  <c r="I22" i="15"/>
  <c r="J17" i="15"/>
  <c r="M14" i="15"/>
  <c r="J12" i="15"/>
  <c r="M15" i="15"/>
  <c r="K20" i="15"/>
  <c r="J19" i="15"/>
  <c r="F21" i="15"/>
  <c r="B16" i="15"/>
  <c r="E18" i="15"/>
  <c r="G22" i="15"/>
  <c r="L18" i="15"/>
  <c r="I16" i="15"/>
  <c r="L13" i="15"/>
  <c r="K22" i="15"/>
  <c r="M21" i="15"/>
  <c r="L20" i="15"/>
  <c r="K19" i="15"/>
  <c r="J18" i="15"/>
  <c r="J11" i="15"/>
  <c r="G21" i="15"/>
  <c r="B18" i="15"/>
  <c r="B19" i="15"/>
  <c r="D20" i="15"/>
  <c r="E20" i="15"/>
  <c r="D17" i="15"/>
  <c r="B20" i="15"/>
  <c r="J21" i="15"/>
  <c r="J16" i="15"/>
  <c r="H21" i="15"/>
  <c r="C12" i="15"/>
  <c r="D21" i="15"/>
  <c r="H20" i="15"/>
  <c r="K17" i="15"/>
  <c r="H15" i="15"/>
  <c r="K12" i="15"/>
  <c r="K18" i="15"/>
  <c r="H22" i="15"/>
  <c r="M20" i="15"/>
  <c r="L19" i="15"/>
  <c r="I11" i="15"/>
  <c r="F22" i="15"/>
  <c r="B22" i="15"/>
  <c r="B21" i="15"/>
  <c r="D22" i="15"/>
  <c r="E22" i="15"/>
  <c r="D19" i="15"/>
  <c r="E11" i="15"/>
  <c r="M18" i="15"/>
  <c r="M13" i="15"/>
  <c r="H11" i="15"/>
  <c r="C17" i="15"/>
  <c r="B15" i="15"/>
  <c r="P15" i="15" l="1"/>
  <c r="Q17" i="15"/>
  <c r="O13" i="15"/>
  <c r="O18" i="15"/>
  <c r="P21" i="15"/>
  <c r="P22" i="15"/>
  <c r="N19" i="15"/>
  <c r="O20" i="15"/>
  <c r="Q12" i="15"/>
  <c r="P20" i="15"/>
  <c r="P19" i="15"/>
  <c r="P18" i="15"/>
  <c r="N20" i="15"/>
  <c r="O21" i="15"/>
  <c r="N13" i="15"/>
  <c r="N18" i="15"/>
  <c r="P16" i="15"/>
  <c r="O15" i="15"/>
  <c r="O14" i="15"/>
  <c r="Q20" i="15"/>
  <c r="P14" i="15"/>
  <c r="N11" i="15"/>
  <c r="N15" i="15"/>
  <c r="O16" i="15"/>
  <c r="N21" i="15"/>
  <c r="P17" i="15"/>
  <c r="P13" i="15"/>
  <c r="Q18" i="15"/>
  <c r="P12" i="15"/>
  <c r="O11" i="15"/>
  <c r="N16" i="15"/>
  <c r="O17" i="15"/>
  <c r="O22" i="15"/>
  <c r="N14" i="15"/>
  <c r="N12" i="15"/>
  <c r="Q22" i="15"/>
  <c r="P11" i="15"/>
  <c r="Q21" i="15"/>
  <c r="Q16" i="15"/>
  <c r="O19" i="15"/>
  <c r="Q11" i="15"/>
  <c r="Q15" i="15"/>
  <c r="Q13" i="15"/>
  <c r="Q19" i="15"/>
  <c r="Q14" i="15"/>
  <c r="O12" i="15"/>
  <c r="N17" i="15"/>
  <c r="N22" i="15"/>
  <c r="L13" i="35"/>
  <c r="M13" i="35"/>
  <c r="N13" i="35"/>
  <c r="O13" i="35"/>
  <c r="P13" i="35"/>
  <c r="L14" i="35"/>
  <c r="M14" i="35"/>
  <c r="N14" i="35"/>
  <c r="O14" i="35"/>
  <c r="P14" i="35"/>
  <c r="L15" i="35"/>
  <c r="M15" i="35"/>
  <c r="N15" i="35"/>
  <c r="O15" i="35"/>
  <c r="P15" i="35"/>
  <c r="L17" i="35"/>
  <c r="M17" i="35"/>
  <c r="N17" i="35"/>
  <c r="O17" i="35"/>
  <c r="P17" i="35"/>
  <c r="L18" i="35"/>
  <c r="M18" i="35"/>
  <c r="N18" i="35"/>
  <c r="O18" i="35"/>
  <c r="P18" i="35"/>
  <c r="L19" i="35"/>
  <c r="M19" i="35"/>
  <c r="N19" i="35"/>
  <c r="O19" i="35"/>
  <c r="P19" i="35"/>
  <c r="L20" i="35"/>
  <c r="M20" i="35"/>
  <c r="N20" i="35"/>
  <c r="O20" i="35"/>
  <c r="P20" i="35"/>
  <c r="L21" i="35"/>
  <c r="M21" i="35"/>
  <c r="N21" i="35"/>
  <c r="O21" i="35"/>
  <c r="P21" i="35"/>
  <c r="L22" i="35"/>
  <c r="L23" i="35"/>
  <c r="M23" i="35"/>
  <c r="N23" i="35"/>
  <c r="O23" i="35"/>
  <c r="P23" i="35"/>
  <c r="L24" i="35"/>
  <c r="M24" i="35"/>
  <c r="N24" i="35"/>
  <c r="O24" i="35"/>
  <c r="P24" i="35"/>
  <c r="L25" i="35"/>
  <c r="M25" i="35"/>
  <c r="N25" i="35"/>
  <c r="O25" i="35"/>
  <c r="P25" i="35"/>
  <c r="L26" i="35"/>
  <c r="M26" i="35"/>
  <c r="N26" i="35"/>
  <c r="O26" i="35"/>
  <c r="P26" i="35"/>
  <c r="P12" i="35"/>
  <c r="O12" i="35"/>
  <c r="N12" i="35"/>
  <c r="M12" i="35"/>
  <c r="L12" i="35"/>
  <c r="F12" i="35"/>
  <c r="F13" i="35"/>
  <c r="F14" i="35"/>
  <c r="F15" i="35"/>
  <c r="F16" i="35"/>
  <c r="F17" i="35"/>
  <c r="F18" i="35"/>
  <c r="F19" i="35"/>
  <c r="F20" i="35"/>
  <c r="F21" i="35"/>
  <c r="F22" i="35"/>
  <c r="F23" i="35"/>
  <c r="F24" i="35"/>
  <c r="F25" i="35"/>
  <c r="F26" i="35"/>
  <c r="G12" i="35"/>
  <c r="G13" i="35"/>
  <c r="G14" i="35"/>
  <c r="G15" i="35"/>
  <c r="G16" i="35"/>
  <c r="G17" i="35"/>
  <c r="G18" i="35"/>
  <c r="G19" i="35"/>
  <c r="G20" i="35"/>
  <c r="G21" i="35"/>
  <c r="G23" i="35"/>
  <c r="G24" i="35"/>
  <c r="G25" i="35"/>
  <c r="G26" i="35"/>
  <c r="P28" i="113"/>
  <c r="A60" i="2"/>
  <c r="A56" i="2"/>
  <c r="A28" i="2"/>
  <c r="A24" i="2"/>
  <c r="C19" i="33"/>
  <c r="D19" i="33"/>
  <c r="E19" i="33"/>
  <c r="B19" i="33"/>
  <c r="C17" i="33"/>
  <c r="C18" i="33"/>
  <c r="C16" i="33"/>
  <c r="C15" i="33"/>
  <c r="B12" i="33"/>
  <c r="B13" i="33"/>
  <c r="B14" i="33"/>
  <c r="B15" i="33"/>
  <c r="B16" i="33"/>
  <c r="B11" i="33"/>
  <c r="B17" i="33"/>
  <c r="B18" i="33"/>
  <c r="D11" i="33"/>
  <c r="D15" i="33"/>
  <c r="E15" i="33"/>
  <c r="E11" i="33"/>
  <c r="D12" i="33"/>
  <c r="D16" i="33"/>
  <c r="E12" i="33"/>
  <c r="E16" i="33"/>
  <c r="D13" i="33"/>
  <c r="D17" i="33"/>
  <c r="E17" i="33"/>
  <c r="E13" i="33"/>
  <c r="D14" i="33"/>
  <c r="D18" i="33"/>
  <c r="E14" i="33"/>
  <c r="E18" i="33"/>
  <c r="E10" i="33"/>
  <c r="D10" i="33"/>
  <c r="B10" i="33"/>
  <c r="D50" i="2"/>
  <c r="B49" i="2"/>
  <c r="C49" i="2"/>
  <c r="E51" i="2"/>
  <c r="F53" i="2"/>
  <c r="E46" i="2"/>
  <c r="F46" i="2"/>
  <c r="D51" i="2"/>
  <c r="B51" i="2"/>
  <c r="C51" i="2"/>
  <c r="E52" i="2"/>
  <c r="E48" i="2"/>
  <c r="C42" i="2"/>
  <c r="D52" i="2"/>
  <c r="D54" i="2"/>
  <c r="D53" i="2"/>
  <c r="E50" i="2"/>
  <c r="F44" i="2"/>
  <c r="F43" i="2"/>
  <c r="B44" i="2"/>
  <c r="C46" i="2"/>
  <c r="E42" i="2"/>
  <c r="B54" i="2"/>
  <c r="F51" i="2"/>
  <c r="F48" i="2"/>
  <c r="F50" i="2"/>
  <c r="C54" i="2"/>
  <c r="D49" i="2"/>
  <c r="F52" i="2"/>
  <c r="E43" i="2"/>
  <c r="F45" i="2"/>
  <c r="B46" i="2"/>
  <c r="C48" i="2"/>
  <c r="F42" i="2"/>
  <c r="E49" i="2"/>
  <c r="B53" i="2"/>
  <c r="E54" i="2"/>
  <c r="B43" i="2"/>
  <c r="C43" i="2"/>
  <c r="E45" i="2"/>
  <c r="F47" i="2"/>
  <c r="B48" i="2"/>
  <c r="C50" i="2"/>
  <c r="B47" i="2"/>
  <c r="B52" i="2"/>
  <c r="C53" i="2"/>
  <c r="F54" i="2"/>
  <c r="B45" i="2"/>
  <c r="C45" i="2"/>
  <c r="E47" i="2"/>
  <c r="F49" i="2"/>
  <c r="B50" i="2"/>
  <c r="C52" i="2"/>
  <c r="C47" i="2"/>
  <c r="E44" i="2"/>
  <c r="B42" i="2"/>
  <c r="C44" i="2"/>
  <c r="C19" i="2"/>
  <c r="F16" i="2"/>
  <c r="F12" i="2"/>
  <c r="B11" i="2"/>
  <c r="E10" i="2"/>
  <c r="E20" i="2"/>
  <c r="F17" i="2"/>
  <c r="E15" i="2"/>
  <c r="B10" i="2"/>
  <c r="E18" i="2"/>
  <c r="B17" i="2"/>
  <c r="F11" i="2"/>
  <c r="G12" i="2"/>
  <c r="B21" i="2"/>
  <c r="E12" i="2"/>
  <c r="G21" i="2"/>
  <c r="C11" i="2"/>
  <c r="G17" i="2"/>
  <c r="G19" i="2"/>
  <c r="F18" i="2"/>
  <c r="C17" i="2"/>
  <c r="G20" i="2"/>
  <c r="C10" i="2"/>
  <c r="B19" i="2"/>
  <c r="B18" i="2"/>
  <c r="F13" i="2"/>
  <c r="G11" i="2"/>
  <c r="G10" i="2"/>
  <c r="B13" i="2"/>
  <c r="B12" i="2"/>
  <c r="G13" i="2"/>
  <c r="D19" i="2"/>
  <c r="B20" i="2"/>
  <c r="C14" i="2"/>
  <c r="C16" i="2"/>
  <c r="C18" i="2"/>
  <c r="C21" i="2"/>
  <c r="E13" i="2"/>
  <c r="D17" i="2"/>
  <c r="E11" i="2"/>
  <c r="G14" i="2"/>
  <c r="E19" i="2"/>
  <c r="F15" i="2"/>
  <c r="E14" i="2"/>
  <c r="B16" i="2"/>
  <c r="F21" i="2"/>
  <c r="C20" i="2"/>
  <c r="F19" i="2"/>
  <c r="E17" i="2"/>
  <c r="G16" i="2"/>
  <c r="F10" i="2"/>
  <c r="C12" i="2"/>
  <c r="F14" i="2"/>
  <c r="F20" i="2"/>
  <c r="G15" i="2"/>
  <c r="D20" i="2"/>
  <c r="D21" i="2"/>
  <c r="C13" i="2"/>
  <c r="B15" i="2"/>
  <c r="C15" i="2"/>
  <c r="B14" i="2"/>
  <c r="E16" i="2"/>
  <c r="G18" i="2"/>
  <c r="E21" i="2"/>
  <c r="D18" i="2"/>
  <c r="D15" i="115"/>
  <c r="C13" i="115"/>
  <c r="D10" i="115"/>
  <c r="B10" i="115"/>
  <c r="B12" i="115"/>
  <c r="C12" i="115"/>
  <c r="E13" i="115"/>
  <c r="D11" i="115"/>
  <c r="D14" i="115"/>
  <c r="B13" i="115"/>
  <c r="E12" i="115"/>
  <c r="B14" i="115"/>
  <c r="C11" i="115"/>
  <c r="E14" i="115"/>
  <c r="C15" i="115"/>
  <c r="C10" i="115"/>
  <c r="D13" i="115"/>
  <c r="D12" i="115"/>
  <c r="E15" i="115"/>
  <c r="C14" i="115"/>
  <c r="B15" i="115"/>
  <c r="E10" i="115"/>
  <c r="E11" i="115"/>
  <c r="B11" i="115"/>
  <c r="F19" i="33"/>
  <c r="F16" i="33"/>
  <c r="F17" i="33"/>
  <c r="F18" i="33"/>
  <c r="F15" i="33"/>
  <c r="C12" i="126"/>
  <c r="G12" i="126"/>
  <c r="B12" i="126"/>
  <c r="E12" i="126"/>
  <c r="D12" i="126"/>
  <c r="H12" i="126"/>
  <c r="F12" i="126"/>
  <c r="E25" i="2" l="1"/>
  <c r="E26" i="2" s="1"/>
  <c r="D25" i="2"/>
  <c r="D26" i="2" s="1"/>
  <c r="F25" i="2"/>
  <c r="C25" i="2"/>
  <c r="G25" i="2"/>
  <c r="G26" i="2" s="1"/>
  <c r="B25" i="2"/>
  <c r="F61" i="2"/>
  <c r="F62" i="2" s="1"/>
  <c r="F57" i="2"/>
  <c r="F58" i="2" s="1"/>
  <c r="E57" i="2"/>
  <c r="E58" i="2" s="1"/>
  <c r="E61" i="2"/>
  <c r="E62" i="2" s="1"/>
  <c r="C57" i="2"/>
  <c r="C58" i="2" s="1"/>
  <c r="C61" i="2"/>
  <c r="C62" i="2" s="1"/>
  <c r="B61" i="2"/>
  <c r="B62" i="2" s="1"/>
  <c r="B57" i="2"/>
  <c r="B58" i="2" s="1"/>
  <c r="D57" i="2"/>
  <c r="D58" i="2" s="1"/>
  <c r="G19" i="33"/>
  <c r="G54" i="2"/>
  <c r="E29" i="2"/>
  <c r="C29" i="2"/>
  <c r="B29" i="2"/>
  <c r="B30" i="2" s="1"/>
  <c r="F26" i="2"/>
  <c r="C26" i="2"/>
  <c r="B26" i="2"/>
  <c r="G29" i="2"/>
  <c r="F29" i="2"/>
  <c r="D29" i="2"/>
  <c r="F15" i="115"/>
  <c r="C23" i="24" l="1"/>
  <c r="K23" i="24"/>
  <c r="D23" i="24"/>
  <c r="L23" i="24"/>
  <c r="E23" i="24"/>
  <c r="M23" i="24"/>
  <c r="J23" i="24"/>
  <c r="F23" i="24"/>
  <c r="N23" i="24"/>
  <c r="G23" i="24"/>
  <c r="B23" i="24"/>
  <c r="H23" i="24"/>
  <c r="I23" i="24"/>
  <c r="N13" i="24"/>
  <c r="N21" i="24"/>
  <c r="N14" i="24"/>
  <c r="N22" i="24"/>
  <c r="N15" i="24"/>
  <c r="N16" i="24"/>
  <c r="N17" i="24"/>
  <c r="N18" i="24"/>
  <c r="N19" i="24"/>
  <c r="N20" i="24"/>
  <c r="M13" i="24"/>
  <c r="M21" i="24"/>
  <c r="M22" i="24"/>
  <c r="M14" i="24"/>
  <c r="M15" i="24"/>
  <c r="M16" i="24"/>
  <c r="M17" i="24"/>
  <c r="M18" i="24"/>
  <c r="M19" i="24"/>
  <c r="M20" i="24"/>
  <c r="K13" i="24"/>
  <c r="K17" i="24"/>
  <c r="K21" i="24"/>
  <c r="L13" i="24"/>
  <c r="L21" i="24"/>
  <c r="L17" i="24"/>
  <c r="K14" i="24"/>
  <c r="K18" i="24"/>
  <c r="K22" i="24"/>
  <c r="L14" i="24"/>
  <c r="L18" i="24"/>
  <c r="L22" i="24"/>
  <c r="K15" i="24"/>
  <c r="K19" i="24"/>
  <c r="L19" i="24"/>
  <c r="L15" i="24"/>
  <c r="K16" i="24"/>
  <c r="K20" i="24"/>
  <c r="L16" i="24"/>
  <c r="L20" i="24"/>
  <c r="J18" i="24"/>
  <c r="J20" i="24"/>
  <c r="J21" i="24"/>
  <c r="J22" i="24"/>
  <c r="J19" i="24"/>
  <c r="J17" i="24"/>
  <c r="I13" i="24"/>
  <c r="I21" i="24"/>
  <c r="I14" i="24"/>
  <c r="I22" i="24"/>
  <c r="I15" i="24"/>
  <c r="I16" i="24"/>
  <c r="I17" i="24"/>
  <c r="I18" i="24"/>
  <c r="I19" i="24"/>
  <c r="I20" i="24"/>
  <c r="F13" i="24"/>
  <c r="H15" i="24"/>
  <c r="G18" i="24"/>
  <c r="F21" i="24"/>
  <c r="G13" i="24"/>
  <c r="F16" i="24"/>
  <c r="H13" i="24"/>
  <c r="G16" i="24"/>
  <c r="F19" i="24"/>
  <c r="H21" i="24"/>
  <c r="G21" i="24"/>
  <c r="F14" i="24"/>
  <c r="H16" i="24"/>
  <c r="G19" i="24"/>
  <c r="F22" i="24"/>
  <c r="H18" i="24"/>
  <c r="G14" i="24"/>
  <c r="F17" i="24"/>
  <c r="H19" i="24"/>
  <c r="G22" i="24"/>
  <c r="H20" i="24"/>
  <c r="H14" i="24"/>
  <c r="G17" i="24"/>
  <c r="F20" i="24"/>
  <c r="H22" i="24"/>
  <c r="F18" i="24"/>
  <c r="F15" i="24"/>
  <c r="H17" i="24"/>
  <c r="G20" i="24"/>
  <c r="G15" i="24"/>
  <c r="E14" i="24"/>
  <c r="E22" i="24"/>
  <c r="E20" i="24"/>
  <c r="E15" i="24"/>
  <c r="E13" i="24"/>
  <c r="E16" i="24"/>
  <c r="E17" i="24"/>
  <c r="E18" i="24"/>
  <c r="E19" i="24"/>
  <c r="E21" i="24"/>
  <c r="D13" i="24"/>
  <c r="D21" i="24"/>
  <c r="D14" i="24"/>
  <c r="D22" i="24"/>
  <c r="D16" i="24"/>
  <c r="D17" i="24"/>
  <c r="D18" i="24"/>
  <c r="D15" i="24"/>
  <c r="D19" i="24"/>
  <c r="D20" i="24"/>
  <c r="B16" i="24"/>
  <c r="B20" i="24"/>
  <c r="B19" i="24"/>
  <c r="C19" i="24"/>
  <c r="C16" i="24"/>
  <c r="C20" i="24"/>
  <c r="B13" i="24"/>
  <c r="B17" i="24"/>
  <c r="B21" i="24"/>
  <c r="C13" i="24"/>
  <c r="C17" i="24"/>
  <c r="C21" i="24"/>
  <c r="B14" i="24"/>
  <c r="B18" i="24"/>
  <c r="B22" i="24"/>
  <c r="C14" i="24"/>
  <c r="C18" i="24"/>
  <c r="C22" i="24"/>
  <c r="B15" i="24"/>
  <c r="C15" i="24"/>
  <c r="N12" i="24"/>
  <c r="M12" i="24"/>
  <c r="L12" i="24"/>
  <c r="K12" i="24"/>
  <c r="I12" i="24"/>
  <c r="H12" i="24"/>
  <c r="G12" i="24"/>
  <c r="F12" i="24"/>
  <c r="E12" i="24"/>
  <c r="D12" i="24"/>
  <c r="C12" i="24"/>
  <c r="B12" i="24"/>
  <c r="F12" i="12"/>
  <c r="E26" i="16" l="1"/>
  <c r="F26" i="16"/>
  <c r="H21" i="2"/>
  <c r="E49" i="7"/>
  <c r="C37" i="7"/>
  <c r="D44" i="7"/>
  <c r="C31" i="7"/>
  <c r="C38" i="7"/>
  <c r="C12" i="7"/>
  <c r="C19" i="7"/>
  <c r="C34" i="7"/>
  <c r="C56" i="7"/>
  <c r="C44" i="7"/>
  <c r="C32" i="125"/>
  <c r="H25" i="2" l="1"/>
  <c r="H26" i="2" s="1"/>
  <c r="B13" i="138"/>
  <c r="C13" i="138"/>
  <c r="D13" i="138"/>
  <c r="E13" i="138"/>
  <c r="F13" i="138"/>
  <c r="B14" i="138"/>
  <c r="C14" i="138"/>
  <c r="D14" i="138"/>
  <c r="E14" i="138"/>
  <c r="F14" i="138"/>
  <c r="B15" i="138"/>
  <c r="C15" i="138"/>
  <c r="D15" i="138"/>
  <c r="E15" i="138"/>
  <c r="F15" i="138"/>
  <c r="B16" i="138"/>
  <c r="C16" i="138"/>
  <c r="D16" i="138"/>
  <c r="E16" i="138"/>
  <c r="F16" i="138"/>
  <c r="B17" i="138"/>
  <c r="C17" i="138"/>
  <c r="D17" i="138"/>
  <c r="E17" i="138"/>
  <c r="F17" i="138"/>
  <c r="D11" i="138"/>
  <c r="E11" i="138"/>
  <c r="F11" i="138"/>
  <c r="D12" i="138"/>
  <c r="E12" i="138"/>
  <c r="F12" i="138"/>
  <c r="C11" i="138"/>
  <c r="C12" i="138"/>
  <c r="B11" i="138"/>
  <c r="B12" i="138"/>
  <c r="B48" i="19"/>
  <c r="I48" i="19"/>
  <c r="H48" i="19"/>
  <c r="G48" i="19"/>
  <c r="F48" i="19"/>
  <c r="E48" i="19"/>
  <c r="D48" i="19"/>
  <c r="C48" i="19"/>
  <c r="F289" i="224"/>
  <c r="F288" i="224"/>
  <c r="F287" i="224"/>
  <c r="F286" i="224"/>
  <c r="F285" i="224"/>
  <c r="F284" i="224"/>
  <c r="F283" i="224"/>
  <c r="F282" i="224"/>
  <c r="F281" i="224"/>
  <c r="F280" i="224"/>
  <c r="F279" i="224"/>
  <c r="F278" i="224"/>
  <c r="F277" i="224"/>
  <c r="F276" i="224"/>
  <c r="F275" i="224"/>
  <c r="F274" i="224"/>
  <c r="F273" i="224"/>
  <c r="F272" i="224"/>
  <c r="F271" i="224"/>
  <c r="F270" i="224"/>
  <c r="F269" i="224"/>
  <c r="F268" i="224"/>
  <c r="F267" i="224"/>
  <c r="F266" i="224"/>
  <c r="F265" i="224"/>
  <c r="F264" i="224"/>
  <c r="F263" i="224"/>
  <c r="F262" i="224"/>
  <c r="F261" i="224"/>
  <c r="F260" i="224"/>
  <c r="F259" i="224"/>
  <c r="F258" i="224"/>
  <c r="H161" i="221"/>
  <c r="H160" i="221"/>
  <c r="H159" i="221"/>
  <c r="H158" i="221"/>
  <c r="H157" i="221"/>
  <c r="H156" i="221"/>
  <c r="H155" i="221"/>
  <c r="H154" i="221"/>
  <c r="H153" i="221"/>
  <c r="H152" i="221"/>
  <c r="H151" i="221"/>
  <c r="H150" i="221"/>
  <c r="H149" i="221"/>
  <c r="H148" i="221"/>
  <c r="H147" i="221"/>
  <c r="H146" i="221"/>
  <c r="H145" i="221"/>
  <c r="H144" i="221"/>
  <c r="H143" i="221"/>
  <c r="H142" i="221"/>
  <c r="H141" i="221"/>
  <c r="H140" i="221"/>
  <c r="H139" i="221"/>
  <c r="H138" i="221"/>
  <c r="H137" i="221"/>
  <c r="H136" i="221"/>
  <c r="H135" i="221"/>
  <c r="H134" i="221"/>
  <c r="H133" i="221"/>
  <c r="H132" i="221"/>
  <c r="H131" i="221"/>
  <c r="H130" i="221"/>
  <c r="C27" i="7"/>
  <c r="C59" i="7"/>
  <c r="C63" i="7"/>
  <c r="C49" i="7"/>
  <c r="D27" i="7"/>
  <c r="H27" i="7"/>
  <c r="C51" i="7"/>
  <c r="A10" i="96" l="1"/>
  <c r="D20" i="96"/>
  <c r="D18" i="96"/>
  <c r="D22" i="96"/>
  <c r="D14" i="96"/>
  <c r="D15" i="96"/>
  <c r="D21" i="96"/>
  <c r="D16" i="96"/>
  <c r="D12" i="96"/>
  <c r="D19" i="96"/>
  <c r="D13" i="96"/>
  <c r="D17" i="96"/>
  <c r="D23" i="96" l="1"/>
  <c r="G10" i="33"/>
  <c r="G11" i="33"/>
  <c r="G12" i="33"/>
  <c r="G13" i="33"/>
  <c r="G14" i="33"/>
  <c r="G15" i="33"/>
  <c r="G16" i="33"/>
  <c r="G17" i="33"/>
  <c r="G18" i="33"/>
  <c r="B84" i="28" l="1"/>
  <c r="F11" i="115"/>
  <c r="F12" i="115"/>
  <c r="F13" i="115"/>
  <c r="F14" i="115"/>
  <c r="F10" i="115"/>
  <c r="G42" i="2"/>
  <c r="G43" i="2"/>
  <c r="G44" i="2"/>
  <c r="G45" i="2"/>
  <c r="G46" i="2"/>
  <c r="G47" i="2"/>
  <c r="G48" i="2"/>
  <c r="G49" i="2"/>
  <c r="G61" i="2" s="1"/>
  <c r="G62" i="2" s="1"/>
  <c r="G50" i="2"/>
  <c r="G51" i="2"/>
  <c r="G52" i="2"/>
  <c r="G53" i="2"/>
  <c r="G57" i="2" s="1"/>
  <c r="G58" i="2" s="1"/>
  <c r="C30" i="2"/>
  <c r="E30" i="2"/>
  <c r="F30" i="2"/>
  <c r="G30" i="2"/>
  <c r="H20" i="2"/>
  <c r="H11" i="2"/>
  <c r="J11" i="2" s="1"/>
  <c r="H12" i="2"/>
  <c r="J12" i="2" s="1"/>
  <c r="H13" i="2"/>
  <c r="J13" i="2" s="1"/>
  <c r="H14" i="2"/>
  <c r="J14" i="2" s="1"/>
  <c r="H15" i="2"/>
  <c r="J15" i="2" s="1"/>
  <c r="H16" i="2"/>
  <c r="J16" i="2" s="1"/>
  <c r="H17" i="2"/>
  <c r="H18" i="2"/>
  <c r="J18" i="2" s="1"/>
  <c r="H19" i="2"/>
  <c r="J19" i="2" s="1"/>
  <c r="H10" i="2"/>
  <c r="F16" i="124"/>
  <c r="A38" i="22"/>
  <c r="B38" i="22"/>
  <c r="C38" i="22"/>
  <c r="D38" i="22"/>
  <c r="E38" i="22"/>
  <c r="G28" i="113"/>
  <c r="O28" i="113"/>
  <c r="H34" i="114"/>
  <c r="J16" i="114"/>
  <c r="L25" i="114"/>
  <c r="D34" i="114"/>
  <c r="C34" i="114"/>
  <c r="G16" i="114"/>
  <c r="D16" i="114"/>
  <c r="F25" i="114"/>
  <c r="B25" i="114"/>
  <c r="B34" i="114"/>
  <c r="F16" i="114"/>
  <c r="G25" i="114"/>
  <c r="D25" i="114"/>
  <c r="C25" i="114"/>
  <c r="H25" i="114"/>
  <c r="J25" i="114"/>
  <c r="C16" i="114"/>
  <c r="E25" i="114"/>
  <c r="I25" i="114"/>
  <c r="B16" i="114"/>
  <c r="E34" i="114"/>
  <c r="H16" i="114"/>
  <c r="F34" i="114"/>
  <c r="L18" i="34"/>
  <c r="H13" i="34"/>
  <c r="D18" i="34"/>
  <c r="K29" i="34"/>
  <c r="F40" i="34"/>
  <c r="L28" i="34"/>
  <c r="I18" i="34"/>
  <c r="L41" i="34"/>
  <c r="I32" i="34"/>
  <c r="N41" i="34"/>
  <c r="K11" i="34"/>
  <c r="M36" i="34"/>
  <c r="K19" i="34"/>
  <c r="G36" i="34"/>
  <c r="Q32" i="34"/>
  <c r="O32" i="34"/>
  <c r="F28" i="34"/>
  <c r="G21" i="34"/>
  <c r="D12" i="34"/>
  <c r="H25" i="34"/>
  <c r="P11" i="34"/>
  <c r="N28" i="34"/>
  <c r="E20" i="34"/>
  <c r="F14" i="34"/>
  <c r="M33" i="34"/>
  <c r="E34" i="34"/>
  <c r="J35" i="34"/>
  <c r="O14" i="34"/>
  <c r="D33" i="34"/>
  <c r="I17" i="34"/>
  <c r="E22" i="34"/>
  <c r="K40" i="34"/>
  <c r="Q14" i="34"/>
  <c r="L14" i="34"/>
  <c r="H14" i="34"/>
  <c r="M17" i="34"/>
  <c r="E17" i="34"/>
  <c r="K25" i="34"/>
  <c r="Q34" i="34"/>
  <c r="G14" i="34"/>
  <c r="L32" i="34"/>
  <c r="Q28" i="34"/>
  <c r="M22" i="34"/>
  <c r="C17" i="34"/>
  <c r="J13" i="34"/>
  <c r="F39" i="34"/>
  <c r="M16" i="34"/>
  <c r="Q31" i="34"/>
  <c r="D11" i="34"/>
  <c r="F37" i="34"/>
  <c r="J12" i="34"/>
  <c r="E26" i="34"/>
  <c r="M27" i="34"/>
  <c r="F16" i="34"/>
  <c r="I21" i="34"/>
  <c r="P35" i="34"/>
  <c r="M35" i="34"/>
  <c r="J20" i="34"/>
  <c r="D20" i="34"/>
  <c r="E15" i="34"/>
  <c r="F13" i="34"/>
  <c r="O37" i="34"/>
  <c r="O11" i="34"/>
  <c r="D32" i="34"/>
  <c r="I30" i="34"/>
  <c r="O29" i="34"/>
  <c r="F38" i="34"/>
  <c r="D40" i="34"/>
  <c r="C10" i="34"/>
  <c r="F34" i="34"/>
  <c r="D21" i="34"/>
  <c r="N29" i="34"/>
  <c r="D15" i="34"/>
  <c r="Q24" i="34"/>
  <c r="D38" i="34"/>
  <c r="Q12" i="34"/>
  <c r="M41" i="34"/>
  <c r="E37" i="34"/>
  <c r="K39" i="34"/>
  <c r="O19" i="34"/>
  <c r="H24" i="34"/>
  <c r="H16" i="34"/>
  <c r="F32" i="34"/>
  <c r="N23" i="34"/>
  <c r="E33" i="34"/>
  <c r="J16" i="34"/>
  <c r="H41" i="34"/>
  <c r="H37" i="34"/>
  <c r="L25" i="34"/>
  <c r="E12" i="34"/>
  <c r="D29" i="34"/>
  <c r="M20" i="34"/>
  <c r="N39" i="34"/>
  <c r="K18" i="34"/>
  <c r="N26" i="34"/>
  <c r="O15" i="34"/>
  <c r="D37" i="34"/>
  <c r="H23" i="34"/>
  <c r="H36" i="34"/>
  <c r="D17" i="34"/>
  <c r="H11" i="34"/>
  <c r="M29" i="34"/>
  <c r="N27" i="34"/>
  <c r="F19" i="34"/>
  <c r="C12" i="34"/>
  <c r="Q19" i="34"/>
  <c r="D35" i="34"/>
  <c r="D34" i="34"/>
  <c r="K36" i="34"/>
  <c r="H39" i="34"/>
  <c r="P34" i="34"/>
  <c r="G13" i="34"/>
  <c r="L15" i="34"/>
  <c r="G10" i="34"/>
  <c r="N22" i="34"/>
  <c r="C29" i="34"/>
  <c r="N37" i="34"/>
  <c r="N34" i="34"/>
  <c r="C34" i="34"/>
  <c r="P28" i="34"/>
  <c r="M25" i="34"/>
  <c r="M15" i="34"/>
  <c r="L22" i="34"/>
  <c r="F12" i="34"/>
  <c r="J30" i="34"/>
  <c r="L17" i="34"/>
  <c r="J17" i="34"/>
  <c r="J19" i="34"/>
  <c r="I27" i="34"/>
  <c r="C27" i="34"/>
  <c r="N10" i="34"/>
  <c r="L26" i="34"/>
  <c r="D27" i="34"/>
  <c r="H18" i="34"/>
  <c r="C36" i="34"/>
  <c r="N11" i="34"/>
  <c r="O28" i="34"/>
  <c r="P23" i="34"/>
  <c r="M37" i="34"/>
  <c r="I19" i="34"/>
  <c r="E36" i="34"/>
  <c r="J23" i="34"/>
  <c r="H12" i="34"/>
  <c r="L30" i="34"/>
  <c r="Q27" i="34"/>
  <c r="K23" i="34"/>
  <c r="E30" i="34"/>
  <c r="J34" i="34"/>
  <c r="M11" i="34"/>
  <c r="G18" i="34"/>
  <c r="H34" i="34"/>
  <c r="D41" i="34"/>
  <c r="I34" i="34"/>
  <c r="Q11" i="34"/>
  <c r="M34" i="34"/>
  <c r="L21" i="34"/>
  <c r="G26" i="34"/>
  <c r="H33" i="34"/>
  <c r="Q22" i="34"/>
  <c r="N14" i="34"/>
  <c r="O30" i="34"/>
  <c r="H20" i="34"/>
  <c r="D16" i="34"/>
  <c r="H40" i="34"/>
  <c r="J28" i="34"/>
  <c r="H28" i="34"/>
  <c r="N40" i="34"/>
  <c r="F18" i="34"/>
  <c r="G23" i="34"/>
  <c r="G12" i="34"/>
  <c r="C28" i="34"/>
  <c r="J29" i="34"/>
  <c r="F23" i="34"/>
  <c r="Q38" i="34"/>
  <c r="N35" i="34"/>
  <c r="O10" i="34"/>
  <c r="J32" i="34"/>
  <c r="C37" i="34"/>
  <c r="C35" i="34"/>
  <c r="F31" i="34"/>
  <c r="N16" i="34"/>
  <c r="P40" i="34"/>
  <c r="I37" i="34"/>
  <c r="I33" i="34"/>
  <c r="K41" i="34"/>
  <c r="J10" i="34"/>
  <c r="I16" i="34"/>
  <c r="K21" i="34"/>
  <c r="N17" i="34"/>
  <c r="D28" i="34"/>
  <c r="E23" i="34"/>
  <c r="K32" i="34"/>
  <c r="J37" i="34"/>
  <c r="I40" i="34"/>
  <c r="K28" i="34"/>
  <c r="I28" i="34"/>
  <c r="F20" i="34"/>
  <c r="J11" i="34"/>
  <c r="Q25" i="34"/>
  <c r="P14" i="34"/>
  <c r="M13" i="34"/>
  <c r="Q15" i="34"/>
  <c r="P33" i="34"/>
  <c r="C18" i="34"/>
  <c r="G39" i="34"/>
  <c r="G34" i="34"/>
  <c r="M21" i="34"/>
  <c r="L16" i="34"/>
  <c r="L34" i="34"/>
  <c r="E31" i="34"/>
  <c r="J24" i="34"/>
  <c r="K26" i="34"/>
  <c r="C22" i="34"/>
  <c r="M30" i="34"/>
  <c r="K30" i="34"/>
  <c r="O23" i="34"/>
  <c r="L10" i="34"/>
  <c r="C24" i="34"/>
  <c r="L11" i="34"/>
  <c r="D10" i="34"/>
  <c r="P41" i="34"/>
  <c r="K34" i="34"/>
  <c r="O17" i="34"/>
  <c r="N12" i="34"/>
  <c r="K35" i="34"/>
  <c r="E10" i="34"/>
  <c r="E35" i="34"/>
  <c r="I39" i="34"/>
  <c r="N15" i="34"/>
  <c r="P32" i="34"/>
  <c r="C13" i="34"/>
  <c r="M40" i="34"/>
  <c r="O21" i="34"/>
  <c r="I36" i="34"/>
  <c r="O24" i="34"/>
  <c r="L24" i="34"/>
  <c r="G11" i="34"/>
  <c r="Q17" i="34"/>
  <c r="L27" i="34"/>
  <c r="P30" i="34"/>
  <c r="G30" i="34"/>
  <c r="N20" i="34"/>
  <c r="E38" i="34"/>
  <c r="M26" i="34"/>
  <c r="F11" i="34"/>
  <c r="F22" i="34"/>
  <c r="D22" i="34"/>
  <c r="Q30" i="34"/>
  <c r="D14" i="34"/>
  <c r="I10" i="34"/>
  <c r="G35" i="34"/>
  <c r="I24" i="34"/>
  <c r="N31" i="34"/>
  <c r="K20" i="34"/>
  <c r="O18" i="34"/>
  <c r="O41" i="34"/>
  <c r="F21" i="34"/>
  <c r="O26" i="34"/>
  <c r="N19" i="34"/>
  <c r="P38" i="34"/>
  <c r="C20" i="34"/>
  <c r="C39" i="34"/>
  <c r="N18" i="34"/>
  <c r="G25" i="34"/>
  <c r="C19" i="34"/>
  <c r="C33" i="34"/>
  <c r="O39" i="34"/>
  <c r="L23" i="34"/>
  <c r="Q10" i="34"/>
  <c r="J31" i="34"/>
  <c r="O25" i="34"/>
  <c r="Q18" i="34"/>
  <c r="D25" i="34"/>
  <c r="E14" i="34"/>
  <c r="L39" i="34"/>
  <c r="D24" i="34"/>
  <c r="G33" i="34"/>
  <c r="P18" i="34"/>
  <c r="I38" i="34"/>
  <c r="H38" i="34"/>
  <c r="E11" i="34"/>
  <c r="P13" i="34"/>
  <c r="L33" i="34"/>
  <c r="H30" i="34"/>
  <c r="F30" i="34"/>
  <c r="E28" i="34"/>
  <c r="C11" i="34"/>
  <c r="O31" i="34"/>
  <c r="O38" i="34"/>
  <c r="K13" i="34"/>
  <c r="N32" i="34"/>
  <c r="P20" i="34"/>
  <c r="E29" i="34"/>
  <c r="M28" i="34"/>
  <c r="D39" i="34"/>
  <c r="J38" i="34"/>
  <c r="N38" i="34"/>
  <c r="K16" i="34"/>
  <c r="C26" i="34"/>
  <c r="J14" i="34"/>
  <c r="Q29" i="34"/>
  <c r="Q41" i="34"/>
  <c r="G17" i="34"/>
  <c r="G24" i="34"/>
  <c r="E25" i="34"/>
  <c r="K15" i="34"/>
  <c r="K10" i="34"/>
  <c r="Q36" i="34"/>
  <c r="P37" i="34"/>
  <c r="L20" i="34"/>
  <c r="F41" i="34"/>
  <c r="Q20" i="34"/>
  <c r="I15" i="34"/>
  <c r="N25" i="34"/>
  <c r="E32" i="34"/>
  <c r="C32" i="34"/>
  <c r="M39" i="34"/>
  <c r="O35" i="34"/>
  <c r="Q39" i="34"/>
  <c r="G29" i="34"/>
  <c r="M23" i="34"/>
  <c r="F27" i="34"/>
  <c r="M24" i="34"/>
  <c r="C15" i="34"/>
  <c r="Q35" i="34"/>
  <c r="O27" i="34"/>
  <c r="J39" i="34"/>
  <c r="E21" i="34"/>
  <c r="O22" i="34"/>
  <c r="M19" i="34"/>
  <c r="P36" i="34"/>
  <c r="K27" i="34"/>
  <c r="J27" i="34"/>
  <c r="N33" i="34"/>
  <c r="I26" i="34"/>
  <c r="M10" i="34"/>
  <c r="C14" i="34"/>
  <c r="F29" i="34"/>
  <c r="K17" i="34"/>
  <c r="Q26" i="34"/>
  <c r="I25" i="34"/>
  <c r="K33" i="34"/>
  <c r="H22" i="34"/>
  <c r="I41" i="34"/>
  <c r="G41" i="34"/>
  <c r="O40" i="34"/>
  <c r="C38" i="34"/>
  <c r="C31" i="34"/>
  <c r="P17" i="34"/>
  <c r="H29" i="34"/>
  <c r="G22" i="34"/>
  <c r="J41" i="34"/>
  <c r="O34" i="34"/>
  <c r="H19" i="34"/>
  <c r="G40" i="34"/>
  <c r="E40" i="34"/>
  <c r="K22" i="34"/>
  <c r="L19" i="34"/>
  <c r="N13" i="34"/>
  <c r="G27" i="34"/>
  <c r="H17" i="34"/>
  <c r="D19" i="34"/>
  <c r="D26" i="34"/>
  <c r="M31" i="34"/>
  <c r="M14" i="34"/>
  <c r="E13" i="34"/>
  <c r="P12" i="34"/>
  <c r="H15" i="34"/>
  <c r="C41" i="34"/>
  <c r="I11" i="34"/>
  <c r="P29" i="34"/>
  <c r="J18" i="34"/>
  <c r="E27" i="34"/>
  <c r="N36" i="34"/>
  <c r="I23" i="34"/>
  <c r="C23" i="34"/>
  <c r="I22" i="34"/>
  <c r="G31" i="34"/>
  <c r="G16" i="34"/>
  <c r="L38" i="34"/>
  <c r="I35" i="34"/>
  <c r="E16" i="34"/>
  <c r="P31" i="34"/>
  <c r="L13" i="34"/>
  <c r="I31" i="34"/>
  <c r="Q23" i="34"/>
  <c r="J36" i="34"/>
  <c r="E39" i="34"/>
  <c r="O33" i="34"/>
  <c r="J15" i="34"/>
  <c r="E18" i="34"/>
  <c r="F15" i="34"/>
  <c r="D31" i="34"/>
  <c r="Q37" i="34"/>
  <c r="L12" i="34"/>
  <c r="K38" i="34"/>
  <c r="O16" i="34"/>
  <c r="Q21" i="34"/>
  <c r="K12" i="34"/>
  <c r="M32" i="34"/>
  <c r="P15" i="34"/>
  <c r="P39" i="34"/>
  <c r="I29" i="34"/>
  <c r="Q33" i="34"/>
  <c r="F33" i="34"/>
  <c r="P19" i="34"/>
  <c r="J40" i="34"/>
  <c r="N21" i="34"/>
  <c r="F17" i="34"/>
  <c r="I12" i="34"/>
  <c r="Q16" i="34"/>
  <c r="P26" i="34"/>
  <c r="I14" i="34"/>
  <c r="G32" i="34"/>
  <c r="I20" i="34"/>
  <c r="G20" i="34"/>
  <c r="L31" i="34"/>
  <c r="Q13" i="34"/>
  <c r="D36" i="34"/>
  <c r="M38" i="34"/>
  <c r="F26" i="34"/>
  <c r="H26" i="34"/>
  <c r="P25" i="34"/>
  <c r="L40" i="34"/>
  <c r="L36" i="34"/>
  <c r="M12" i="34"/>
  <c r="K37" i="34"/>
  <c r="D13" i="34"/>
  <c r="G37" i="34"/>
  <c r="C16" i="34"/>
  <c r="F24" i="34"/>
  <c r="N30" i="34"/>
  <c r="H31" i="34"/>
  <c r="H10" i="34"/>
  <c r="F36" i="34"/>
  <c r="O12" i="34"/>
  <c r="P10" i="34"/>
  <c r="M18" i="34"/>
  <c r="H21" i="34"/>
  <c r="O13" i="34"/>
  <c r="O20" i="34"/>
  <c r="E41" i="34"/>
  <c r="J25" i="34"/>
  <c r="J26" i="34"/>
  <c r="D30" i="34"/>
  <c r="L35" i="34"/>
  <c r="O36" i="34"/>
  <c r="P21" i="34"/>
  <c r="H27" i="34"/>
  <c r="G38" i="34"/>
  <c r="F35" i="34"/>
  <c r="K14" i="34"/>
  <c r="D23" i="34"/>
  <c r="G19" i="34"/>
  <c r="E19" i="34"/>
  <c r="C21" i="34"/>
  <c r="J22" i="34"/>
  <c r="C40" i="34"/>
  <c r="I13" i="34"/>
  <c r="Q40" i="34"/>
  <c r="P24" i="34"/>
  <c r="C30" i="34"/>
  <c r="F10" i="34"/>
  <c r="L29" i="34"/>
  <c r="C25" i="34"/>
  <c r="L37" i="34"/>
  <c r="H35" i="34"/>
  <c r="J21" i="34"/>
  <c r="P16" i="34"/>
  <c r="G15" i="34"/>
  <c r="H32" i="34"/>
  <c r="J33" i="34"/>
  <c r="G28" i="34"/>
  <c r="F25" i="34"/>
  <c r="N24" i="34"/>
  <c r="K24" i="34"/>
  <c r="E24" i="34"/>
  <c r="P22" i="34"/>
  <c r="K31" i="34"/>
  <c r="P27" i="34"/>
  <c r="F38" i="22" l="1"/>
  <c r="J17" i="2"/>
  <c r="J29" i="2" s="1"/>
  <c r="H29" i="2"/>
  <c r="H30" i="2" s="1"/>
  <c r="J20" i="2"/>
  <c r="M25" i="114"/>
  <c r="I34" i="114"/>
  <c r="E16" i="114"/>
  <c r="K16" i="114"/>
  <c r="J21" i="2"/>
  <c r="J25" i="2" s="1"/>
  <c r="I42" i="34"/>
  <c r="J30" i="2" l="1"/>
  <c r="J26" i="2"/>
  <c r="J42" i="27"/>
  <c r="A84" i="28" l="1"/>
  <c r="D84" i="28"/>
  <c r="D83" i="28"/>
  <c r="A83" i="28"/>
  <c r="A51" i="28"/>
  <c r="A58" i="28"/>
  <c r="A57" i="28"/>
  <c r="E57" i="28" l="1"/>
  <c r="E58" i="28"/>
  <c r="D58" i="28"/>
  <c r="C57" i="28"/>
  <c r="C84" i="28"/>
  <c r="C58" i="28"/>
  <c r="C83" i="28"/>
  <c r="B58" i="28"/>
  <c r="B83" i="28"/>
  <c r="B57" i="28"/>
  <c r="E84" i="28"/>
  <c r="E83" i="28"/>
  <c r="D57" i="28"/>
  <c r="H32" i="114"/>
  <c r="J15" i="114"/>
  <c r="H31" i="114"/>
  <c r="H33" i="114"/>
  <c r="J14" i="114"/>
  <c r="L22" i="114"/>
  <c r="L23" i="114"/>
  <c r="J13" i="114"/>
  <c r="L24" i="114"/>
  <c r="B22" i="114"/>
  <c r="D14" i="114"/>
  <c r="H15" i="114"/>
  <c r="D24" i="114"/>
  <c r="J24" i="114"/>
  <c r="E33" i="114"/>
  <c r="J23" i="114"/>
  <c r="C31" i="114"/>
  <c r="H23" i="114"/>
  <c r="F33" i="114"/>
  <c r="F32" i="114"/>
  <c r="C32" i="114"/>
  <c r="I24" i="114"/>
  <c r="G23" i="114"/>
  <c r="G15" i="114"/>
  <c r="H24" i="114"/>
  <c r="G14" i="114"/>
  <c r="F13" i="114"/>
  <c r="B23" i="114"/>
  <c r="D13" i="114"/>
  <c r="C33" i="114"/>
  <c r="E31" i="114"/>
  <c r="D23" i="114"/>
  <c r="G22" i="114"/>
  <c r="B31" i="114"/>
  <c r="H22" i="114"/>
  <c r="D33" i="114"/>
  <c r="I22" i="114"/>
  <c r="C13" i="114"/>
  <c r="C23" i="114"/>
  <c r="G24" i="114"/>
  <c r="E24" i="114"/>
  <c r="B24" i="114"/>
  <c r="E23" i="114"/>
  <c r="F22" i="114"/>
  <c r="C14" i="114"/>
  <c r="B14" i="114"/>
  <c r="F31" i="114"/>
  <c r="D32" i="114"/>
  <c r="E22" i="114"/>
  <c r="H14" i="114"/>
  <c r="B33" i="114"/>
  <c r="I23" i="114"/>
  <c r="E32" i="114"/>
  <c r="G13" i="114"/>
  <c r="D22" i="114"/>
  <c r="B32" i="114"/>
  <c r="F24" i="114"/>
  <c r="F14" i="114"/>
  <c r="F15" i="114"/>
  <c r="H13" i="114"/>
  <c r="C24" i="114"/>
  <c r="B13" i="114"/>
  <c r="D31" i="114"/>
  <c r="F23" i="114"/>
  <c r="J22" i="114"/>
  <c r="C22" i="114"/>
  <c r="K13" i="114" l="1"/>
  <c r="E13" i="114"/>
  <c r="E14" i="114"/>
  <c r="K15" i="114"/>
  <c r="B15" i="114"/>
  <c r="D15" i="114"/>
  <c r="C15" i="114"/>
  <c r="E15" i="114" l="1"/>
  <c r="C42" i="27"/>
  <c r="D42" i="27"/>
  <c r="E42" i="27"/>
  <c r="F42" i="27"/>
  <c r="G42" i="27"/>
  <c r="H42" i="27"/>
  <c r="I42" i="27"/>
  <c r="C31" i="16"/>
  <c r="A9" i="13"/>
  <c r="A9" i="11"/>
  <c r="A10" i="23"/>
  <c r="A23" i="19"/>
  <c r="A48" i="19" s="1"/>
  <c r="B31" i="18"/>
  <c r="C27" i="18"/>
  <c r="B27" i="18"/>
  <c r="C31" i="18"/>
  <c r="B27" i="16"/>
  <c r="B31" i="16"/>
  <c r="C27" i="16"/>
  <c r="C28" i="16" l="1"/>
  <c r="B28" i="16"/>
  <c r="E27" i="16"/>
  <c r="F27" i="16"/>
  <c r="J22" i="14"/>
  <c r="C22" i="14"/>
  <c r="H44" i="12"/>
  <c r="F64" i="12"/>
  <c r="G64" i="12"/>
  <c r="H64" i="12"/>
  <c r="I44" i="12"/>
  <c r="E64" i="12"/>
  <c r="F44" i="12"/>
  <c r="I64" i="12"/>
  <c r="E27" i="18" l="1"/>
  <c r="D27" i="18"/>
  <c r="D28" i="18" s="1"/>
  <c r="B28" i="18"/>
  <c r="C28" i="18"/>
  <c r="F27" i="18"/>
  <c r="E23" i="19"/>
  <c r="F30" i="12"/>
  <c r="F39" i="12"/>
  <c r="F19" i="12"/>
  <c r="F33" i="12"/>
  <c r="F14" i="12"/>
  <c r="F15" i="12"/>
  <c r="F38" i="12"/>
  <c r="F23" i="12"/>
  <c r="F40" i="12"/>
  <c r="F29" i="12"/>
  <c r="F35" i="12"/>
  <c r="F21" i="12"/>
  <c r="F18" i="12"/>
  <c r="F22" i="12"/>
  <c r="F41" i="12"/>
  <c r="F25" i="12"/>
  <c r="F28" i="12"/>
  <c r="F42" i="12"/>
  <c r="F24" i="12"/>
  <c r="F16" i="12"/>
  <c r="F37" i="12"/>
  <c r="F20" i="12"/>
  <c r="F36" i="12"/>
  <c r="F27" i="12"/>
  <c r="F34" i="12"/>
  <c r="F26" i="12"/>
  <c r="F17" i="12"/>
  <c r="F32" i="12"/>
  <c r="F43" i="12"/>
  <c r="F13" i="12"/>
  <c r="F31" i="12"/>
  <c r="F28" i="18" l="1"/>
  <c r="E28" i="18"/>
  <c r="H23" i="19"/>
  <c r="E12" i="10"/>
  <c r="H12" i="10"/>
  <c r="C12" i="10"/>
  <c r="D12" i="10"/>
  <c r="G12" i="10"/>
  <c r="F12" i="10"/>
  <c r="E10" i="94"/>
  <c r="F12" i="94"/>
  <c r="C10" i="94"/>
  <c r="C12" i="94"/>
  <c r="B16" i="94"/>
  <c r="E16" i="94"/>
  <c r="C16" i="94"/>
  <c r="H16" i="94"/>
  <c r="F10" i="94"/>
  <c r="G12" i="94"/>
  <c r="D16" i="94"/>
  <c r="D10" i="94"/>
  <c r="E12" i="94"/>
  <c r="F18" i="94"/>
  <c r="H18" i="94"/>
  <c r="B10" i="94"/>
  <c r="F16" i="94"/>
  <c r="H10" i="94"/>
  <c r="D18" i="94"/>
  <c r="B18" i="94"/>
  <c r="G18" i="94"/>
  <c r="H12" i="94"/>
  <c r="G10" i="94"/>
  <c r="C18" i="94"/>
  <c r="G16" i="94"/>
  <c r="B12" i="94"/>
  <c r="D12" i="94"/>
  <c r="E18" i="94"/>
  <c r="C55" i="7"/>
  <c r="E55" i="7"/>
  <c r="I12" i="10" l="1"/>
  <c r="I23" i="19"/>
  <c r="B9" i="76"/>
  <c r="B34" i="76"/>
  <c r="B49" i="76"/>
  <c r="B65" i="76"/>
  <c r="C70" i="76"/>
  <c r="G37" i="76"/>
  <c r="E69" i="76"/>
  <c r="C53" i="76"/>
  <c r="B37" i="76"/>
  <c r="E70" i="76"/>
  <c r="E54" i="76"/>
  <c r="D37" i="76"/>
  <c r="B69" i="76"/>
  <c r="C69" i="76"/>
  <c r="F70" i="76"/>
  <c r="C54" i="76"/>
  <c r="F69" i="76"/>
  <c r="F53" i="76"/>
  <c r="B53" i="76"/>
  <c r="F37" i="76"/>
  <c r="E53" i="76"/>
  <c r="C37" i="76"/>
  <c r="B70" i="76"/>
  <c r="B54" i="76"/>
  <c r="F54" i="76"/>
  <c r="E37" i="76"/>
  <c r="D54" i="76"/>
  <c r="D68" i="76"/>
  <c r="E19" i="76"/>
  <c r="E22" i="76"/>
  <c r="F20" i="76"/>
  <c r="D19" i="76"/>
  <c r="B19" i="76"/>
  <c r="D13" i="76"/>
  <c r="B22" i="76"/>
  <c r="D21" i="76"/>
  <c r="D17" i="76"/>
  <c r="D20" i="76"/>
  <c r="D14" i="76"/>
  <c r="C13" i="76"/>
  <c r="F22" i="76"/>
  <c r="B13" i="76"/>
  <c r="F13" i="76"/>
  <c r="B21" i="76"/>
  <c r="F18" i="76"/>
  <c r="C16" i="76"/>
  <c r="C15" i="76"/>
  <c r="C18" i="76"/>
  <c r="C20" i="76"/>
  <c r="B16" i="76"/>
  <c r="E17" i="76"/>
  <c r="E16" i="76"/>
  <c r="C19" i="76"/>
  <c r="E15" i="76"/>
  <c r="E12" i="76"/>
  <c r="B14" i="76"/>
  <c r="C17" i="76"/>
  <c r="E13" i="76"/>
  <c r="C22" i="76"/>
  <c r="B17" i="76"/>
  <c r="F16" i="76"/>
  <c r="E18" i="76"/>
  <c r="E21" i="76"/>
  <c r="F21" i="76"/>
  <c r="B12" i="76"/>
  <c r="D15" i="76"/>
  <c r="C12" i="76"/>
  <c r="C14" i="76"/>
  <c r="E14" i="76"/>
  <c r="D22" i="76"/>
  <c r="F14" i="76"/>
  <c r="F12" i="76"/>
  <c r="D12" i="76"/>
  <c r="D18" i="76"/>
  <c r="F17" i="76"/>
  <c r="F19" i="76"/>
  <c r="B20" i="76"/>
  <c r="E20" i="76"/>
  <c r="F15" i="76"/>
  <c r="D16" i="76"/>
  <c r="B18" i="76"/>
  <c r="B15" i="76"/>
  <c r="C21" i="76"/>
  <c r="G12" i="76" l="1"/>
  <c r="G13" i="76"/>
  <c r="G14" i="76"/>
  <c r="G15" i="76"/>
  <c r="G16" i="76"/>
  <c r="G17" i="76"/>
  <c r="G18" i="76"/>
  <c r="G19" i="76"/>
  <c r="G20" i="76"/>
  <c r="G21" i="76"/>
  <c r="G22" i="76"/>
  <c r="C24" i="76"/>
  <c r="D24" i="76"/>
  <c r="E24" i="76"/>
  <c r="F24" i="76"/>
  <c r="B24" i="76"/>
  <c r="D70" i="76"/>
  <c r="F36" i="76"/>
  <c r="D69" i="76"/>
  <c r="E36" i="76"/>
  <c r="D36" i="76"/>
  <c r="D53" i="76"/>
  <c r="G36" i="76"/>
  <c r="C36" i="76"/>
  <c r="B36" i="76"/>
  <c r="G24" i="76" l="1"/>
  <c r="B38" i="76"/>
  <c r="C38" i="76"/>
  <c r="D38" i="76"/>
  <c r="E38" i="76"/>
  <c r="F38" i="76"/>
  <c r="G38" i="76"/>
  <c r="B9" i="36" l="1"/>
  <c r="H28" i="113"/>
  <c r="I28" i="113"/>
  <c r="J28" i="113"/>
  <c r="K28" i="113"/>
  <c r="L28" i="113"/>
  <c r="M28" i="113"/>
  <c r="N28" i="113"/>
  <c r="E73" i="28"/>
  <c r="E74" i="28"/>
  <c r="E75" i="28"/>
  <c r="E76" i="28"/>
  <c r="E77" i="28"/>
  <c r="E78" i="28"/>
  <c r="E79" i="28"/>
  <c r="E80" i="28"/>
  <c r="E81" i="28"/>
  <c r="E82" i="28"/>
  <c r="D73" i="28"/>
  <c r="D74" i="28"/>
  <c r="D75" i="28"/>
  <c r="D76" i="28"/>
  <c r="D77" i="28"/>
  <c r="D78" i="28"/>
  <c r="D79" i="28"/>
  <c r="D80" i="28"/>
  <c r="D81" i="28"/>
  <c r="D82" i="28"/>
  <c r="D72" i="28"/>
  <c r="C73" i="28"/>
  <c r="C74" i="28"/>
  <c r="C75" i="28"/>
  <c r="C76" i="28"/>
  <c r="C77" i="28"/>
  <c r="C78" i="28"/>
  <c r="C79" i="28"/>
  <c r="C80" i="28"/>
  <c r="C81" i="28"/>
  <c r="C82" i="28"/>
  <c r="C72" i="28"/>
  <c r="B73" i="28"/>
  <c r="B74" i="28"/>
  <c r="B75" i="28"/>
  <c r="B76" i="28"/>
  <c r="B77" i="28"/>
  <c r="B78" i="28"/>
  <c r="B79" i="28"/>
  <c r="B80" i="28"/>
  <c r="B81" i="28"/>
  <c r="B82" i="28"/>
  <c r="B72" i="28"/>
  <c r="A73" i="28"/>
  <c r="A74" i="28"/>
  <c r="A75" i="28"/>
  <c r="A76" i="28"/>
  <c r="A77" i="28"/>
  <c r="A78" i="28"/>
  <c r="A79" i="28"/>
  <c r="A80" i="28"/>
  <c r="A81" i="28"/>
  <c r="A82" i="28"/>
  <c r="A72" i="28"/>
  <c r="D56" i="28"/>
  <c r="E56" i="28"/>
  <c r="B56" i="28"/>
  <c r="C56" i="28"/>
  <c r="A47" i="28"/>
  <c r="A48" i="28"/>
  <c r="A49" i="28"/>
  <c r="A50" i="28"/>
  <c r="A52" i="28"/>
  <c r="A53" i="28"/>
  <c r="A54" i="28"/>
  <c r="A55" i="28"/>
  <c r="A56" i="28"/>
  <c r="A46" i="28"/>
  <c r="H47" i="35"/>
  <c r="B56" i="35"/>
  <c r="I49" i="35"/>
  <c r="D49" i="35"/>
  <c r="K42" i="35"/>
  <c r="J45" i="35"/>
  <c r="D48" i="35"/>
  <c r="B44" i="35"/>
  <c r="E43" i="35"/>
  <c r="E53" i="35"/>
  <c r="E49" i="35"/>
  <c r="J51" i="35"/>
  <c r="D50" i="35"/>
  <c r="J47" i="35"/>
  <c r="I45" i="35"/>
  <c r="E50" i="35"/>
  <c r="B53" i="35"/>
  <c r="C54" i="35"/>
  <c r="B42" i="35"/>
  <c r="H53" i="35"/>
  <c r="I56" i="35"/>
  <c r="D52" i="35"/>
  <c r="K50" i="35"/>
  <c r="D54" i="35"/>
  <c r="E42" i="35"/>
  <c r="I55" i="35"/>
  <c r="K49" i="35"/>
  <c r="C42" i="35"/>
  <c r="J52" i="35"/>
  <c r="H44" i="35"/>
  <c r="E44" i="35"/>
  <c r="J42" i="35"/>
  <c r="I54" i="35"/>
  <c r="B43" i="35"/>
  <c r="C56" i="35"/>
  <c r="B49" i="35"/>
  <c r="K47" i="35"/>
  <c r="C51" i="35"/>
  <c r="B46" i="35"/>
  <c r="K55" i="35"/>
  <c r="C48" i="35"/>
  <c r="E56" i="35"/>
  <c r="H51" i="35"/>
  <c r="I44" i="35"/>
  <c r="H50" i="35"/>
  <c r="B54" i="35"/>
  <c r="I43" i="35"/>
  <c r="B45" i="35"/>
  <c r="K43" i="35"/>
  <c r="J53" i="35"/>
  <c r="J46" i="35"/>
  <c r="E55" i="35"/>
  <c r="E45" i="35"/>
  <c r="B52" i="35"/>
  <c r="C46" i="35"/>
  <c r="E52" i="35"/>
  <c r="H43" i="35"/>
  <c r="B50" i="35"/>
  <c r="E48" i="35"/>
  <c r="D56" i="35"/>
  <c r="K53" i="35"/>
  <c r="C49" i="35"/>
  <c r="I52" i="35"/>
  <c r="C44" i="35"/>
  <c r="C55" i="35"/>
  <c r="H45" i="35"/>
  <c r="J49" i="35"/>
  <c r="C52" i="35"/>
  <c r="I46" i="35"/>
  <c r="J55" i="35"/>
  <c r="K54" i="35"/>
  <c r="C53" i="35"/>
  <c r="J48" i="35"/>
  <c r="H55" i="35"/>
  <c r="B51" i="35"/>
  <c r="J44" i="35"/>
  <c r="B47" i="35"/>
  <c r="C43" i="35"/>
  <c r="C47" i="35"/>
  <c r="J43" i="35"/>
  <c r="K44" i="35"/>
  <c r="K48" i="35"/>
  <c r="D45" i="35"/>
  <c r="D51" i="35"/>
  <c r="D55" i="35"/>
  <c r="I51" i="35"/>
  <c r="J56" i="35"/>
  <c r="C45" i="35"/>
  <c r="I47" i="35"/>
  <c r="D53" i="35"/>
  <c r="H56" i="35"/>
  <c r="E46" i="35"/>
  <c r="K56" i="35"/>
  <c r="K45" i="35"/>
  <c r="B48" i="35"/>
  <c r="J54" i="35"/>
  <c r="K46" i="35"/>
  <c r="E54" i="35"/>
  <c r="D42" i="35"/>
  <c r="D46" i="35"/>
  <c r="H49" i="35"/>
  <c r="I53" i="35"/>
  <c r="E51" i="35"/>
  <c r="K52" i="35"/>
  <c r="B55" i="35"/>
  <c r="D47" i="35"/>
  <c r="D43" i="35"/>
  <c r="E47" i="35"/>
  <c r="H52" i="35"/>
  <c r="I48" i="35"/>
  <c r="J50" i="35"/>
  <c r="I50" i="35"/>
  <c r="H54" i="35"/>
  <c r="H46" i="35"/>
  <c r="C50" i="35"/>
  <c r="K51" i="35"/>
  <c r="H48" i="35"/>
  <c r="D44" i="35"/>
  <c r="I42" i="35"/>
  <c r="F28" i="125"/>
  <c r="C17" i="125"/>
  <c r="E17" i="125"/>
  <c r="C28" i="125"/>
  <c r="D28" i="125"/>
  <c r="E28" i="125"/>
  <c r="D17" i="125"/>
  <c r="F17" i="125"/>
  <c r="O42" i="35" l="1"/>
  <c r="O48" i="35"/>
  <c r="P51" i="35"/>
  <c r="M50" i="35"/>
  <c r="O46" i="35"/>
  <c r="O54" i="35"/>
  <c r="O52" i="35"/>
  <c r="N47" i="35"/>
  <c r="P52" i="35"/>
  <c r="N51" i="35"/>
  <c r="O49" i="35"/>
  <c r="N54" i="35"/>
  <c r="P46" i="35"/>
  <c r="P45" i="35"/>
  <c r="P56" i="35"/>
  <c r="N46" i="35"/>
  <c r="O56" i="35"/>
  <c r="M45" i="35"/>
  <c r="P48" i="35"/>
  <c r="P44" i="35"/>
  <c r="M47" i="35"/>
  <c r="M43" i="35"/>
  <c r="O55" i="35"/>
  <c r="M53" i="35"/>
  <c r="P54" i="35"/>
  <c r="M52" i="35"/>
  <c r="O45" i="35"/>
  <c r="M55" i="35"/>
  <c r="M44" i="35"/>
  <c r="M49" i="35"/>
  <c r="P53" i="35"/>
  <c r="O43" i="35"/>
  <c r="N52" i="35"/>
  <c r="M46" i="35"/>
  <c r="N45" i="35"/>
  <c r="P43" i="35"/>
  <c r="O50" i="35"/>
  <c r="O51" i="35"/>
  <c r="M48" i="35"/>
  <c r="P55" i="35"/>
  <c r="M51" i="35"/>
  <c r="P47" i="35"/>
  <c r="M56" i="35"/>
  <c r="N44" i="35"/>
  <c r="O44" i="35"/>
  <c r="M42" i="35"/>
  <c r="P49" i="35"/>
  <c r="N42" i="35"/>
  <c r="P50" i="35"/>
  <c r="O53" i="35"/>
  <c r="M54" i="35"/>
  <c r="N50" i="35"/>
  <c r="N53" i="35"/>
  <c r="N43" i="35"/>
  <c r="P42" i="35"/>
  <c r="O47" i="35"/>
  <c r="I27" i="7"/>
  <c r="J27" i="7" s="1"/>
  <c r="B9" i="19"/>
  <c r="A22" i="19"/>
  <c r="A21" i="19"/>
  <c r="A20" i="19"/>
  <c r="A19" i="19"/>
  <c r="A18" i="19"/>
  <c r="A17" i="19"/>
  <c r="A16" i="19"/>
  <c r="A15" i="19"/>
  <c r="A14" i="19"/>
  <c r="A13" i="19"/>
  <c r="A12" i="19"/>
  <c r="D12" i="93"/>
  <c r="F13" i="93"/>
  <c r="B10" i="93"/>
  <c r="C13" i="93"/>
  <c r="F10" i="93"/>
  <c r="H12" i="93"/>
  <c r="E10" i="93"/>
  <c r="G12" i="93"/>
  <c r="F11" i="93"/>
  <c r="G10" i="93"/>
  <c r="C12" i="93"/>
  <c r="D13" i="93"/>
  <c r="D10" i="93"/>
  <c r="C10" i="93"/>
  <c r="F12" i="93"/>
  <c r="B13" i="93"/>
  <c r="E13" i="93"/>
  <c r="B12" i="93"/>
  <c r="C11" i="93"/>
  <c r="E12" i="93"/>
  <c r="E11" i="93"/>
  <c r="H13" i="93"/>
  <c r="G11" i="93"/>
  <c r="H11" i="93"/>
  <c r="B11" i="93"/>
  <c r="G13" i="93"/>
  <c r="H10" i="93"/>
  <c r="D11" i="93"/>
  <c r="C13" i="96"/>
  <c r="E14" i="96"/>
  <c r="G17" i="96"/>
  <c r="G20" i="96"/>
  <c r="B16" i="96"/>
  <c r="C20" i="96"/>
  <c r="C15" i="96"/>
  <c r="F16" i="96"/>
  <c r="E21" i="96"/>
  <c r="G12" i="96"/>
  <c r="F12" i="96"/>
  <c r="B19" i="96"/>
  <c r="F20" i="96"/>
  <c r="G15" i="96"/>
  <c r="E13" i="96"/>
  <c r="G22" i="96"/>
  <c r="B17" i="96"/>
  <c r="B13" i="96"/>
  <c r="C12" i="96"/>
  <c r="F21" i="96"/>
  <c r="F22" i="96"/>
  <c r="E16" i="96"/>
  <c r="E18" i="96"/>
  <c r="G18" i="96"/>
  <c r="G21" i="96"/>
  <c r="E12" i="96"/>
  <c r="F17" i="96"/>
  <c r="F19" i="96"/>
  <c r="F13" i="96"/>
  <c r="E17" i="96"/>
  <c r="C19" i="96"/>
  <c r="B18" i="96"/>
  <c r="C14" i="96"/>
  <c r="C18" i="96"/>
  <c r="B14" i="96"/>
  <c r="B12" i="96"/>
  <c r="F15" i="96"/>
  <c r="C21" i="96"/>
  <c r="E20" i="96"/>
  <c r="B21" i="96"/>
  <c r="C16" i="96"/>
  <c r="C22" i="96"/>
  <c r="F14" i="96"/>
  <c r="E22" i="96"/>
  <c r="G16" i="96"/>
  <c r="B15" i="96"/>
  <c r="G13" i="96"/>
  <c r="B20" i="96"/>
  <c r="G19" i="96"/>
  <c r="F18" i="96"/>
  <c r="E19" i="96"/>
  <c r="G14" i="96"/>
  <c r="C17" i="96"/>
  <c r="B22" i="96"/>
  <c r="E15" i="96"/>
  <c r="B18" i="19"/>
  <c r="F19" i="19"/>
  <c r="C21" i="19"/>
  <c r="E21" i="19"/>
  <c r="D16" i="19"/>
  <c r="G12" i="19"/>
  <c r="D12" i="19"/>
  <c r="F20" i="19"/>
  <c r="F16" i="19"/>
  <c r="C13" i="19"/>
  <c r="G14" i="19"/>
  <c r="B17" i="19"/>
  <c r="F17" i="19"/>
  <c r="B11" i="19"/>
  <c r="G18" i="19"/>
  <c r="B14" i="19"/>
  <c r="C18" i="19"/>
  <c r="C15" i="19"/>
  <c r="F11" i="19"/>
  <c r="B12" i="19"/>
  <c r="C16" i="19"/>
  <c r="F22" i="19"/>
  <c r="G21" i="19"/>
  <c r="D11" i="19"/>
  <c r="F18" i="19"/>
  <c r="B19" i="19"/>
  <c r="C22" i="19"/>
  <c r="B15" i="19"/>
  <c r="D21" i="19"/>
  <c r="F14" i="40"/>
  <c r="E15" i="40"/>
  <c r="B10" i="40"/>
  <c r="F10" i="40"/>
  <c r="C13" i="40"/>
  <c r="D10" i="40"/>
  <c r="D12" i="40"/>
  <c r="E11" i="40"/>
  <c r="C12" i="40"/>
  <c r="D15" i="40"/>
  <c r="B12" i="40"/>
  <c r="B15" i="40"/>
  <c r="E16" i="40"/>
  <c r="D13" i="40"/>
  <c r="C16" i="40"/>
  <c r="F12" i="40"/>
  <c r="F11" i="40"/>
  <c r="B11" i="40"/>
  <c r="C15" i="40"/>
  <c r="B13" i="40"/>
  <c r="E13" i="40"/>
  <c r="E10" i="40"/>
  <c r="D14" i="40"/>
  <c r="B16" i="40"/>
  <c r="E12" i="40"/>
  <c r="C11" i="40"/>
  <c r="E14" i="40"/>
  <c r="D11" i="40"/>
  <c r="C10" i="40"/>
  <c r="F13" i="40"/>
  <c r="C14" i="40"/>
  <c r="D16" i="40"/>
  <c r="B14" i="40"/>
  <c r="F15" i="40"/>
  <c r="F16" i="40"/>
  <c r="G9" i="40" l="1"/>
  <c r="F14" i="93"/>
  <c r="F37" i="15"/>
  <c r="G37" i="15"/>
  <c r="H37" i="15"/>
  <c r="I37" i="15"/>
  <c r="J37" i="15"/>
  <c r="K37" i="15"/>
  <c r="L37" i="15"/>
  <c r="M37" i="15"/>
  <c r="E37" i="15"/>
  <c r="B37" i="15"/>
  <c r="C37" i="15"/>
  <c r="D37" i="15"/>
  <c r="A37" i="15"/>
  <c r="A33" i="13"/>
  <c r="A26" i="13"/>
  <c r="A9" i="9"/>
  <c r="B47" i="18"/>
  <c r="B33" i="18"/>
  <c r="B17" i="18"/>
  <c r="C45" i="18"/>
  <c r="B37" i="18"/>
  <c r="C34" i="18"/>
  <c r="B22" i="18"/>
  <c r="B11" i="18"/>
  <c r="C21" i="18"/>
  <c r="B21" i="18"/>
  <c r="C12" i="18"/>
  <c r="B15" i="18"/>
  <c r="C40" i="18"/>
  <c r="C22" i="18"/>
  <c r="C10" i="18"/>
  <c r="C11" i="18"/>
  <c r="B32" i="18"/>
  <c r="C42" i="18"/>
  <c r="B12" i="18"/>
  <c r="C41" i="18"/>
  <c r="B14" i="18"/>
  <c r="C44" i="18"/>
  <c r="B35" i="18"/>
  <c r="B36" i="18"/>
  <c r="B16" i="18"/>
  <c r="C43" i="18"/>
  <c r="C36" i="18"/>
  <c r="B20" i="18"/>
  <c r="B45" i="18"/>
  <c r="C15" i="18"/>
  <c r="C13" i="18"/>
  <c r="B10" i="18"/>
  <c r="B41" i="18"/>
  <c r="C32" i="18"/>
  <c r="C14" i="18"/>
  <c r="B13" i="18"/>
  <c r="B43" i="18"/>
  <c r="B40" i="18"/>
  <c r="C47" i="18"/>
  <c r="B34" i="18"/>
  <c r="C35" i="18"/>
  <c r="C37" i="18"/>
  <c r="B44" i="18"/>
  <c r="C16" i="18"/>
  <c r="B42" i="18"/>
  <c r="C17" i="18"/>
  <c r="C46" i="18"/>
  <c r="B46" i="18"/>
  <c r="C20" i="18"/>
  <c r="C33" i="18"/>
  <c r="C16" i="16"/>
  <c r="B13" i="16"/>
  <c r="C32" i="16"/>
  <c r="C41" i="16"/>
  <c r="B10" i="16"/>
  <c r="B41" i="16"/>
  <c r="C51" i="16"/>
  <c r="B16" i="16"/>
  <c r="C52" i="16"/>
  <c r="C35" i="16"/>
  <c r="B34" i="16"/>
  <c r="C14" i="16"/>
  <c r="C40" i="16"/>
  <c r="B33" i="16"/>
  <c r="B43" i="16"/>
  <c r="B42" i="16"/>
  <c r="B15" i="16"/>
  <c r="B22" i="16"/>
  <c r="B45" i="16"/>
  <c r="B11" i="16"/>
  <c r="B35" i="16"/>
  <c r="B46" i="16"/>
  <c r="C33" i="16"/>
  <c r="B12" i="16"/>
  <c r="C20" i="16"/>
  <c r="C45" i="16"/>
  <c r="C44" i="16"/>
  <c r="B20" i="16"/>
  <c r="C36" i="16"/>
  <c r="C46" i="16"/>
  <c r="C15" i="16"/>
  <c r="B50" i="16"/>
  <c r="C42" i="16"/>
  <c r="C50" i="16"/>
  <c r="B52" i="16"/>
  <c r="C21" i="16"/>
  <c r="C34" i="16"/>
  <c r="C10" i="16"/>
  <c r="C13" i="16"/>
  <c r="B32" i="16"/>
  <c r="C43" i="16"/>
  <c r="C22" i="16"/>
  <c r="B51" i="16"/>
  <c r="B14" i="16"/>
  <c r="B21" i="16"/>
  <c r="C12" i="16"/>
  <c r="C11" i="16"/>
  <c r="B44" i="16"/>
  <c r="B40" i="16"/>
  <c r="B36" i="16"/>
  <c r="H22" i="14"/>
  <c r="E22" i="14"/>
  <c r="G22" i="14"/>
  <c r="F22" i="14"/>
  <c r="D22" i="14"/>
  <c r="I22" i="14"/>
  <c r="E9" i="14"/>
  <c r="D9" i="14"/>
  <c r="F9" i="14"/>
  <c r="G9" i="14"/>
  <c r="H9" i="14"/>
  <c r="C9" i="14"/>
  <c r="D24" i="13"/>
  <c r="D32" i="13"/>
  <c r="D33" i="13"/>
  <c r="C38" i="13"/>
  <c r="E16" i="13"/>
  <c r="C16" i="13"/>
  <c r="C37" i="13"/>
  <c r="E43" i="13"/>
  <c r="E42" i="13"/>
  <c r="C42" i="13"/>
  <c r="E18" i="13"/>
  <c r="C30" i="13"/>
  <c r="E38" i="13"/>
  <c r="C21" i="13"/>
  <c r="C24" i="13"/>
  <c r="E25" i="13"/>
  <c r="D40" i="13"/>
  <c r="C39" i="13"/>
  <c r="C28" i="13"/>
  <c r="E31" i="13"/>
  <c r="D42" i="13"/>
  <c r="D15" i="13"/>
  <c r="E27" i="13"/>
  <c r="D26" i="13"/>
  <c r="E41" i="13"/>
  <c r="D25" i="13"/>
  <c r="D19" i="13"/>
  <c r="D39" i="13"/>
  <c r="E35" i="13"/>
  <c r="E32" i="13"/>
  <c r="C41" i="13"/>
  <c r="C36" i="13"/>
  <c r="D34" i="13"/>
  <c r="C22" i="13"/>
  <c r="C43" i="13"/>
  <c r="C29" i="13"/>
  <c r="C27" i="13"/>
  <c r="D38" i="13"/>
  <c r="D14" i="13"/>
  <c r="E36" i="13"/>
  <c r="E13" i="13"/>
  <c r="D18" i="13"/>
  <c r="C14" i="13"/>
  <c r="E29" i="13"/>
  <c r="C31" i="13"/>
  <c r="D29" i="13"/>
  <c r="C17" i="13"/>
  <c r="D16" i="13"/>
  <c r="C19" i="13"/>
  <c r="D36" i="13"/>
  <c r="E26" i="13"/>
  <c r="C18" i="13"/>
  <c r="C13" i="13"/>
  <c r="C15" i="13"/>
  <c r="E23" i="13"/>
  <c r="D17" i="13"/>
  <c r="C26" i="13"/>
  <c r="D35" i="13"/>
  <c r="C25" i="13"/>
  <c r="D43" i="13"/>
  <c r="E37" i="13"/>
  <c r="C32" i="13"/>
  <c r="D31" i="13"/>
  <c r="D23" i="13"/>
  <c r="E34" i="13"/>
  <c r="C35" i="13"/>
  <c r="E28" i="13"/>
  <c r="E24" i="13"/>
  <c r="C40" i="13"/>
  <c r="E15" i="13"/>
  <c r="D21" i="13"/>
  <c r="C20" i="13"/>
  <c r="E20" i="13"/>
  <c r="E17" i="13"/>
  <c r="D20" i="13"/>
  <c r="D12" i="13"/>
  <c r="E30" i="13"/>
  <c r="E14" i="13"/>
  <c r="E21" i="13"/>
  <c r="D22" i="13"/>
  <c r="D30" i="13"/>
  <c r="E39" i="13"/>
  <c r="E22" i="13"/>
  <c r="D41" i="13"/>
  <c r="D13" i="13"/>
  <c r="C33" i="13"/>
  <c r="C12" i="13"/>
  <c r="D37" i="13"/>
  <c r="E40" i="13"/>
  <c r="E12" i="13"/>
  <c r="E33" i="13"/>
  <c r="D27" i="13"/>
  <c r="C23" i="13"/>
  <c r="D28" i="13"/>
  <c r="C34" i="13"/>
  <c r="E19" i="13"/>
  <c r="C17" i="19"/>
  <c r="E13" i="19"/>
  <c r="E18" i="19"/>
  <c r="B13" i="19"/>
  <c r="C12" i="19"/>
  <c r="E11" i="19"/>
  <c r="G20" i="19"/>
  <c r="E19" i="19"/>
  <c r="G19" i="19"/>
  <c r="G22" i="19"/>
  <c r="G16" i="19"/>
  <c r="E12" i="19"/>
  <c r="E16" i="19"/>
  <c r="G13" i="19"/>
  <c r="G11" i="19"/>
  <c r="E17" i="19"/>
  <c r="B22" i="19"/>
  <c r="C20" i="19"/>
  <c r="D13" i="19"/>
  <c r="E14" i="19"/>
  <c r="B21" i="19"/>
  <c r="C11" i="19"/>
  <c r="D18" i="19"/>
  <c r="F14" i="19"/>
  <c r="F13" i="19"/>
  <c r="F12" i="19"/>
  <c r="D19" i="19"/>
  <c r="B20" i="19"/>
  <c r="E20" i="19"/>
  <c r="C19" i="19"/>
  <c r="G15" i="19"/>
  <c r="D22" i="19"/>
  <c r="D14" i="19"/>
  <c r="F21" i="19"/>
  <c r="D15" i="19"/>
  <c r="F15" i="19"/>
  <c r="D17" i="19"/>
  <c r="E15" i="19"/>
  <c r="B16" i="19"/>
  <c r="E22" i="19"/>
  <c r="G17" i="19"/>
  <c r="C14" i="19"/>
  <c r="D20" i="19"/>
  <c r="F40" i="16" l="1"/>
  <c r="E40" i="16"/>
  <c r="C23" i="16"/>
  <c r="C37" i="16"/>
  <c r="B23" i="16"/>
  <c r="B53" i="16"/>
  <c r="C47" i="16"/>
  <c r="B17" i="16"/>
  <c r="C17" i="16"/>
  <c r="B47" i="16"/>
  <c r="C53" i="16"/>
  <c r="B37" i="16"/>
  <c r="D37" i="18"/>
  <c r="G24" i="19"/>
  <c r="G47" i="19" s="1"/>
  <c r="B24" i="19"/>
  <c r="C24" i="19"/>
  <c r="C45" i="19" s="1"/>
  <c r="E24" i="19"/>
  <c r="E44" i="19" s="1"/>
  <c r="D24" i="19"/>
  <c r="D46" i="19" s="1"/>
  <c r="F24" i="19"/>
  <c r="F46" i="19" s="1"/>
  <c r="H13" i="19"/>
  <c r="I9" i="14"/>
  <c r="F27" i="13"/>
  <c r="F31" i="13"/>
  <c r="F34" i="13"/>
  <c r="F36" i="13"/>
  <c r="F38" i="13"/>
  <c r="F40" i="13"/>
  <c r="F42" i="13"/>
  <c r="F13" i="13"/>
  <c r="F15" i="13"/>
  <c r="F17" i="13"/>
  <c r="F19" i="13"/>
  <c r="F21" i="13"/>
  <c r="F23" i="13"/>
  <c r="F25" i="13"/>
  <c r="F35" i="13"/>
  <c r="F37" i="13"/>
  <c r="F41" i="13"/>
  <c r="F43" i="13"/>
  <c r="F33" i="13"/>
  <c r="F39" i="13"/>
  <c r="F12" i="13"/>
  <c r="F14" i="13"/>
  <c r="F16" i="13"/>
  <c r="F18" i="13"/>
  <c r="F20" i="13"/>
  <c r="F22" i="13"/>
  <c r="F24" i="13"/>
  <c r="F29" i="13"/>
  <c r="F26" i="13"/>
  <c r="F28" i="13"/>
  <c r="F30" i="13"/>
  <c r="F32" i="13"/>
  <c r="A9" i="12"/>
  <c r="B62" i="12" s="1"/>
  <c r="I63" i="12"/>
  <c r="F50" i="12"/>
  <c r="F55" i="12"/>
  <c r="I35" i="12"/>
  <c r="C40" i="12"/>
  <c r="H23" i="12"/>
  <c r="C25" i="12"/>
  <c r="D53" i="12"/>
  <c r="I49" i="12"/>
  <c r="G49" i="12"/>
  <c r="E52" i="12"/>
  <c r="I51" i="12"/>
  <c r="H28" i="12"/>
  <c r="G59" i="12"/>
  <c r="E67" i="12"/>
  <c r="H58" i="12"/>
  <c r="H22" i="12"/>
  <c r="D72" i="12"/>
  <c r="G32" i="12"/>
  <c r="C34" i="12"/>
  <c r="H30" i="12"/>
  <c r="G43" i="12"/>
  <c r="H20" i="12"/>
  <c r="G28" i="12"/>
  <c r="C51" i="12"/>
  <c r="C19" i="12"/>
  <c r="C38" i="12"/>
  <c r="C47" i="12"/>
  <c r="G15" i="12"/>
  <c r="I19" i="12"/>
  <c r="I59" i="12"/>
  <c r="H41" i="12"/>
  <c r="G67" i="12"/>
  <c r="D51" i="12"/>
  <c r="C23" i="12"/>
  <c r="G14" i="12"/>
  <c r="C36" i="12"/>
  <c r="H27" i="12"/>
  <c r="I32" i="12"/>
  <c r="C27" i="12"/>
  <c r="I36" i="12"/>
  <c r="F67" i="12"/>
  <c r="H51" i="12"/>
  <c r="I30" i="12"/>
  <c r="G52" i="12"/>
  <c r="I50" i="12"/>
  <c r="I42" i="12"/>
  <c r="F53" i="12"/>
  <c r="G42" i="12"/>
  <c r="G18" i="12"/>
  <c r="C18" i="12"/>
  <c r="G72" i="12"/>
  <c r="F54" i="12"/>
  <c r="C39" i="12"/>
  <c r="I53" i="12"/>
  <c r="I20" i="12"/>
  <c r="H72" i="12"/>
  <c r="E69" i="12"/>
  <c r="F52" i="12"/>
  <c r="G63" i="12"/>
  <c r="D54" i="12"/>
  <c r="I43" i="12"/>
  <c r="C56" i="12"/>
  <c r="I26" i="12"/>
  <c r="C58" i="12"/>
  <c r="H52" i="12"/>
  <c r="C59" i="12"/>
  <c r="I55" i="12"/>
  <c r="C15" i="12"/>
  <c r="G37" i="12"/>
  <c r="H17" i="12"/>
  <c r="C33" i="12"/>
  <c r="H53" i="12"/>
  <c r="I15" i="12"/>
  <c r="I25" i="12"/>
  <c r="H25" i="12"/>
  <c r="G36" i="12"/>
  <c r="F72" i="12"/>
  <c r="G53" i="12"/>
  <c r="C24" i="12"/>
  <c r="G13" i="12"/>
  <c r="E50" i="12"/>
  <c r="G69" i="12"/>
  <c r="H15" i="12"/>
  <c r="C12" i="12"/>
  <c r="C63" i="12"/>
  <c r="G16" i="12"/>
  <c r="I29" i="12"/>
  <c r="G21" i="12"/>
  <c r="D52" i="12"/>
  <c r="E49" i="12"/>
  <c r="D68" i="12"/>
  <c r="H29" i="12"/>
  <c r="H32" i="12"/>
  <c r="I17" i="12"/>
  <c r="C28" i="12"/>
  <c r="I27" i="12"/>
  <c r="I68" i="12"/>
  <c r="C54" i="12"/>
  <c r="D58" i="12"/>
  <c r="I38" i="12"/>
  <c r="E53" i="12"/>
  <c r="D67" i="12"/>
  <c r="I16" i="12"/>
  <c r="G19" i="12"/>
  <c r="F51" i="12"/>
  <c r="E68" i="12"/>
  <c r="E55" i="12"/>
  <c r="D59" i="12"/>
  <c r="H40" i="12"/>
  <c r="H13" i="12"/>
  <c r="I13" i="12"/>
  <c r="G23" i="12"/>
  <c r="I21" i="12"/>
  <c r="H36" i="12"/>
  <c r="I24" i="12"/>
  <c r="H50" i="12"/>
  <c r="G55" i="12"/>
  <c r="H69" i="12"/>
  <c r="C43" i="12"/>
  <c r="E59" i="12"/>
  <c r="G40" i="12"/>
  <c r="E58" i="12"/>
  <c r="G34" i="12"/>
  <c r="I56" i="12"/>
  <c r="G35" i="12"/>
  <c r="G24" i="12"/>
  <c r="I41" i="12"/>
  <c r="H37" i="12"/>
  <c r="F63" i="12"/>
  <c r="I33" i="12"/>
  <c r="G51" i="12"/>
  <c r="G56" i="12"/>
  <c r="D63" i="12"/>
  <c r="C68" i="12"/>
  <c r="C20" i="12"/>
  <c r="F49" i="12"/>
  <c r="I31" i="12"/>
  <c r="D55" i="12"/>
  <c r="I18" i="12"/>
  <c r="G39" i="12"/>
  <c r="G22" i="12"/>
  <c r="C14" i="12"/>
  <c r="C37" i="12"/>
  <c r="I54" i="12"/>
  <c r="H14" i="12"/>
  <c r="C35" i="12"/>
  <c r="I37" i="12"/>
  <c r="H12" i="12"/>
  <c r="C69" i="12"/>
  <c r="E72" i="12"/>
  <c r="H56" i="12"/>
  <c r="H16" i="12"/>
  <c r="C30" i="12"/>
  <c r="I14" i="12"/>
  <c r="C17" i="12"/>
  <c r="H39" i="12"/>
  <c r="G26" i="12"/>
  <c r="E54" i="12"/>
  <c r="C26" i="12"/>
  <c r="H63" i="12"/>
  <c r="F56" i="12"/>
  <c r="I52" i="12"/>
  <c r="D56" i="12"/>
  <c r="H59" i="12"/>
  <c r="C29" i="12"/>
  <c r="C21" i="12"/>
  <c r="H49" i="12"/>
  <c r="C31" i="12"/>
  <c r="C16" i="12"/>
  <c r="I40" i="12"/>
  <c r="I23" i="12"/>
  <c r="I72" i="12"/>
  <c r="C42" i="12"/>
  <c r="C41" i="12"/>
  <c r="I67" i="12"/>
  <c r="C72" i="12"/>
  <c r="G58" i="12"/>
  <c r="F69" i="12"/>
  <c r="I34" i="12"/>
  <c r="G30" i="12"/>
  <c r="D69" i="12"/>
  <c r="I12" i="12"/>
  <c r="G25" i="12"/>
  <c r="E56" i="12"/>
  <c r="H42" i="12"/>
  <c r="D50" i="12"/>
  <c r="G50" i="12"/>
  <c r="H19" i="12"/>
  <c r="F59" i="12"/>
  <c r="E63" i="12"/>
  <c r="E51" i="12"/>
  <c r="C50" i="12"/>
  <c r="H18" i="12"/>
  <c r="G20" i="12"/>
  <c r="G27" i="12"/>
  <c r="H33" i="12"/>
  <c r="G41" i="12"/>
  <c r="G29" i="12"/>
  <c r="F68" i="12"/>
  <c r="I69" i="12"/>
  <c r="C53" i="12"/>
  <c r="H31" i="12"/>
  <c r="I28" i="12"/>
  <c r="H21" i="12"/>
  <c r="H34" i="12"/>
  <c r="G12" i="12"/>
  <c r="G33" i="12"/>
  <c r="G54" i="12"/>
  <c r="H24" i="12"/>
  <c r="H26" i="12"/>
  <c r="H54" i="12"/>
  <c r="C22" i="12"/>
  <c r="C55" i="12"/>
  <c r="H35" i="12"/>
  <c r="C52" i="12"/>
  <c r="I58" i="12"/>
  <c r="H43" i="12"/>
  <c r="H67" i="12"/>
  <c r="H38" i="12"/>
  <c r="G31" i="12"/>
  <c r="I22" i="12"/>
  <c r="H55" i="12"/>
  <c r="I39" i="12"/>
  <c r="H68" i="12"/>
  <c r="C32" i="12"/>
  <c r="C67" i="12"/>
  <c r="C13" i="12"/>
  <c r="G38" i="12"/>
  <c r="D49" i="12"/>
  <c r="G17" i="12"/>
  <c r="G68" i="12"/>
  <c r="F58" i="12"/>
  <c r="H60" i="12"/>
  <c r="I47" i="12"/>
  <c r="B46" i="19" l="1"/>
  <c r="H24" i="19"/>
  <c r="C55" i="16"/>
  <c r="B47" i="12"/>
  <c r="B61" i="12"/>
  <c r="B48" i="12"/>
  <c r="B60" i="12"/>
  <c r="A60" i="12"/>
  <c r="A48" i="12"/>
  <c r="A47" i="12"/>
  <c r="D42" i="19"/>
  <c r="D41" i="19"/>
  <c r="D36" i="19"/>
  <c r="D39" i="19"/>
  <c r="D43" i="19"/>
  <c r="D40" i="19"/>
  <c r="D37" i="19"/>
  <c r="D38" i="19"/>
  <c r="E45" i="19"/>
  <c r="G44" i="19"/>
  <c r="D44" i="19"/>
  <c r="G46" i="19"/>
  <c r="D45" i="19"/>
  <c r="G45" i="19"/>
  <c r="F45" i="19"/>
  <c r="F47" i="19"/>
  <c r="E46" i="19"/>
  <c r="F44" i="19"/>
  <c r="C44" i="19"/>
  <c r="C46" i="19"/>
  <c r="E47" i="19"/>
  <c r="C47" i="19"/>
  <c r="D47" i="19"/>
  <c r="B45" i="19"/>
  <c r="B44" i="19"/>
  <c r="B47" i="19"/>
  <c r="I70" i="12"/>
  <c r="I9" i="12" s="1"/>
  <c r="H70" i="12"/>
  <c r="H9" i="12" s="1"/>
  <c r="G70" i="12"/>
  <c r="G9" i="12" s="1"/>
  <c r="F70" i="12"/>
  <c r="F9" i="12" s="1"/>
  <c r="D70" i="12"/>
  <c r="E70" i="12"/>
  <c r="E9" i="12" s="1"/>
  <c r="J44" i="12"/>
  <c r="J68" i="12"/>
  <c r="J67" i="12"/>
  <c r="J69" i="12"/>
  <c r="A57" i="12"/>
  <c r="A62" i="12"/>
  <c r="B57" i="12"/>
  <c r="A58" i="12"/>
  <c r="A26" i="12"/>
  <c r="A33" i="12"/>
  <c r="J49" i="12"/>
  <c r="J50" i="12"/>
  <c r="J51" i="12"/>
  <c r="J52" i="12"/>
  <c r="J53" i="12"/>
  <c r="J54" i="12"/>
  <c r="J55" i="12"/>
  <c r="J56" i="12"/>
  <c r="J63" i="12"/>
  <c r="J58" i="12"/>
  <c r="J59" i="12"/>
  <c r="E44" i="12"/>
  <c r="J34" i="12"/>
  <c r="J37" i="12"/>
  <c r="J42" i="12"/>
  <c r="J33" i="12"/>
  <c r="J40" i="12"/>
  <c r="J39" i="12"/>
  <c r="J36" i="12"/>
  <c r="J38" i="12"/>
  <c r="J41" i="12"/>
  <c r="J12" i="12"/>
  <c r="C44" i="12"/>
  <c r="J13" i="12"/>
  <c r="J14" i="12"/>
  <c r="J15" i="12"/>
  <c r="J16" i="12"/>
  <c r="J17" i="12"/>
  <c r="J18" i="12"/>
  <c r="J19" i="12"/>
  <c r="J20" i="12"/>
  <c r="J21" i="12"/>
  <c r="J22" i="12"/>
  <c r="J23" i="12"/>
  <c r="J24" i="12"/>
  <c r="J25" i="12"/>
  <c r="J35" i="12"/>
  <c r="J43" i="12"/>
  <c r="D44" i="12"/>
  <c r="J26" i="12"/>
  <c r="J27" i="12"/>
  <c r="J28" i="12"/>
  <c r="J29" i="12"/>
  <c r="J30" i="12"/>
  <c r="J31" i="12"/>
  <c r="J32" i="12"/>
  <c r="B9" i="10"/>
  <c r="B24" i="10"/>
  <c r="E36" i="11"/>
  <c r="E14" i="11"/>
  <c r="E12" i="11"/>
  <c r="C42" i="11"/>
  <c r="E34" i="11"/>
  <c r="E33" i="11"/>
  <c r="D13" i="11"/>
  <c r="C33" i="11"/>
  <c r="D32" i="11"/>
  <c r="E30" i="11"/>
  <c r="E16" i="11"/>
  <c r="E40" i="11"/>
  <c r="C23" i="11"/>
  <c r="D28" i="11"/>
  <c r="E26" i="11"/>
  <c r="C25" i="11"/>
  <c r="C15" i="11"/>
  <c r="D40" i="11"/>
  <c r="D26" i="11"/>
  <c r="D30" i="11"/>
  <c r="D36" i="11"/>
  <c r="E39" i="11"/>
  <c r="C41" i="11"/>
  <c r="C16" i="11"/>
  <c r="E43" i="11"/>
  <c r="D25" i="11"/>
  <c r="E22" i="11"/>
  <c r="C38" i="11"/>
  <c r="C21" i="11"/>
  <c r="E41" i="11"/>
  <c r="E31" i="11"/>
  <c r="E23" i="11"/>
  <c r="D27" i="11"/>
  <c r="E20" i="11"/>
  <c r="D12" i="11"/>
  <c r="E35" i="11"/>
  <c r="D31" i="11"/>
  <c r="E21" i="11"/>
  <c r="C27" i="11"/>
  <c r="D41" i="11"/>
  <c r="D15" i="11"/>
  <c r="D34" i="11"/>
  <c r="C40" i="11"/>
  <c r="E27" i="11"/>
  <c r="C36" i="11"/>
  <c r="C32" i="11"/>
  <c r="C12" i="11"/>
  <c r="C34" i="11"/>
  <c r="C19" i="11"/>
  <c r="D21" i="11"/>
  <c r="D19" i="11"/>
  <c r="E28" i="11"/>
  <c r="D24" i="11"/>
  <c r="C37" i="11"/>
  <c r="D33" i="11"/>
  <c r="C26" i="11"/>
  <c r="D22" i="11"/>
  <c r="C29" i="11"/>
  <c r="C43" i="11"/>
  <c r="C39" i="11"/>
  <c r="E32" i="11"/>
  <c r="E17" i="11"/>
  <c r="E19" i="11"/>
  <c r="C14" i="11"/>
  <c r="D39" i="11"/>
  <c r="C22" i="11"/>
  <c r="D43" i="11"/>
  <c r="C17" i="11"/>
  <c r="C31" i="11"/>
  <c r="D16" i="11"/>
  <c r="D18" i="11"/>
  <c r="C20" i="11"/>
  <c r="D17" i="11"/>
  <c r="C35" i="11"/>
  <c r="D38" i="11"/>
  <c r="C30" i="11"/>
  <c r="E25" i="11"/>
  <c r="D35" i="11"/>
  <c r="E24" i="11"/>
  <c r="C13" i="11"/>
  <c r="D42" i="11"/>
  <c r="D14" i="11"/>
  <c r="D29" i="11"/>
  <c r="C24" i="11"/>
  <c r="C28" i="11"/>
  <c r="E18" i="11"/>
  <c r="E29" i="11"/>
  <c r="D37" i="11"/>
  <c r="E42" i="11"/>
  <c r="E37" i="11"/>
  <c r="D20" i="11"/>
  <c r="E38" i="11"/>
  <c r="D23" i="11"/>
  <c r="E15" i="11"/>
  <c r="E13" i="11"/>
  <c r="C18" i="11"/>
  <c r="C57" i="12"/>
  <c r="I57" i="12"/>
  <c r="F57" i="12"/>
  <c r="E57" i="12"/>
  <c r="D57" i="12"/>
  <c r="G57" i="12"/>
  <c r="H57" i="12"/>
  <c r="I61" i="12"/>
  <c r="F61" i="12"/>
  <c r="E61" i="12"/>
  <c r="C48" i="12"/>
  <c r="D48" i="12"/>
  <c r="I48" i="12"/>
  <c r="F48" i="12"/>
  <c r="D61" i="12"/>
  <c r="H61" i="12"/>
  <c r="C61" i="12"/>
  <c r="G48" i="12"/>
  <c r="G61" i="12"/>
  <c r="H48" i="12"/>
  <c r="E48" i="12"/>
  <c r="E47" i="12"/>
  <c r="H47" i="12"/>
  <c r="G60" i="12"/>
  <c r="E60" i="12"/>
  <c r="I60" i="12"/>
  <c r="D60" i="12"/>
  <c r="H62" i="12"/>
  <c r="D62" i="12"/>
  <c r="G62" i="12"/>
  <c r="E62" i="12"/>
  <c r="F60" i="12"/>
  <c r="C60" i="12"/>
  <c r="F62" i="12"/>
  <c r="I62" i="12"/>
  <c r="F47" i="12"/>
  <c r="D47" i="12"/>
  <c r="G47" i="12"/>
  <c r="C62" i="12"/>
  <c r="J47" i="12" l="1"/>
  <c r="D9" i="12"/>
  <c r="J60" i="12"/>
  <c r="J62" i="12"/>
  <c r="J61" i="12"/>
  <c r="J48" i="12"/>
  <c r="J57" i="12"/>
  <c r="A9" i="8"/>
  <c r="A10" i="126"/>
  <c r="F26" i="10"/>
  <c r="G26" i="10"/>
  <c r="E26" i="10"/>
  <c r="C26" i="10"/>
  <c r="H26" i="10"/>
  <c r="I26" i="10"/>
  <c r="D26" i="10"/>
  <c r="E36" i="9"/>
  <c r="E18" i="9"/>
  <c r="E32" i="9"/>
  <c r="E28" i="9"/>
  <c r="D20" i="9"/>
  <c r="D14" i="9"/>
  <c r="C33" i="9"/>
  <c r="C18" i="9"/>
  <c r="C42" i="9"/>
  <c r="D12" i="9"/>
  <c r="D40" i="9"/>
  <c r="D13" i="9"/>
  <c r="C31" i="9"/>
  <c r="D16" i="9"/>
  <c r="D28" i="9"/>
  <c r="C30" i="9"/>
  <c r="E16" i="9"/>
  <c r="D31" i="9"/>
  <c r="D32" i="9"/>
  <c r="D23" i="9"/>
  <c r="E39" i="9"/>
  <c r="C34" i="9"/>
  <c r="E34" i="9"/>
  <c r="E22" i="9"/>
  <c r="C35" i="9"/>
  <c r="E35" i="9"/>
  <c r="D21" i="9"/>
  <c r="C15" i="9"/>
  <c r="C14" i="9"/>
  <c r="E19" i="9"/>
  <c r="D15" i="9"/>
  <c r="C26" i="9"/>
  <c r="E14" i="9"/>
  <c r="C41" i="9"/>
  <c r="D39" i="9"/>
  <c r="D19" i="9"/>
  <c r="D24" i="9"/>
  <c r="E37" i="9"/>
  <c r="E38" i="9"/>
  <c r="D43" i="9"/>
  <c r="C37" i="9"/>
  <c r="C24" i="9"/>
  <c r="E43" i="9"/>
  <c r="C20" i="9"/>
  <c r="D22" i="9"/>
  <c r="D33" i="9"/>
  <c r="C39" i="9"/>
  <c r="D29" i="9"/>
  <c r="D41" i="9"/>
  <c r="E17" i="9"/>
  <c r="C36" i="9"/>
  <c r="C17" i="9"/>
  <c r="C21" i="9"/>
  <c r="E40" i="9"/>
  <c r="E33" i="9"/>
  <c r="C22" i="9"/>
  <c r="C28" i="9"/>
  <c r="C29" i="9"/>
  <c r="D18" i="9"/>
  <c r="D30" i="9"/>
  <c r="D38" i="9"/>
  <c r="C32" i="9"/>
  <c r="E20" i="9"/>
  <c r="E21" i="9"/>
  <c r="C16" i="9"/>
  <c r="D34" i="9"/>
  <c r="E30" i="9"/>
  <c r="C43" i="9"/>
  <c r="C19" i="9"/>
  <c r="E13" i="9"/>
  <c r="D25" i="9"/>
  <c r="E31" i="9"/>
  <c r="E27" i="9"/>
  <c r="E29" i="9"/>
  <c r="E24" i="9"/>
  <c r="E25" i="9"/>
  <c r="C38" i="9"/>
  <c r="D27" i="9"/>
  <c r="C27" i="9"/>
  <c r="E42" i="9"/>
  <c r="C40" i="9"/>
  <c r="C13" i="9"/>
  <c r="C12" i="9"/>
  <c r="E23" i="9"/>
  <c r="E26" i="9"/>
  <c r="E15" i="9"/>
  <c r="D35" i="9"/>
  <c r="E41" i="9"/>
  <c r="C25" i="9"/>
  <c r="D37" i="9"/>
  <c r="E12" i="9"/>
  <c r="D36" i="9"/>
  <c r="D17" i="9"/>
  <c r="D42" i="9"/>
  <c r="D26" i="9"/>
  <c r="C23" i="9"/>
  <c r="H41" i="8"/>
  <c r="H21" i="8"/>
  <c r="E63" i="8"/>
  <c r="I32" i="8"/>
  <c r="E35" i="8"/>
  <c r="I43" i="8"/>
  <c r="I52" i="8"/>
  <c r="G25" i="8"/>
  <c r="F16" i="8"/>
  <c r="C20" i="8"/>
  <c r="I13" i="8"/>
  <c r="D30" i="8"/>
  <c r="E38" i="8"/>
  <c r="F38" i="8"/>
  <c r="C69" i="8"/>
  <c r="F63" i="8"/>
  <c r="E15" i="8"/>
  <c r="H26" i="8"/>
  <c r="F21" i="8"/>
  <c r="F51" i="8"/>
  <c r="H42" i="8"/>
  <c r="D53" i="8"/>
  <c r="H15" i="8"/>
  <c r="D15" i="8"/>
  <c r="H35" i="8"/>
  <c r="G35" i="8"/>
  <c r="I33" i="8"/>
  <c r="H49" i="8"/>
  <c r="G23" i="8"/>
  <c r="E14" i="8"/>
  <c r="I72" i="8"/>
  <c r="E42" i="8"/>
  <c r="H17" i="8"/>
  <c r="H28" i="8"/>
  <c r="G38" i="8"/>
  <c r="E19" i="8"/>
  <c r="G72" i="8"/>
  <c r="E69" i="8"/>
  <c r="G37" i="8"/>
  <c r="D23" i="8"/>
  <c r="H59" i="8"/>
  <c r="C14" i="8"/>
  <c r="H32" i="8"/>
  <c r="C54" i="8"/>
  <c r="H53" i="8"/>
  <c r="I14" i="8"/>
  <c r="D31" i="8"/>
  <c r="H16" i="8"/>
  <c r="C12" i="8"/>
  <c r="D32" i="8"/>
  <c r="D19" i="8"/>
  <c r="E41" i="8"/>
  <c r="F35" i="8"/>
  <c r="D12" i="8"/>
  <c r="I18" i="8"/>
  <c r="C17" i="8"/>
  <c r="I35" i="8"/>
  <c r="G52" i="8"/>
  <c r="F34" i="8"/>
  <c r="H38" i="8"/>
  <c r="G29" i="8"/>
  <c r="E16" i="8"/>
  <c r="C23" i="8"/>
  <c r="I24" i="8"/>
  <c r="E29" i="8"/>
  <c r="D29" i="8"/>
  <c r="H25" i="8"/>
  <c r="G30" i="8"/>
  <c r="F56" i="8"/>
  <c r="C42" i="8"/>
  <c r="I68" i="8"/>
  <c r="D42" i="8"/>
  <c r="G34" i="8"/>
  <c r="D14" i="8"/>
  <c r="F22" i="8"/>
  <c r="D40" i="8"/>
  <c r="I20" i="8"/>
  <c r="C26" i="8"/>
  <c r="F27" i="8"/>
  <c r="C36" i="8"/>
  <c r="F29" i="8"/>
  <c r="D18" i="8"/>
  <c r="E28" i="8"/>
  <c r="I40" i="8"/>
  <c r="C31" i="8"/>
  <c r="C63" i="8"/>
  <c r="C22" i="8"/>
  <c r="C55" i="8"/>
  <c r="F42" i="8"/>
  <c r="C28" i="8"/>
  <c r="I16" i="8"/>
  <c r="E34" i="8"/>
  <c r="F19" i="8"/>
  <c r="G26" i="8"/>
  <c r="I15" i="8"/>
  <c r="I36" i="8"/>
  <c r="C33" i="8"/>
  <c r="D33" i="8"/>
  <c r="D38" i="8"/>
  <c r="G15" i="8"/>
  <c r="G12" i="8"/>
  <c r="E56" i="8"/>
  <c r="H19" i="8"/>
  <c r="E30" i="8"/>
  <c r="C67" i="8"/>
  <c r="F18" i="8"/>
  <c r="I47" i="8"/>
  <c r="H33" i="8"/>
  <c r="C49" i="8"/>
  <c r="I12" i="8"/>
  <c r="F33" i="8"/>
  <c r="E68" i="8"/>
  <c r="E50" i="8"/>
  <c r="I69" i="8"/>
  <c r="I37" i="8"/>
  <c r="I19" i="8"/>
  <c r="G69" i="8"/>
  <c r="E25" i="8"/>
  <c r="D54" i="8"/>
  <c r="F59" i="8"/>
  <c r="E59" i="8"/>
  <c r="E20" i="8"/>
  <c r="C30" i="8"/>
  <c r="D63" i="8"/>
  <c r="H51" i="8"/>
  <c r="E43" i="8"/>
  <c r="F24" i="8"/>
  <c r="I59" i="8"/>
  <c r="H55" i="8"/>
  <c r="G43" i="8"/>
  <c r="G59" i="8"/>
  <c r="E17" i="8"/>
  <c r="G50" i="8"/>
  <c r="D50" i="8"/>
  <c r="E47" i="8"/>
  <c r="F40" i="8"/>
  <c r="C18" i="8"/>
  <c r="E18" i="8"/>
  <c r="G63" i="8"/>
  <c r="E33" i="8"/>
  <c r="G56" i="8"/>
  <c r="D35" i="8"/>
  <c r="F20" i="8"/>
  <c r="E54" i="8"/>
  <c r="E13" i="8"/>
  <c r="D58" i="8"/>
  <c r="I26" i="8"/>
  <c r="I55" i="8"/>
  <c r="I28" i="8"/>
  <c r="G27" i="8"/>
  <c r="F53" i="8"/>
  <c r="G41" i="8"/>
  <c r="D68" i="8"/>
  <c r="E40" i="8"/>
  <c r="C19" i="8"/>
  <c r="H30" i="8"/>
  <c r="H43" i="8"/>
  <c r="I53" i="8"/>
  <c r="D36" i="8"/>
  <c r="H37" i="8"/>
  <c r="C24" i="8"/>
  <c r="D22" i="8"/>
  <c r="F14" i="8"/>
  <c r="C72" i="8"/>
  <c r="I30" i="8"/>
  <c r="G33" i="8"/>
  <c r="G54" i="8"/>
  <c r="E51" i="8"/>
  <c r="G22" i="8"/>
  <c r="E12" i="8"/>
  <c r="H63" i="8"/>
  <c r="D49" i="8"/>
  <c r="C51" i="8"/>
  <c r="I49" i="8"/>
  <c r="F72" i="8"/>
  <c r="C56" i="8"/>
  <c r="I21" i="8"/>
  <c r="E37" i="8"/>
  <c r="I39" i="8"/>
  <c r="I42" i="8"/>
  <c r="F17" i="8"/>
  <c r="E67" i="8"/>
  <c r="G49" i="8"/>
  <c r="H12" i="8"/>
  <c r="E26" i="8"/>
  <c r="D21" i="8"/>
  <c r="H22" i="8"/>
  <c r="I41" i="8"/>
  <c r="E53" i="8"/>
  <c r="I29" i="8"/>
  <c r="G42" i="8"/>
  <c r="G68" i="8"/>
  <c r="D24" i="8"/>
  <c r="F41" i="8"/>
  <c r="D27" i="8"/>
  <c r="F49" i="8"/>
  <c r="I27" i="8"/>
  <c r="H18" i="8"/>
  <c r="G21" i="8"/>
  <c r="H39" i="8"/>
  <c r="H34" i="8"/>
  <c r="D72" i="8"/>
  <c r="F39" i="8"/>
  <c r="F15" i="8"/>
  <c r="I17" i="8"/>
  <c r="G51" i="8"/>
  <c r="F43" i="8"/>
  <c r="D55" i="8"/>
  <c r="I34" i="8"/>
  <c r="D52" i="8"/>
  <c r="I50" i="8"/>
  <c r="G53" i="8"/>
  <c r="H24" i="8"/>
  <c r="H29" i="8"/>
  <c r="C13" i="8"/>
  <c r="D17" i="8"/>
  <c r="I38" i="8"/>
  <c r="G16" i="8"/>
  <c r="C16" i="8"/>
  <c r="E24" i="8"/>
  <c r="F25" i="8"/>
  <c r="H36" i="8"/>
  <c r="H52" i="8"/>
  <c r="D69" i="8"/>
  <c r="C40" i="8"/>
  <c r="G36" i="8"/>
  <c r="G31" i="8"/>
  <c r="G39" i="8"/>
  <c r="C59" i="8"/>
  <c r="H14" i="8"/>
  <c r="E32" i="8"/>
  <c r="C15" i="8"/>
  <c r="I31" i="8"/>
  <c r="G28" i="8"/>
  <c r="I22" i="8"/>
  <c r="D16" i="8"/>
  <c r="F54" i="8"/>
  <c r="H31" i="8"/>
  <c r="I67" i="8"/>
  <c r="I23" i="8"/>
  <c r="G40" i="8"/>
  <c r="H54" i="8"/>
  <c r="H50" i="8"/>
  <c r="D20" i="8"/>
  <c r="G14" i="8"/>
  <c r="E58" i="8"/>
  <c r="C53" i="8"/>
  <c r="C35" i="8"/>
  <c r="I25" i="8"/>
  <c r="D51" i="8"/>
  <c r="C37" i="8"/>
  <c r="C50" i="8"/>
  <c r="I56" i="8"/>
  <c r="E31" i="8"/>
  <c r="F32" i="8"/>
  <c r="E27" i="8"/>
  <c r="C58" i="8"/>
  <c r="C68" i="8"/>
  <c r="F36" i="8"/>
  <c r="I51" i="8"/>
  <c r="C27" i="8"/>
  <c r="E72" i="8"/>
  <c r="C32" i="8"/>
  <c r="F69" i="8"/>
  <c r="H40" i="8"/>
  <c r="D37" i="8"/>
  <c r="G19" i="8"/>
  <c r="F68" i="8"/>
  <c r="F55" i="8"/>
  <c r="F58" i="8"/>
  <c r="C39" i="8"/>
  <c r="F26" i="8"/>
  <c r="C29" i="8"/>
  <c r="E21" i="8"/>
  <c r="E39" i="8"/>
  <c r="I54" i="8"/>
  <c r="E23" i="8"/>
  <c r="H72" i="8"/>
  <c r="G13" i="8"/>
  <c r="D13" i="8"/>
  <c r="E52" i="8"/>
  <c r="D43" i="8"/>
  <c r="D56" i="8"/>
  <c r="E55" i="8"/>
  <c r="H68" i="8"/>
  <c r="D41" i="8"/>
  <c r="C38" i="8"/>
  <c r="H27" i="8"/>
  <c r="D25" i="8"/>
  <c r="H67" i="8"/>
  <c r="F31" i="8"/>
  <c r="D39" i="8"/>
  <c r="G32" i="8"/>
  <c r="F28" i="8"/>
  <c r="D34" i="8"/>
  <c r="E36" i="8"/>
  <c r="H56" i="8"/>
  <c r="F52" i="8"/>
  <c r="C41" i="8"/>
  <c r="H69" i="8"/>
  <c r="F30" i="8"/>
  <c r="F37" i="8"/>
  <c r="C34" i="8"/>
  <c r="F50" i="8"/>
  <c r="G24" i="8"/>
  <c r="H20" i="8"/>
  <c r="D26" i="8"/>
  <c r="E22" i="8"/>
  <c r="G17" i="8"/>
  <c r="H13" i="8"/>
  <c r="D67" i="8"/>
  <c r="G67" i="8"/>
  <c r="H23" i="8"/>
  <c r="D59" i="8"/>
  <c r="F13" i="8"/>
  <c r="F67" i="8"/>
  <c r="D28" i="8"/>
  <c r="G18" i="8"/>
  <c r="G20" i="8"/>
  <c r="C25" i="8"/>
  <c r="C21" i="8"/>
  <c r="I58" i="8"/>
  <c r="G55" i="8"/>
  <c r="G58" i="8"/>
  <c r="F12" i="8"/>
  <c r="H58" i="8"/>
  <c r="C43" i="8"/>
  <c r="C52" i="8"/>
  <c r="I63" i="8"/>
  <c r="F23" i="8"/>
  <c r="E59" i="7"/>
  <c r="E51" i="7"/>
  <c r="E69" i="7"/>
  <c r="D69" i="7"/>
  <c r="E52" i="7"/>
  <c r="H69" i="7"/>
  <c r="E53" i="7"/>
  <c r="D68" i="7"/>
  <c r="F69" i="7"/>
  <c r="E63" i="7"/>
  <c r="H67" i="7"/>
  <c r="G73" i="7"/>
  <c r="D67" i="7"/>
  <c r="D73" i="7"/>
  <c r="E68" i="7"/>
  <c r="G67" i="7"/>
  <c r="E54" i="7"/>
  <c r="F73" i="7"/>
  <c r="C69" i="7"/>
  <c r="C68" i="7"/>
  <c r="E58" i="7"/>
  <c r="C58" i="7"/>
  <c r="C67" i="7"/>
  <c r="H68" i="7"/>
  <c r="H73" i="7"/>
  <c r="G69" i="7"/>
  <c r="E56" i="7"/>
  <c r="F67" i="7"/>
  <c r="F68" i="7"/>
  <c r="C73" i="7"/>
  <c r="E73" i="7"/>
  <c r="E50" i="7"/>
  <c r="G68" i="7"/>
  <c r="E67" i="7"/>
  <c r="B62" i="8" l="1"/>
  <c r="A61" i="8"/>
  <c r="J64" i="12"/>
  <c r="B60" i="8"/>
  <c r="B61" i="8"/>
  <c r="B48" i="8"/>
  <c r="B47" i="8"/>
  <c r="A48" i="8"/>
  <c r="A47" i="8"/>
  <c r="A60" i="8"/>
  <c r="I73" i="7"/>
  <c r="I67" i="7"/>
  <c r="J26" i="10"/>
  <c r="A57" i="8"/>
  <c r="B57" i="8"/>
  <c r="A26" i="8"/>
  <c r="A58" i="8"/>
  <c r="A33" i="8"/>
  <c r="A62" i="8"/>
  <c r="A9" i="7"/>
  <c r="B62" i="7" s="1"/>
  <c r="C62" i="8"/>
  <c r="F57" i="8"/>
  <c r="H61" i="8"/>
  <c r="D60" i="8"/>
  <c r="H62" i="8"/>
  <c r="I62" i="8"/>
  <c r="G60" i="8"/>
  <c r="E57" i="8"/>
  <c r="G61" i="8"/>
  <c r="F60" i="8"/>
  <c r="C60" i="8"/>
  <c r="C48" i="8"/>
  <c r="G48" i="8"/>
  <c r="C47" i="8"/>
  <c r="D47" i="8"/>
  <c r="G62" i="8"/>
  <c r="F62" i="8"/>
  <c r="I57" i="8"/>
  <c r="I61" i="8"/>
  <c r="F61" i="8"/>
  <c r="I60" i="8"/>
  <c r="F47" i="8"/>
  <c r="H47" i="8"/>
  <c r="H57" i="8"/>
  <c r="C61" i="8"/>
  <c r="I48" i="8"/>
  <c r="D62" i="8"/>
  <c r="D61" i="8"/>
  <c r="C57" i="8"/>
  <c r="D48" i="8"/>
  <c r="E61" i="8"/>
  <c r="G47" i="8"/>
  <c r="D57" i="8"/>
  <c r="H48" i="8"/>
  <c r="G57" i="8"/>
  <c r="E48" i="8"/>
  <c r="F48" i="8"/>
  <c r="E60" i="8"/>
  <c r="E62" i="8"/>
  <c r="H60" i="8"/>
  <c r="D35" i="7"/>
  <c r="C14" i="7"/>
  <c r="C42" i="7"/>
  <c r="C26" i="7"/>
  <c r="C17" i="7"/>
  <c r="H22" i="7"/>
  <c r="C13" i="7"/>
  <c r="D19" i="7"/>
  <c r="C28" i="7"/>
  <c r="D31" i="7"/>
  <c r="D37" i="7"/>
  <c r="D21" i="7"/>
  <c r="D26" i="7"/>
  <c r="H37" i="7"/>
  <c r="C30" i="7"/>
  <c r="H33" i="7"/>
  <c r="C29" i="7"/>
  <c r="C21" i="7"/>
  <c r="H14" i="7"/>
  <c r="D29" i="7"/>
  <c r="C35" i="7"/>
  <c r="H43" i="7"/>
  <c r="C16" i="7"/>
  <c r="H20" i="7"/>
  <c r="H32" i="7"/>
  <c r="C24" i="7"/>
  <c r="C54" i="7"/>
  <c r="H31" i="7"/>
  <c r="C39" i="7"/>
  <c r="H24" i="7"/>
  <c r="D42" i="7"/>
  <c r="D41" i="7"/>
  <c r="C33" i="7"/>
  <c r="D23" i="7"/>
  <c r="H41" i="7"/>
  <c r="H28" i="7"/>
  <c r="D14" i="7"/>
  <c r="C52" i="7"/>
  <c r="D33" i="7"/>
  <c r="H36" i="7"/>
  <c r="H25" i="7"/>
  <c r="D28" i="7"/>
  <c r="C53" i="7"/>
  <c r="D22" i="7"/>
  <c r="H29" i="7"/>
  <c r="D39" i="7"/>
  <c r="D17" i="7"/>
  <c r="C43" i="7"/>
  <c r="C41" i="7"/>
  <c r="H17" i="7"/>
  <c r="D30" i="7"/>
  <c r="H15" i="7"/>
  <c r="H23" i="7"/>
  <c r="C25" i="7"/>
  <c r="H26" i="7"/>
  <c r="D12" i="7"/>
  <c r="H18" i="7"/>
  <c r="D34" i="7"/>
  <c r="H44" i="7"/>
  <c r="D25" i="7"/>
  <c r="D15" i="7"/>
  <c r="C20" i="7"/>
  <c r="C40" i="7"/>
  <c r="D16" i="7"/>
  <c r="D20" i="7"/>
  <c r="H38" i="7"/>
  <c r="H34" i="7"/>
  <c r="H19" i="7"/>
  <c r="D38" i="7"/>
  <c r="D32" i="7"/>
  <c r="D13" i="7"/>
  <c r="C50" i="7"/>
  <c r="H42" i="7"/>
  <c r="H35" i="7"/>
  <c r="H16" i="7"/>
  <c r="C32" i="7"/>
  <c r="C15" i="7"/>
  <c r="C36" i="7"/>
  <c r="D43" i="7"/>
  <c r="H21" i="7"/>
  <c r="D40" i="7"/>
  <c r="H39" i="7"/>
  <c r="C23" i="7"/>
  <c r="D24" i="7"/>
  <c r="H40" i="7"/>
  <c r="H13" i="7"/>
  <c r="H12" i="7"/>
  <c r="D36" i="7"/>
  <c r="D18" i="7"/>
  <c r="H30" i="7"/>
  <c r="C22" i="7"/>
  <c r="C18" i="7"/>
  <c r="A47" i="7" l="1"/>
  <c r="B61" i="7"/>
  <c r="B60" i="7"/>
  <c r="B48" i="7"/>
  <c r="B47" i="7"/>
  <c r="I29" i="7"/>
  <c r="I12" i="7"/>
  <c r="A61" i="7"/>
  <c r="A48" i="7"/>
  <c r="A57" i="7"/>
  <c r="A62" i="7"/>
  <c r="B57" i="7"/>
  <c r="A10" i="125"/>
  <c r="B63" i="125" s="1"/>
  <c r="C48" i="7"/>
  <c r="E61" i="7"/>
  <c r="C60" i="7"/>
  <c r="E60" i="7"/>
  <c r="E47" i="7"/>
  <c r="C62" i="7"/>
  <c r="C57" i="7"/>
  <c r="C61" i="7"/>
  <c r="C47" i="7"/>
  <c r="E48" i="7"/>
  <c r="E69" i="125"/>
  <c r="E25" i="125"/>
  <c r="F18" i="125"/>
  <c r="E59" i="125"/>
  <c r="C59" i="125"/>
  <c r="C60" i="125"/>
  <c r="C43" i="125"/>
  <c r="C52" i="125"/>
  <c r="D52" i="125"/>
  <c r="C53" i="125"/>
  <c r="D50" i="125"/>
  <c r="E71" i="125"/>
  <c r="F13" i="125"/>
  <c r="D44" i="125"/>
  <c r="E43" i="125"/>
  <c r="E29" i="125"/>
  <c r="E21" i="125"/>
  <c r="D22" i="125"/>
  <c r="F25" i="125"/>
  <c r="D18" i="125"/>
  <c r="D65" i="125"/>
  <c r="E24" i="125"/>
  <c r="F71" i="125"/>
  <c r="D41" i="125"/>
  <c r="E30" i="125"/>
  <c r="D70" i="125"/>
  <c r="E53" i="125"/>
  <c r="F65" i="125"/>
  <c r="D25" i="125"/>
  <c r="C70" i="125"/>
  <c r="E45" i="125"/>
  <c r="D19" i="125"/>
  <c r="C71" i="125"/>
  <c r="D24" i="125"/>
  <c r="C21" i="125"/>
  <c r="D71" i="125"/>
  <c r="C13" i="125"/>
  <c r="D68" i="125"/>
  <c r="E42" i="125"/>
  <c r="F68" i="125"/>
  <c r="F16" i="125"/>
  <c r="F21" i="125"/>
  <c r="E39" i="125"/>
  <c r="D13" i="125"/>
  <c r="D33" i="125"/>
  <c r="D43" i="125"/>
  <c r="E54" i="125"/>
  <c r="D21" i="125"/>
  <c r="E38" i="125"/>
  <c r="C30" i="125"/>
  <c r="F24" i="125"/>
  <c r="F50" i="125"/>
  <c r="F15" i="125"/>
  <c r="E23" i="125"/>
  <c r="F69" i="125"/>
  <c r="E44" i="125"/>
  <c r="D35" i="125"/>
  <c r="D32" i="125"/>
  <c r="F22" i="125"/>
  <c r="E33" i="125"/>
  <c r="D26" i="125"/>
  <c r="E50" i="125"/>
  <c r="F70" i="125"/>
  <c r="C51" i="125"/>
  <c r="F23" i="125"/>
  <c r="E41" i="125"/>
  <c r="C25" i="125"/>
  <c r="E15" i="125"/>
  <c r="F36" i="125"/>
  <c r="F55" i="125"/>
  <c r="C44" i="125"/>
  <c r="D20" i="125"/>
  <c r="D56" i="125"/>
  <c r="F30" i="125"/>
  <c r="D23" i="125"/>
  <c r="E70" i="125"/>
  <c r="D38" i="125"/>
  <c r="D64" i="125"/>
  <c r="F14" i="125"/>
  <c r="E18" i="125"/>
  <c r="C68" i="125"/>
  <c r="F56" i="125"/>
  <c r="C73" i="125"/>
  <c r="C24" i="125"/>
  <c r="F45" i="125"/>
  <c r="F40" i="125"/>
  <c r="D27" i="125"/>
  <c r="E37" i="125"/>
  <c r="E26" i="125"/>
  <c r="E27" i="125"/>
  <c r="E31" i="125"/>
  <c r="E20" i="125"/>
  <c r="F42" i="125"/>
  <c r="E14" i="125"/>
  <c r="F34" i="125"/>
  <c r="E48" i="125"/>
  <c r="D36" i="125"/>
  <c r="E56" i="125"/>
  <c r="C33" i="125"/>
  <c r="F41" i="125"/>
  <c r="D73" i="125"/>
  <c r="E40" i="125"/>
  <c r="D34" i="125"/>
  <c r="C36" i="125"/>
  <c r="D60" i="125"/>
  <c r="C15" i="125"/>
  <c r="E60" i="125"/>
  <c r="D16" i="125"/>
  <c r="F59" i="125"/>
  <c r="C19" i="125"/>
  <c r="F54" i="125"/>
  <c r="C37" i="125"/>
  <c r="E13" i="125"/>
  <c r="C29" i="125"/>
  <c r="F29" i="125"/>
  <c r="F43" i="125"/>
  <c r="E16" i="125"/>
  <c r="D54" i="125"/>
  <c r="E51" i="125"/>
  <c r="D30" i="125"/>
  <c r="F60" i="125"/>
  <c r="C38" i="125"/>
  <c r="C31" i="125"/>
  <c r="F20" i="125"/>
  <c r="E22" i="125"/>
  <c r="E35" i="125"/>
  <c r="C26" i="125"/>
  <c r="E55" i="125"/>
  <c r="F64" i="125"/>
  <c r="C22" i="125"/>
  <c r="C23" i="125"/>
  <c r="C65" i="125"/>
  <c r="F51" i="125"/>
  <c r="C55" i="125"/>
  <c r="D15" i="125"/>
  <c r="F37" i="125"/>
  <c r="F19" i="125"/>
  <c r="E36" i="125"/>
  <c r="C14" i="125"/>
  <c r="D55" i="125"/>
  <c r="D39" i="125"/>
  <c r="C35" i="125"/>
  <c r="D42" i="125"/>
  <c r="D57" i="125"/>
  <c r="F52" i="125"/>
  <c r="C27" i="125"/>
  <c r="D31" i="125"/>
  <c r="C16" i="125"/>
  <c r="D51" i="125"/>
  <c r="C40" i="125"/>
  <c r="F44" i="125"/>
  <c r="E57" i="125"/>
  <c r="F73" i="125"/>
  <c r="C20" i="125"/>
  <c r="E34" i="125"/>
  <c r="F31" i="125"/>
  <c r="F39" i="125"/>
  <c r="E32" i="125"/>
  <c r="D69" i="125"/>
  <c r="C45" i="125"/>
  <c r="F57" i="125"/>
  <c r="E64" i="125"/>
  <c r="E68" i="125"/>
  <c r="C18" i="125"/>
  <c r="F27" i="125"/>
  <c r="C69" i="125"/>
  <c r="D14" i="125"/>
  <c r="C64" i="125"/>
  <c r="E52" i="125"/>
  <c r="D59" i="125"/>
  <c r="C41" i="125"/>
  <c r="F32" i="125"/>
  <c r="E73" i="125"/>
  <c r="E19" i="125"/>
  <c r="C50" i="125"/>
  <c r="F38" i="125"/>
  <c r="D37" i="125"/>
  <c r="C54" i="125"/>
  <c r="F53" i="125"/>
  <c r="D40" i="125"/>
  <c r="D45" i="125"/>
  <c r="E65" i="125"/>
  <c r="C57" i="125"/>
  <c r="F33" i="125"/>
  <c r="F26" i="125"/>
  <c r="D29" i="125"/>
  <c r="F35" i="125"/>
  <c r="C34" i="125"/>
  <c r="C42" i="125"/>
  <c r="C56" i="125"/>
  <c r="D53" i="125"/>
  <c r="D10" i="125" l="1"/>
  <c r="A48" i="125"/>
  <c r="B48" i="125"/>
  <c r="B49" i="125"/>
  <c r="B62" i="125"/>
  <c r="B61" i="125"/>
  <c r="A49" i="125"/>
  <c r="G45" i="125"/>
  <c r="I47" i="7"/>
  <c r="G68" i="125"/>
  <c r="G69" i="125"/>
  <c r="G70" i="125"/>
  <c r="G50" i="125"/>
  <c r="G51" i="125"/>
  <c r="G55" i="125"/>
  <c r="G59" i="125"/>
  <c r="G52" i="125"/>
  <c r="G53" i="125"/>
  <c r="G54" i="125"/>
  <c r="G56" i="125"/>
  <c r="G57" i="125"/>
  <c r="G60" i="125"/>
  <c r="G64" i="125"/>
  <c r="G65" i="125"/>
  <c r="A62" i="125"/>
  <c r="A61" i="125"/>
  <c r="A63" i="125"/>
  <c r="A10" i="101"/>
  <c r="E58" i="125"/>
  <c r="C58" i="125"/>
  <c r="F58" i="125"/>
  <c r="D58" i="125"/>
  <c r="C62" i="125"/>
  <c r="C49" i="125"/>
  <c r="E62" i="125"/>
  <c r="F49" i="125"/>
  <c r="F62" i="125"/>
  <c r="E49" i="125"/>
  <c r="D49" i="125"/>
  <c r="D62" i="125"/>
  <c r="C63" i="125"/>
  <c r="E61" i="125"/>
  <c r="C48" i="125"/>
  <c r="D63" i="125"/>
  <c r="F48" i="125"/>
  <c r="F61" i="125"/>
  <c r="D61" i="125"/>
  <c r="E63" i="125"/>
  <c r="F63" i="125"/>
  <c r="D48" i="125"/>
  <c r="C61" i="125"/>
  <c r="G48" i="125" l="1"/>
  <c r="G63" i="125"/>
  <c r="G61" i="125"/>
  <c r="G49" i="125"/>
  <c r="G62" i="125"/>
  <c r="G58" i="125"/>
  <c r="I32" i="114"/>
  <c r="I33" i="114"/>
  <c r="I31" i="114"/>
  <c r="K14" i="114"/>
  <c r="M22" i="114"/>
  <c r="M23" i="114"/>
  <c r="M24" i="114"/>
  <c r="F15" i="124" l="1"/>
  <c r="F257" i="224"/>
  <c r="F256" i="224"/>
  <c r="F255" i="224"/>
  <c r="F254" i="224"/>
  <c r="F253" i="224"/>
  <c r="F252" i="224"/>
  <c r="F251" i="224"/>
  <c r="F250" i="224"/>
  <c r="F249" i="224"/>
  <c r="F248" i="224"/>
  <c r="F247" i="224"/>
  <c r="F246" i="224"/>
  <c r="F245" i="224"/>
  <c r="F244" i="224"/>
  <c r="F243" i="224"/>
  <c r="F242" i="224"/>
  <c r="F241" i="224"/>
  <c r="F240" i="224"/>
  <c r="F239" i="224"/>
  <c r="F238" i="224"/>
  <c r="F237" i="224"/>
  <c r="F236" i="224"/>
  <c r="F235" i="224"/>
  <c r="F234" i="224"/>
  <c r="F233" i="224"/>
  <c r="F232" i="224"/>
  <c r="F231" i="224"/>
  <c r="F230" i="224"/>
  <c r="F229" i="224"/>
  <c r="F228" i="224"/>
  <c r="F227" i="224"/>
  <c r="F226" i="224"/>
  <c r="A37" i="22"/>
  <c r="B37" i="22"/>
  <c r="C37" i="22"/>
  <c r="D37" i="22"/>
  <c r="E37" i="22"/>
  <c r="F37" i="22" l="1"/>
  <c r="H129" i="221"/>
  <c r="H128" i="221"/>
  <c r="H127" i="221"/>
  <c r="H126" i="221"/>
  <c r="H125" i="221"/>
  <c r="H124" i="221"/>
  <c r="H123" i="221"/>
  <c r="H122" i="221"/>
  <c r="H121" i="221"/>
  <c r="H120" i="221"/>
  <c r="H119" i="221"/>
  <c r="H118" i="221"/>
  <c r="H117" i="221"/>
  <c r="H116" i="221"/>
  <c r="H115" i="221"/>
  <c r="H114" i="221"/>
  <c r="H113" i="221"/>
  <c r="H112" i="221"/>
  <c r="H111" i="221"/>
  <c r="H110" i="221"/>
  <c r="H109" i="221"/>
  <c r="H108" i="221"/>
  <c r="H107" i="221"/>
  <c r="H106" i="221"/>
  <c r="H105" i="221"/>
  <c r="H104" i="221"/>
  <c r="H103" i="221"/>
  <c r="H102" i="221"/>
  <c r="H101" i="221"/>
  <c r="H100" i="221"/>
  <c r="H99" i="221"/>
  <c r="H98" i="221"/>
  <c r="C13" i="101" l="1"/>
  <c r="D13" i="101"/>
  <c r="E13" i="101"/>
  <c r="C14" i="101"/>
  <c r="D14" i="101"/>
  <c r="E14" i="101"/>
  <c r="C15" i="101"/>
  <c r="D15" i="101"/>
  <c r="E15" i="101"/>
  <c r="C16" i="101"/>
  <c r="D16" i="101"/>
  <c r="E16" i="101"/>
  <c r="C17" i="101"/>
  <c r="D17" i="101"/>
  <c r="E17" i="101"/>
  <c r="C18" i="101"/>
  <c r="D18" i="101"/>
  <c r="E18" i="101"/>
  <c r="C19" i="101"/>
  <c r="D19" i="101"/>
  <c r="E19" i="101"/>
  <c r="C20" i="101"/>
  <c r="D20" i="101"/>
  <c r="E20" i="101"/>
  <c r="C21" i="101"/>
  <c r="D21" i="101"/>
  <c r="E21" i="101"/>
  <c r="C22" i="101"/>
  <c r="D22" i="101"/>
  <c r="E22" i="101"/>
  <c r="C23" i="101"/>
  <c r="D23" i="101"/>
  <c r="E23" i="101"/>
  <c r="C24" i="101"/>
  <c r="D24" i="101"/>
  <c r="E24" i="101"/>
  <c r="C25" i="101"/>
  <c r="D25" i="101"/>
  <c r="E25" i="101"/>
  <c r="C26" i="101"/>
  <c r="D26" i="101"/>
  <c r="E26" i="101"/>
  <c r="C27" i="101"/>
  <c r="D27" i="101"/>
  <c r="E27" i="101"/>
  <c r="C28" i="101"/>
  <c r="D28" i="101"/>
  <c r="E28" i="101"/>
  <c r="C29" i="101"/>
  <c r="D29" i="101"/>
  <c r="E29" i="101"/>
  <c r="C30" i="101"/>
  <c r="D30" i="101"/>
  <c r="E30" i="101"/>
  <c r="C31" i="101"/>
  <c r="D31" i="101"/>
  <c r="E31" i="101"/>
  <c r="C32" i="101"/>
  <c r="D32" i="101"/>
  <c r="E32" i="101"/>
  <c r="C33" i="101"/>
  <c r="D33" i="101"/>
  <c r="E33" i="101"/>
  <c r="C34" i="101"/>
  <c r="D34" i="101"/>
  <c r="E34" i="101"/>
  <c r="C35" i="101"/>
  <c r="D35" i="101"/>
  <c r="E35" i="101"/>
  <c r="C36" i="101"/>
  <c r="D36" i="101"/>
  <c r="E36" i="101"/>
  <c r="C37" i="101"/>
  <c r="D37" i="101"/>
  <c r="E37" i="101"/>
  <c r="C38" i="101"/>
  <c r="D38" i="101"/>
  <c r="E38" i="101"/>
  <c r="C39" i="101"/>
  <c r="D39" i="101"/>
  <c r="E39" i="101"/>
  <c r="C40" i="101"/>
  <c r="D40" i="101"/>
  <c r="E40" i="101"/>
  <c r="C41" i="101"/>
  <c r="D41" i="101"/>
  <c r="E41" i="101"/>
  <c r="C42" i="101"/>
  <c r="D42" i="101"/>
  <c r="E42" i="101"/>
  <c r="C43" i="101"/>
  <c r="D43" i="101"/>
  <c r="E43" i="101"/>
  <c r="D12" i="101"/>
  <c r="E12" i="101"/>
  <c r="C12" i="101"/>
  <c r="F225" i="224"/>
  <c r="F224" i="224"/>
  <c r="F223" i="224"/>
  <c r="F222" i="224"/>
  <c r="F221" i="224"/>
  <c r="F220" i="224"/>
  <c r="F219" i="224"/>
  <c r="F218" i="224"/>
  <c r="F217" i="224"/>
  <c r="F216" i="224"/>
  <c r="F215" i="224"/>
  <c r="F214" i="224"/>
  <c r="F213" i="224"/>
  <c r="F212" i="224"/>
  <c r="F211" i="224"/>
  <c r="F210" i="224"/>
  <c r="F209" i="224"/>
  <c r="F208" i="224"/>
  <c r="F207" i="224"/>
  <c r="F206" i="224"/>
  <c r="F205" i="224"/>
  <c r="F204" i="224"/>
  <c r="F203" i="224"/>
  <c r="F202" i="224"/>
  <c r="F201" i="224"/>
  <c r="F200" i="224"/>
  <c r="F199" i="224"/>
  <c r="F198" i="224"/>
  <c r="F197" i="224"/>
  <c r="F196" i="224"/>
  <c r="F195" i="224"/>
  <c r="F194" i="224"/>
  <c r="F193" i="224"/>
  <c r="F192" i="224"/>
  <c r="F191" i="224"/>
  <c r="F190" i="224"/>
  <c r="F189" i="224"/>
  <c r="F188" i="224"/>
  <c r="F187" i="224"/>
  <c r="F186" i="224"/>
  <c r="F185" i="224"/>
  <c r="F184" i="224"/>
  <c r="F183" i="224"/>
  <c r="F182" i="224"/>
  <c r="F181" i="224"/>
  <c r="F180" i="224"/>
  <c r="F179" i="224"/>
  <c r="F178" i="224"/>
  <c r="F177" i="224"/>
  <c r="F176" i="224"/>
  <c r="F175" i="224"/>
  <c r="F174" i="224"/>
  <c r="F173" i="224"/>
  <c r="F172" i="224"/>
  <c r="F171" i="224"/>
  <c r="F170" i="224"/>
  <c r="F169" i="224"/>
  <c r="F168" i="224"/>
  <c r="F167" i="224"/>
  <c r="F166" i="224"/>
  <c r="F165" i="224"/>
  <c r="F164" i="224"/>
  <c r="F163" i="224"/>
  <c r="F162" i="224"/>
  <c r="F161" i="224"/>
  <c r="F160" i="224"/>
  <c r="F159" i="224"/>
  <c r="F158" i="224"/>
  <c r="F157" i="224"/>
  <c r="F156" i="224"/>
  <c r="F155" i="224"/>
  <c r="F154" i="224"/>
  <c r="F153" i="224"/>
  <c r="F152" i="224"/>
  <c r="F151" i="224"/>
  <c r="F150" i="224"/>
  <c r="F149" i="224"/>
  <c r="F148" i="224"/>
  <c r="F147" i="224"/>
  <c r="F146" i="224"/>
  <c r="F145" i="224"/>
  <c r="F144" i="224"/>
  <c r="F143" i="224"/>
  <c r="F142" i="224"/>
  <c r="F141" i="224"/>
  <c r="F140" i="224"/>
  <c r="F139" i="224"/>
  <c r="F138" i="224"/>
  <c r="F137" i="224"/>
  <c r="F136" i="224"/>
  <c r="F135" i="224"/>
  <c r="F134" i="224"/>
  <c r="F133" i="224"/>
  <c r="F132" i="224"/>
  <c r="F131" i="224"/>
  <c r="F130" i="224"/>
  <c r="F129" i="224"/>
  <c r="F128" i="224"/>
  <c r="F127" i="224"/>
  <c r="F126" i="224"/>
  <c r="F125" i="224"/>
  <c r="F124" i="224"/>
  <c r="F123" i="224"/>
  <c r="F122" i="224"/>
  <c r="F121" i="224"/>
  <c r="F120" i="224"/>
  <c r="F119" i="224"/>
  <c r="F118" i="224"/>
  <c r="F117" i="224"/>
  <c r="F116" i="224"/>
  <c r="F115" i="224"/>
  <c r="F114" i="224"/>
  <c r="F113" i="224"/>
  <c r="F112" i="224"/>
  <c r="F111" i="224"/>
  <c r="F110" i="224"/>
  <c r="F109" i="224"/>
  <c r="F108" i="224"/>
  <c r="F107" i="224"/>
  <c r="F106" i="224"/>
  <c r="F105" i="224"/>
  <c r="F104" i="224"/>
  <c r="F103" i="224"/>
  <c r="F102" i="224"/>
  <c r="F101" i="224"/>
  <c r="F100" i="224"/>
  <c r="F99" i="224"/>
  <c r="F98" i="224"/>
  <c r="F97" i="224"/>
  <c r="F96" i="224"/>
  <c r="F95" i="224"/>
  <c r="F94" i="224"/>
  <c r="F93" i="224"/>
  <c r="F92" i="224"/>
  <c r="F91" i="224"/>
  <c r="F90" i="224"/>
  <c r="F89" i="224"/>
  <c r="F88" i="224"/>
  <c r="F87" i="224"/>
  <c r="F86" i="224"/>
  <c r="F85" i="224"/>
  <c r="F84" i="224"/>
  <c r="F83" i="224"/>
  <c r="F82" i="224"/>
  <c r="F81" i="224"/>
  <c r="F80" i="224"/>
  <c r="F79" i="224"/>
  <c r="F78" i="224"/>
  <c r="F77" i="224"/>
  <c r="F76" i="224"/>
  <c r="F75" i="224"/>
  <c r="F74" i="224"/>
  <c r="F73" i="224"/>
  <c r="F72" i="224"/>
  <c r="F71" i="224"/>
  <c r="F70" i="224"/>
  <c r="F69" i="224"/>
  <c r="F68" i="224"/>
  <c r="F67" i="224"/>
  <c r="F66" i="224"/>
  <c r="F65" i="224"/>
  <c r="F64" i="224"/>
  <c r="F63" i="224"/>
  <c r="F62" i="224"/>
  <c r="F61" i="224"/>
  <c r="F60" i="224"/>
  <c r="F59" i="224"/>
  <c r="F58" i="224"/>
  <c r="F57" i="224"/>
  <c r="F56" i="224"/>
  <c r="F55" i="224"/>
  <c r="F54" i="224"/>
  <c r="F53" i="224"/>
  <c r="F52" i="224"/>
  <c r="F51" i="224"/>
  <c r="F50" i="224"/>
  <c r="F49" i="224"/>
  <c r="F48" i="224"/>
  <c r="F47" i="224"/>
  <c r="F46" i="224"/>
  <c r="F45" i="224"/>
  <c r="F44" i="224"/>
  <c r="F43" i="224"/>
  <c r="F42" i="224"/>
  <c r="F41" i="224"/>
  <c r="F40" i="224"/>
  <c r="F39" i="224"/>
  <c r="F38" i="224"/>
  <c r="F37" i="224"/>
  <c r="F36" i="224"/>
  <c r="F35" i="224"/>
  <c r="F34" i="224"/>
  <c r="F3" i="224"/>
  <c r="F4" i="224"/>
  <c r="F5" i="224"/>
  <c r="F6" i="224"/>
  <c r="F7" i="224"/>
  <c r="F8" i="224"/>
  <c r="F9" i="224"/>
  <c r="F10" i="224"/>
  <c r="F11" i="224"/>
  <c r="F12" i="224"/>
  <c r="F13" i="224"/>
  <c r="F14" i="224"/>
  <c r="F15" i="224"/>
  <c r="F16" i="224"/>
  <c r="F17" i="224"/>
  <c r="F18" i="224"/>
  <c r="F19" i="224"/>
  <c r="F20" i="224"/>
  <c r="F21" i="224"/>
  <c r="F22" i="224"/>
  <c r="F23" i="224"/>
  <c r="F24" i="224"/>
  <c r="F25" i="224"/>
  <c r="F26" i="224"/>
  <c r="F27" i="224"/>
  <c r="F28" i="224"/>
  <c r="F29" i="224"/>
  <c r="F30" i="224"/>
  <c r="F31" i="224"/>
  <c r="F32" i="224"/>
  <c r="F33" i="224"/>
  <c r="F2" i="224"/>
  <c r="C13" i="23"/>
  <c r="D13" i="23"/>
  <c r="E13" i="23"/>
  <c r="F13" i="23"/>
  <c r="G13" i="23"/>
  <c r="C14" i="23"/>
  <c r="D14" i="23"/>
  <c r="E14" i="23"/>
  <c r="F14" i="23"/>
  <c r="G14" i="23"/>
  <c r="C15" i="23"/>
  <c r="D15" i="23"/>
  <c r="E15" i="23"/>
  <c r="F15" i="23"/>
  <c r="G15" i="23"/>
  <c r="C16" i="23"/>
  <c r="D16" i="23"/>
  <c r="E16" i="23"/>
  <c r="F16" i="23"/>
  <c r="G16" i="23"/>
  <c r="C17" i="23"/>
  <c r="D17" i="23"/>
  <c r="E17" i="23"/>
  <c r="F17" i="23"/>
  <c r="G17" i="23"/>
  <c r="C18" i="23"/>
  <c r="D18" i="23"/>
  <c r="E18" i="23"/>
  <c r="F18" i="23"/>
  <c r="G18" i="23"/>
  <c r="C19" i="23"/>
  <c r="D19" i="23"/>
  <c r="E19" i="23"/>
  <c r="F19" i="23"/>
  <c r="G19" i="23"/>
  <c r="C20" i="23"/>
  <c r="D20" i="23"/>
  <c r="E20" i="23"/>
  <c r="F20" i="23"/>
  <c r="G20" i="23"/>
  <c r="C21" i="23"/>
  <c r="D21" i="23"/>
  <c r="E21" i="23"/>
  <c r="F21" i="23"/>
  <c r="G21" i="23"/>
  <c r="C22" i="23"/>
  <c r="D22" i="23"/>
  <c r="E22" i="23"/>
  <c r="F22" i="23"/>
  <c r="G22" i="23"/>
  <c r="C23" i="23"/>
  <c r="D23" i="23"/>
  <c r="E23" i="23"/>
  <c r="F23" i="23"/>
  <c r="G23" i="23"/>
  <c r="C24" i="23"/>
  <c r="D24" i="23"/>
  <c r="E24" i="23"/>
  <c r="F24" i="23"/>
  <c r="G24" i="23"/>
  <c r="C25" i="23"/>
  <c r="D25" i="23"/>
  <c r="E25" i="23"/>
  <c r="F25" i="23"/>
  <c r="G25" i="23"/>
  <c r="C26" i="23"/>
  <c r="D26" i="23"/>
  <c r="E26" i="23"/>
  <c r="F26" i="23"/>
  <c r="G26" i="23"/>
  <c r="C27" i="23"/>
  <c r="D27" i="23"/>
  <c r="E27" i="23"/>
  <c r="F27" i="23"/>
  <c r="G27" i="23"/>
  <c r="C28" i="23"/>
  <c r="D28" i="23"/>
  <c r="E28" i="23"/>
  <c r="F28" i="23"/>
  <c r="G28" i="23"/>
  <c r="C29" i="23"/>
  <c r="D29" i="23"/>
  <c r="E29" i="23"/>
  <c r="F29" i="23"/>
  <c r="G29" i="23"/>
  <c r="C30" i="23"/>
  <c r="D30" i="23"/>
  <c r="E30" i="23"/>
  <c r="F30" i="23"/>
  <c r="G30" i="23"/>
  <c r="C31" i="23"/>
  <c r="D31" i="23"/>
  <c r="E31" i="23"/>
  <c r="F31" i="23"/>
  <c r="G31" i="23"/>
  <c r="C32" i="23"/>
  <c r="D32" i="23"/>
  <c r="E32" i="23"/>
  <c r="F32" i="23"/>
  <c r="G32" i="23"/>
  <c r="C33" i="23"/>
  <c r="D33" i="23"/>
  <c r="E33" i="23"/>
  <c r="F33" i="23"/>
  <c r="G33" i="23"/>
  <c r="C34" i="23"/>
  <c r="D34" i="23"/>
  <c r="E34" i="23"/>
  <c r="F34" i="23"/>
  <c r="G34" i="23"/>
  <c r="C35" i="23"/>
  <c r="D35" i="23"/>
  <c r="E35" i="23"/>
  <c r="F35" i="23"/>
  <c r="G35" i="23"/>
  <c r="C36" i="23"/>
  <c r="D36" i="23"/>
  <c r="E36" i="23"/>
  <c r="F36" i="23"/>
  <c r="G36" i="23"/>
  <c r="C37" i="23"/>
  <c r="D37" i="23"/>
  <c r="E37" i="23"/>
  <c r="F37" i="23"/>
  <c r="G37" i="23"/>
  <c r="C38" i="23"/>
  <c r="D38" i="23"/>
  <c r="E38" i="23"/>
  <c r="F38" i="23"/>
  <c r="G38" i="23"/>
  <c r="C39" i="23"/>
  <c r="D39" i="23"/>
  <c r="E39" i="23"/>
  <c r="F39" i="23"/>
  <c r="G39" i="23"/>
  <c r="C40" i="23"/>
  <c r="D40" i="23"/>
  <c r="E40" i="23"/>
  <c r="F40" i="23"/>
  <c r="G40" i="23"/>
  <c r="C41" i="23"/>
  <c r="D41" i="23"/>
  <c r="E41" i="23"/>
  <c r="F41" i="23"/>
  <c r="G41" i="23"/>
  <c r="C42" i="23"/>
  <c r="D42" i="23"/>
  <c r="E42" i="23"/>
  <c r="F42" i="23"/>
  <c r="G42" i="23"/>
  <c r="C43" i="23"/>
  <c r="D43" i="23"/>
  <c r="E43" i="23"/>
  <c r="F43" i="23"/>
  <c r="G43" i="23"/>
  <c r="D12" i="23"/>
  <c r="E12" i="23"/>
  <c r="F12" i="23"/>
  <c r="G12" i="23"/>
  <c r="C12" i="23"/>
  <c r="H3" i="221"/>
  <c r="H4" i="221"/>
  <c r="H5" i="221"/>
  <c r="H6" i="221"/>
  <c r="H7" i="221"/>
  <c r="H8" i="221"/>
  <c r="H9" i="221"/>
  <c r="H10" i="221"/>
  <c r="H11" i="221"/>
  <c r="H12" i="221"/>
  <c r="H13" i="221"/>
  <c r="H14" i="221"/>
  <c r="H15" i="221"/>
  <c r="H16" i="221"/>
  <c r="H17" i="221"/>
  <c r="H18" i="221"/>
  <c r="H19" i="221"/>
  <c r="H20" i="221"/>
  <c r="H21" i="221"/>
  <c r="H22" i="221"/>
  <c r="H23" i="221"/>
  <c r="H24" i="221"/>
  <c r="H25" i="221"/>
  <c r="H26" i="221"/>
  <c r="H27" i="221"/>
  <c r="H28" i="221"/>
  <c r="H29" i="221"/>
  <c r="H30" i="221"/>
  <c r="H31" i="221"/>
  <c r="H32" i="221"/>
  <c r="H33" i="221"/>
  <c r="H34" i="221"/>
  <c r="H35" i="221"/>
  <c r="H36" i="221"/>
  <c r="H37" i="221"/>
  <c r="H38" i="221"/>
  <c r="H39" i="221"/>
  <c r="H40" i="221"/>
  <c r="H41" i="221"/>
  <c r="H42" i="221"/>
  <c r="H43" i="221"/>
  <c r="H44" i="221"/>
  <c r="H45" i="221"/>
  <c r="H46" i="221"/>
  <c r="H47" i="221"/>
  <c r="H48" i="221"/>
  <c r="H49" i="221"/>
  <c r="H50" i="221"/>
  <c r="H51" i="221"/>
  <c r="H52" i="221"/>
  <c r="H53" i="221"/>
  <c r="H54" i="221"/>
  <c r="H55" i="221"/>
  <c r="H56" i="221"/>
  <c r="H57" i="221"/>
  <c r="H58" i="221"/>
  <c r="H59" i="221"/>
  <c r="H60" i="221"/>
  <c r="H61" i="221"/>
  <c r="H62" i="221"/>
  <c r="H63" i="221"/>
  <c r="H64" i="221"/>
  <c r="H65" i="221"/>
  <c r="H66" i="221"/>
  <c r="H67" i="221"/>
  <c r="H68" i="221"/>
  <c r="H69" i="221"/>
  <c r="H70" i="221"/>
  <c r="H71" i="221"/>
  <c r="H72" i="221"/>
  <c r="H73" i="221"/>
  <c r="H74" i="221"/>
  <c r="H75" i="221"/>
  <c r="H76" i="221"/>
  <c r="H77" i="221"/>
  <c r="H78" i="221"/>
  <c r="H79" i="221"/>
  <c r="H80" i="221"/>
  <c r="H81" i="221"/>
  <c r="H82" i="221"/>
  <c r="H83" i="221"/>
  <c r="H84" i="221"/>
  <c r="H85" i="221"/>
  <c r="H86" i="221"/>
  <c r="H87" i="221"/>
  <c r="H88" i="221"/>
  <c r="H89" i="221"/>
  <c r="H90" i="221"/>
  <c r="H91" i="221"/>
  <c r="H92" i="221"/>
  <c r="H93" i="221"/>
  <c r="H94" i="221"/>
  <c r="H95" i="221"/>
  <c r="H96" i="221"/>
  <c r="H97" i="221"/>
  <c r="H2" i="221"/>
  <c r="C12" i="17"/>
  <c r="B12" i="17"/>
  <c r="D12" i="17" l="1"/>
  <c r="B14" i="17"/>
  <c r="C13" i="17"/>
  <c r="C10" i="17"/>
  <c r="C14" i="17"/>
  <c r="B13" i="17"/>
  <c r="B11" i="17"/>
  <c r="B10" i="17"/>
  <c r="C15" i="17"/>
  <c r="B15" i="17"/>
  <c r="C11" i="17"/>
  <c r="I10" i="25" l="1"/>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C11" i="25"/>
  <c r="D11" i="25"/>
  <c r="E11" i="25"/>
  <c r="F11" i="25"/>
  <c r="G11" i="25"/>
  <c r="H11" i="25"/>
  <c r="C12" i="25"/>
  <c r="D12" i="25"/>
  <c r="E12" i="25"/>
  <c r="F12" i="25"/>
  <c r="G12" i="25"/>
  <c r="H12" i="25"/>
  <c r="C13" i="25"/>
  <c r="D13" i="25"/>
  <c r="E13" i="25"/>
  <c r="F13" i="25"/>
  <c r="G13" i="25"/>
  <c r="H13" i="25"/>
  <c r="C14" i="25"/>
  <c r="D14" i="25"/>
  <c r="E14" i="25"/>
  <c r="F14" i="25"/>
  <c r="G14" i="25"/>
  <c r="H14" i="25"/>
  <c r="C15" i="25"/>
  <c r="D15" i="25"/>
  <c r="E15" i="25"/>
  <c r="F15" i="25"/>
  <c r="G15" i="25"/>
  <c r="H15" i="25"/>
  <c r="C16" i="25"/>
  <c r="D16" i="25"/>
  <c r="E16" i="25"/>
  <c r="F16" i="25"/>
  <c r="G16" i="25"/>
  <c r="H16" i="25"/>
  <c r="C17" i="25"/>
  <c r="D17" i="25"/>
  <c r="E17" i="25"/>
  <c r="F17" i="25"/>
  <c r="G17" i="25"/>
  <c r="H17" i="25"/>
  <c r="C18" i="25"/>
  <c r="D18" i="25"/>
  <c r="E18" i="25"/>
  <c r="F18" i="25"/>
  <c r="G18" i="25"/>
  <c r="H18" i="25"/>
  <c r="C19" i="25"/>
  <c r="D19" i="25"/>
  <c r="E19" i="25"/>
  <c r="F19" i="25"/>
  <c r="G19" i="25"/>
  <c r="H19" i="25"/>
  <c r="C20" i="25"/>
  <c r="D20" i="25"/>
  <c r="E20" i="25"/>
  <c r="F20" i="25"/>
  <c r="G20" i="25"/>
  <c r="H20" i="25"/>
  <c r="C21" i="25"/>
  <c r="D21" i="25"/>
  <c r="E21" i="25"/>
  <c r="F21" i="25"/>
  <c r="G21" i="25"/>
  <c r="H21" i="25"/>
  <c r="C22" i="25"/>
  <c r="D22" i="25"/>
  <c r="E22" i="25"/>
  <c r="F22" i="25"/>
  <c r="G22" i="25"/>
  <c r="H22" i="25"/>
  <c r="C23" i="25"/>
  <c r="D23" i="25"/>
  <c r="E23" i="25"/>
  <c r="F23" i="25"/>
  <c r="G23" i="25"/>
  <c r="H23" i="25"/>
  <c r="C24" i="25"/>
  <c r="D24" i="25"/>
  <c r="E24" i="25"/>
  <c r="F24" i="25"/>
  <c r="G24" i="25"/>
  <c r="H24" i="25"/>
  <c r="C25" i="25"/>
  <c r="D25" i="25"/>
  <c r="E25" i="25"/>
  <c r="F25" i="25"/>
  <c r="G25" i="25"/>
  <c r="H25" i="25"/>
  <c r="C26" i="25"/>
  <c r="D26" i="25"/>
  <c r="E26" i="25"/>
  <c r="F26" i="25"/>
  <c r="G26" i="25"/>
  <c r="H26" i="25"/>
  <c r="C27" i="25"/>
  <c r="D27" i="25"/>
  <c r="E27" i="25"/>
  <c r="F27" i="25"/>
  <c r="G27" i="25"/>
  <c r="H27" i="25"/>
  <c r="C28" i="25"/>
  <c r="D28" i="25"/>
  <c r="E28" i="25"/>
  <c r="F28" i="25"/>
  <c r="G28" i="25"/>
  <c r="H28" i="25"/>
  <c r="C29" i="25"/>
  <c r="D29" i="25"/>
  <c r="E29" i="25"/>
  <c r="F29" i="25"/>
  <c r="G29" i="25"/>
  <c r="H29" i="25"/>
  <c r="C30" i="25"/>
  <c r="D30" i="25"/>
  <c r="E30" i="25"/>
  <c r="F30" i="25"/>
  <c r="G30" i="25"/>
  <c r="H30" i="25"/>
  <c r="C31" i="25"/>
  <c r="D31" i="25"/>
  <c r="E31" i="25"/>
  <c r="F31" i="25"/>
  <c r="G31" i="25"/>
  <c r="H31" i="25"/>
  <c r="C32" i="25"/>
  <c r="D32" i="25"/>
  <c r="E32" i="25"/>
  <c r="F32" i="25"/>
  <c r="G32" i="25"/>
  <c r="H32" i="25"/>
  <c r="C33" i="25"/>
  <c r="D33" i="25"/>
  <c r="E33" i="25"/>
  <c r="F33" i="25"/>
  <c r="G33" i="25"/>
  <c r="H33" i="25"/>
  <c r="C34" i="25"/>
  <c r="D34" i="25"/>
  <c r="E34" i="25"/>
  <c r="F34" i="25"/>
  <c r="G34" i="25"/>
  <c r="H34" i="25"/>
  <c r="C35" i="25"/>
  <c r="D35" i="25"/>
  <c r="E35" i="25"/>
  <c r="F35" i="25"/>
  <c r="G35" i="25"/>
  <c r="H35" i="25"/>
  <c r="C36" i="25"/>
  <c r="D36" i="25"/>
  <c r="E36" i="25"/>
  <c r="F36" i="25"/>
  <c r="G36" i="25"/>
  <c r="H36" i="25"/>
  <c r="C37" i="25"/>
  <c r="D37" i="25"/>
  <c r="E37" i="25"/>
  <c r="F37" i="25"/>
  <c r="G37" i="25"/>
  <c r="H37" i="25"/>
  <c r="C38" i="25"/>
  <c r="D38" i="25"/>
  <c r="E38" i="25"/>
  <c r="F38" i="25"/>
  <c r="G38" i="25"/>
  <c r="H38" i="25"/>
  <c r="C39" i="25"/>
  <c r="D39" i="25"/>
  <c r="E39" i="25"/>
  <c r="F39" i="25"/>
  <c r="G39" i="25"/>
  <c r="H39" i="25"/>
  <c r="C40" i="25"/>
  <c r="D40" i="25"/>
  <c r="E40" i="25"/>
  <c r="F40" i="25"/>
  <c r="G40" i="25"/>
  <c r="H40" i="25"/>
  <c r="C41" i="25"/>
  <c r="D41" i="25"/>
  <c r="E41" i="25"/>
  <c r="F41" i="25"/>
  <c r="G41" i="25"/>
  <c r="H41" i="25"/>
  <c r="D10" i="25"/>
  <c r="E10" i="25"/>
  <c r="F10" i="25"/>
  <c r="G10" i="25"/>
  <c r="H10" i="25"/>
  <c r="C10" i="25"/>
  <c r="D36" i="18"/>
  <c r="D35" i="18"/>
  <c r="D44" i="13"/>
  <c r="E44" i="13"/>
  <c r="C44" i="13"/>
  <c r="D42" i="18" l="1"/>
  <c r="D22" i="18"/>
  <c r="D46" i="18"/>
  <c r="D44" i="18"/>
  <c r="D32" i="18"/>
  <c r="B23" i="18"/>
  <c r="B49" i="18" s="1"/>
  <c r="D43" i="18"/>
  <c r="D11" i="18"/>
  <c r="D14" i="18"/>
  <c r="C23" i="18"/>
  <c r="C49" i="18" s="1"/>
  <c r="D40" i="18"/>
  <c r="D21" i="18"/>
  <c r="D33" i="18"/>
  <c r="D31" i="18"/>
  <c r="D41" i="18"/>
  <c r="D45" i="18"/>
  <c r="D34" i="18"/>
  <c r="D15" i="18"/>
  <c r="D20" i="18"/>
  <c r="D13" i="17"/>
  <c r="D10" i="18"/>
  <c r="D12" i="18"/>
  <c r="D16" i="18"/>
  <c r="D13" i="18"/>
  <c r="F44" i="13"/>
  <c r="F12" i="11"/>
  <c r="D47" i="18" l="1"/>
  <c r="D23" i="18"/>
  <c r="D17" i="18"/>
  <c r="M30" i="15"/>
  <c r="M31" i="15"/>
  <c r="M32" i="15"/>
  <c r="M33" i="15"/>
  <c r="M34" i="15"/>
  <c r="M35" i="15"/>
  <c r="M36" i="15"/>
  <c r="M38" i="15"/>
  <c r="M29" i="15"/>
  <c r="L30" i="15"/>
  <c r="L31" i="15"/>
  <c r="L32" i="15"/>
  <c r="L33" i="15"/>
  <c r="L34" i="15"/>
  <c r="L35" i="15"/>
  <c r="L36" i="15"/>
  <c r="L38" i="15"/>
  <c r="L29" i="15"/>
  <c r="K30" i="15"/>
  <c r="K31" i="15"/>
  <c r="K32" i="15"/>
  <c r="K33" i="15"/>
  <c r="K34" i="15"/>
  <c r="K35" i="15"/>
  <c r="K36" i="15"/>
  <c r="K38" i="15"/>
  <c r="K29" i="15"/>
  <c r="J30" i="15"/>
  <c r="J31" i="15"/>
  <c r="J32" i="15"/>
  <c r="J33" i="15"/>
  <c r="J34" i="15"/>
  <c r="J35" i="15"/>
  <c r="J36" i="15"/>
  <c r="J38" i="15"/>
  <c r="J29" i="15"/>
  <c r="I30" i="15"/>
  <c r="I31" i="15"/>
  <c r="I32" i="15"/>
  <c r="I33" i="15"/>
  <c r="I34" i="15"/>
  <c r="I35" i="15"/>
  <c r="I36" i="15"/>
  <c r="I38" i="15"/>
  <c r="I29" i="15"/>
  <c r="H30" i="15"/>
  <c r="H31" i="15"/>
  <c r="H32" i="15"/>
  <c r="H33" i="15"/>
  <c r="H34" i="15"/>
  <c r="H35" i="15"/>
  <c r="H36" i="15"/>
  <c r="H38" i="15"/>
  <c r="H29" i="15"/>
  <c r="G36" i="15"/>
  <c r="G38" i="15"/>
  <c r="F36" i="15"/>
  <c r="F38" i="15"/>
  <c r="E30" i="15"/>
  <c r="E31" i="15"/>
  <c r="E32" i="15"/>
  <c r="E33" i="15"/>
  <c r="E34" i="15"/>
  <c r="E35" i="15"/>
  <c r="E36" i="15"/>
  <c r="E38" i="15"/>
  <c r="E29" i="15"/>
  <c r="D30" i="15"/>
  <c r="D31" i="15"/>
  <c r="D32" i="15"/>
  <c r="D33" i="15"/>
  <c r="D34" i="15"/>
  <c r="D35" i="15"/>
  <c r="D36" i="15"/>
  <c r="D38" i="15"/>
  <c r="D29" i="15"/>
  <c r="C30" i="15"/>
  <c r="C31" i="15"/>
  <c r="C32" i="15"/>
  <c r="C33" i="15"/>
  <c r="C34" i="15"/>
  <c r="C35" i="15"/>
  <c r="C36" i="15"/>
  <c r="C38" i="15"/>
  <c r="C29" i="15"/>
  <c r="B30" i="15"/>
  <c r="B31" i="15"/>
  <c r="B32" i="15"/>
  <c r="B33" i="15"/>
  <c r="B34" i="15"/>
  <c r="B35" i="15"/>
  <c r="B36" i="15"/>
  <c r="B38" i="15"/>
  <c r="B29" i="15"/>
  <c r="A30" i="15"/>
  <c r="A31" i="15"/>
  <c r="A32" i="15"/>
  <c r="A33" i="15"/>
  <c r="A34" i="15"/>
  <c r="A35" i="15"/>
  <c r="A36" i="15"/>
  <c r="A38" i="15"/>
  <c r="A29" i="15"/>
  <c r="O29" i="15"/>
  <c r="D49" i="18" l="1"/>
  <c r="Q29" i="15"/>
  <c r="F49" i="18"/>
  <c r="E49" i="18"/>
  <c r="N29" i="15"/>
  <c r="C15" i="126"/>
  <c r="D15" i="126"/>
  <c r="E15" i="126"/>
  <c r="F15" i="126"/>
  <c r="G15" i="126"/>
  <c r="H15" i="126"/>
  <c r="B15" i="126"/>
  <c r="C14" i="126"/>
  <c r="D14" i="126"/>
  <c r="E14" i="126"/>
  <c r="F14" i="126"/>
  <c r="G14" i="126"/>
  <c r="H14" i="126"/>
  <c r="B14" i="126"/>
  <c r="C13" i="126"/>
  <c r="D13" i="126"/>
  <c r="E13" i="126"/>
  <c r="F13" i="126"/>
  <c r="G13" i="126"/>
  <c r="H13" i="126"/>
  <c r="B13" i="126"/>
  <c r="P29" i="15" l="1"/>
  <c r="I14" i="126"/>
  <c r="J20" i="8"/>
  <c r="J35" i="8"/>
  <c r="J27" i="8"/>
  <c r="J19" i="8"/>
  <c r="J43" i="8"/>
  <c r="J36" i="8"/>
  <c r="J28" i="8"/>
  <c r="J40" i="8"/>
  <c r="J24" i="8"/>
  <c r="J41" i="8"/>
  <c r="J33" i="8"/>
  <c r="J25" i="8"/>
  <c r="J17" i="8"/>
  <c r="J32" i="8"/>
  <c r="J16" i="8"/>
  <c r="J42" i="8"/>
  <c r="J34" i="8"/>
  <c r="J26" i="8"/>
  <c r="J18" i="8"/>
  <c r="J37" i="8"/>
  <c r="J29" i="8"/>
  <c r="J21" i="8"/>
  <c r="J13" i="8"/>
  <c r="J38" i="8"/>
  <c r="J30" i="8"/>
  <c r="J22" i="8"/>
  <c r="J14" i="8"/>
  <c r="J39" i="8"/>
  <c r="J31" i="8"/>
  <c r="J23" i="8"/>
  <c r="J15" i="8"/>
  <c r="J12" i="8"/>
  <c r="C10" i="3" l="1"/>
  <c r="E10" i="3"/>
  <c r="F10" i="3"/>
  <c r="G10" i="3"/>
  <c r="C11" i="3"/>
  <c r="E11" i="3"/>
  <c r="F11" i="3"/>
  <c r="G11" i="3"/>
  <c r="C12" i="3"/>
  <c r="E12" i="3"/>
  <c r="F12" i="3"/>
  <c r="G12" i="3"/>
  <c r="C13" i="3"/>
  <c r="E13" i="3"/>
  <c r="F13" i="3"/>
  <c r="G13" i="3"/>
  <c r="B11" i="3"/>
  <c r="B12" i="3"/>
  <c r="B13" i="3"/>
  <c r="B10" i="3"/>
  <c r="G73" i="125" l="1"/>
  <c r="I12" i="94"/>
  <c r="I13" i="94" s="1"/>
  <c r="I18" i="94"/>
  <c r="I19" i="94" s="1"/>
  <c r="I16" i="94"/>
  <c r="I17" i="94" s="1"/>
  <c r="I10" i="94"/>
  <c r="B11" i="94" s="1"/>
  <c r="I11" i="94" l="1"/>
  <c r="H22" i="96" l="1"/>
  <c r="H21" i="96"/>
  <c r="H18" i="96"/>
  <c r="H16" i="96"/>
  <c r="H14" i="96"/>
  <c r="H20" i="96"/>
  <c r="H15" i="96"/>
  <c r="H19" i="96"/>
  <c r="H13" i="96"/>
  <c r="H12" i="96"/>
  <c r="H17" i="96"/>
  <c r="C37" i="19" l="1"/>
  <c r="H22" i="19"/>
  <c r="H16" i="19"/>
  <c r="H20" i="19"/>
  <c r="H12" i="19"/>
  <c r="H11" i="19"/>
  <c r="I11" i="19" s="1"/>
  <c r="G39" i="19"/>
  <c r="H21" i="19"/>
  <c r="H17" i="19"/>
  <c r="E37" i="19"/>
  <c r="H19" i="19"/>
  <c r="H18" i="19"/>
  <c r="H15" i="19"/>
  <c r="H14" i="19"/>
  <c r="I19" i="19" l="1"/>
  <c r="I21" i="19"/>
  <c r="I20" i="19"/>
  <c r="I22" i="19"/>
  <c r="N38" i="15"/>
  <c r="N30" i="15"/>
  <c r="O32" i="15"/>
  <c r="N37" i="15"/>
  <c r="O31" i="15"/>
  <c r="O33" i="15"/>
  <c r="O38" i="15"/>
  <c r="N35" i="15"/>
  <c r="O37" i="15"/>
  <c r="N36" i="15"/>
  <c r="O30" i="15"/>
  <c r="N34" i="15"/>
  <c r="O36" i="15"/>
  <c r="N31" i="15"/>
  <c r="N33" i="15"/>
  <c r="O35" i="15"/>
  <c r="N32" i="15"/>
  <c r="O34" i="15"/>
  <c r="C41" i="19"/>
  <c r="C36" i="19"/>
  <c r="E36" i="19"/>
  <c r="F38" i="19"/>
  <c r="E41" i="19"/>
  <c r="C38" i="19"/>
  <c r="C39" i="19"/>
  <c r="E38" i="19"/>
  <c r="E42" i="19"/>
  <c r="C40" i="19"/>
  <c r="G40" i="19"/>
  <c r="C43" i="19"/>
  <c r="E40" i="19"/>
  <c r="C42" i="19"/>
  <c r="H47" i="19"/>
  <c r="B38" i="19"/>
  <c r="B39" i="19"/>
  <c r="B43" i="19"/>
  <c r="B41" i="19"/>
  <c r="I14" i="19"/>
  <c r="B42" i="19"/>
  <c r="I15" i="19"/>
  <c r="B36" i="19"/>
  <c r="I12" i="19"/>
  <c r="G37" i="19"/>
  <c r="I13" i="19"/>
  <c r="I17" i="19"/>
  <c r="I16" i="19"/>
  <c r="B40" i="19"/>
  <c r="G42" i="19"/>
  <c r="G41" i="19"/>
  <c r="E39" i="19"/>
  <c r="E43" i="19"/>
  <c r="I18" i="19"/>
  <c r="F37" i="19"/>
  <c r="F39" i="19"/>
  <c r="F41" i="19"/>
  <c r="F43" i="19"/>
  <c r="F40" i="19"/>
  <c r="G38" i="19"/>
  <c r="G36" i="19"/>
  <c r="F42" i="19"/>
  <c r="B37" i="19"/>
  <c r="F36" i="19"/>
  <c r="G43" i="19"/>
  <c r="D28" i="16"/>
  <c r="D55" i="16" s="1"/>
  <c r="H45" i="19" l="1"/>
  <c r="H46" i="19"/>
  <c r="H44" i="19"/>
  <c r="B49" i="19"/>
  <c r="F28" i="16"/>
  <c r="E28" i="16"/>
  <c r="I24" i="19"/>
  <c r="H39" i="19"/>
  <c r="Q38" i="15"/>
  <c r="Q36" i="15"/>
  <c r="Q35" i="15"/>
  <c r="Q30" i="15"/>
  <c r="Q33" i="15"/>
  <c r="P34" i="15"/>
  <c r="Q37" i="15"/>
  <c r="P31" i="15"/>
  <c r="Q32" i="15"/>
  <c r="Q31" i="15"/>
  <c r="Q34" i="15"/>
  <c r="P33" i="15"/>
  <c r="P30" i="15"/>
  <c r="P35" i="15"/>
  <c r="P32" i="15"/>
  <c r="P36" i="15"/>
  <c r="P38" i="15"/>
  <c r="P37" i="15"/>
  <c r="H37" i="19"/>
  <c r="H38" i="19"/>
  <c r="H41" i="19"/>
  <c r="H42" i="19"/>
  <c r="G49" i="19"/>
  <c r="H40" i="19"/>
  <c r="H36" i="19"/>
  <c r="H43" i="19"/>
  <c r="G11" i="89"/>
  <c r="G12" i="89"/>
  <c r="G13" i="89"/>
  <c r="G14" i="89"/>
  <c r="G15" i="89"/>
  <c r="G16" i="89"/>
  <c r="G17" i="89"/>
  <c r="G18" i="89"/>
  <c r="G19" i="89"/>
  <c r="G20" i="89"/>
  <c r="G21" i="89"/>
  <c r="G22" i="89"/>
  <c r="G23" i="89"/>
  <c r="G24" i="89"/>
  <c r="G10" i="89"/>
  <c r="I45" i="19" l="1"/>
  <c r="I44" i="19"/>
  <c r="I47" i="19"/>
  <c r="I46" i="19"/>
  <c r="I41" i="19"/>
  <c r="I42" i="19"/>
  <c r="I43" i="19"/>
  <c r="I37" i="19"/>
  <c r="I38" i="19"/>
  <c r="I39" i="19"/>
  <c r="I36" i="19"/>
  <c r="I40" i="19"/>
  <c r="G25" i="89"/>
  <c r="H49" i="19"/>
  <c r="I49" i="19" l="1"/>
  <c r="B11" i="89"/>
  <c r="C11" i="89"/>
  <c r="D11" i="89"/>
  <c r="E11" i="89"/>
  <c r="F11" i="89"/>
  <c r="B12" i="89"/>
  <c r="C12" i="89"/>
  <c r="D12" i="89"/>
  <c r="E12" i="89"/>
  <c r="F12" i="89"/>
  <c r="B13" i="89"/>
  <c r="C13" i="89"/>
  <c r="D13" i="89"/>
  <c r="E13" i="89"/>
  <c r="F13" i="89"/>
  <c r="B14" i="89"/>
  <c r="C14" i="89"/>
  <c r="D14" i="89"/>
  <c r="E14" i="89"/>
  <c r="F14" i="89"/>
  <c r="B15" i="89"/>
  <c r="C15" i="89"/>
  <c r="D15" i="89"/>
  <c r="E15" i="89"/>
  <c r="F15" i="89"/>
  <c r="B16" i="89"/>
  <c r="C16" i="89"/>
  <c r="D16" i="89"/>
  <c r="E16" i="89"/>
  <c r="F16" i="89"/>
  <c r="B17" i="89"/>
  <c r="C17" i="89"/>
  <c r="D17" i="89"/>
  <c r="E17" i="89"/>
  <c r="F17" i="89"/>
  <c r="B18" i="89"/>
  <c r="C18" i="89"/>
  <c r="D18" i="89"/>
  <c r="E18" i="89"/>
  <c r="F18" i="89"/>
  <c r="B19" i="89"/>
  <c r="C19" i="89"/>
  <c r="D19" i="89"/>
  <c r="E19" i="89"/>
  <c r="F19" i="89"/>
  <c r="B20" i="89"/>
  <c r="C20" i="89"/>
  <c r="D20" i="89"/>
  <c r="E20" i="89"/>
  <c r="F20" i="89"/>
  <c r="B21" i="89"/>
  <c r="C21" i="89"/>
  <c r="D21" i="89"/>
  <c r="E21" i="89"/>
  <c r="F21" i="89"/>
  <c r="B22" i="89"/>
  <c r="C22" i="89"/>
  <c r="D22" i="89"/>
  <c r="E22" i="89"/>
  <c r="F22" i="89"/>
  <c r="B23" i="89"/>
  <c r="C23" i="89"/>
  <c r="D23" i="89"/>
  <c r="E23" i="89"/>
  <c r="F23" i="89"/>
  <c r="B24" i="89"/>
  <c r="C24" i="89"/>
  <c r="D24" i="89"/>
  <c r="E24" i="89"/>
  <c r="F24" i="89"/>
  <c r="C10" i="89"/>
  <c r="D10" i="89"/>
  <c r="E10" i="89"/>
  <c r="F10" i="89"/>
  <c r="B10" i="89"/>
  <c r="H22" i="89" l="1"/>
  <c r="G48" i="89" s="1"/>
  <c r="H14" i="89"/>
  <c r="G40" i="89" s="1"/>
  <c r="H17" i="89"/>
  <c r="G43" i="89" s="1"/>
  <c r="H20" i="89"/>
  <c r="G46" i="89" s="1"/>
  <c r="H12" i="89"/>
  <c r="G38" i="89" s="1"/>
  <c r="H15" i="89"/>
  <c r="G41" i="89" s="1"/>
  <c r="H18" i="89"/>
  <c r="G44" i="89" s="1"/>
  <c r="H13" i="89"/>
  <c r="G39" i="89" s="1"/>
  <c r="H23" i="89"/>
  <c r="G49" i="89" s="1"/>
  <c r="H10" i="89"/>
  <c r="G36" i="89" s="1"/>
  <c r="H21" i="89"/>
  <c r="G47" i="89" s="1"/>
  <c r="H24" i="89"/>
  <c r="G50" i="89" s="1"/>
  <c r="H16" i="89"/>
  <c r="G42" i="89" s="1"/>
  <c r="H19" i="89"/>
  <c r="G45" i="89" s="1"/>
  <c r="H11" i="89"/>
  <c r="G37" i="89" s="1"/>
  <c r="I13" i="36"/>
  <c r="J13" i="36"/>
  <c r="K13" i="36"/>
  <c r="L13" i="36"/>
  <c r="I14" i="36"/>
  <c r="J14" i="36"/>
  <c r="K14" i="36"/>
  <c r="L14" i="36"/>
  <c r="I15" i="36"/>
  <c r="J15" i="36"/>
  <c r="K15" i="36"/>
  <c r="L15" i="36"/>
  <c r="I16" i="36"/>
  <c r="J16" i="36"/>
  <c r="K16" i="36"/>
  <c r="L16" i="36"/>
  <c r="I17" i="36"/>
  <c r="J17" i="36"/>
  <c r="K17" i="36"/>
  <c r="L17" i="36"/>
  <c r="I18" i="36"/>
  <c r="J18" i="36"/>
  <c r="K18" i="36"/>
  <c r="L18" i="36"/>
  <c r="I19" i="36"/>
  <c r="J19" i="36"/>
  <c r="K19" i="36"/>
  <c r="L19" i="36"/>
  <c r="I20" i="36"/>
  <c r="J20" i="36"/>
  <c r="K20" i="36"/>
  <c r="L20" i="36"/>
  <c r="I21" i="36"/>
  <c r="J21" i="36"/>
  <c r="K21" i="36"/>
  <c r="L21" i="36"/>
  <c r="I22" i="36"/>
  <c r="J22" i="36"/>
  <c r="K22" i="36"/>
  <c r="L22" i="36"/>
  <c r="I23" i="36"/>
  <c r="J23" i="36"/>
  <c r="K23" i="36"/>
  <c r="L23" i="36"/>
  <c r="I24" i="36"/>
  <c r="J24" i="36"/>
  <c r="K24" i="36"/>
  <c r="L24" i="36"/>
  <c r="I25" i="36"/>
  <c r="J25" i="36"/>
  <c r="K25" i="36"/>
  <c r="L25" i="36"/>
  <c r="I26" i="36"/>
  <c r="J26" i="36"/>
  <c r="K26" i="36"/>
  <c r="L26" i="36"/>
  <c r="I27" i="36"/>
  <c r="J27" i="36"/>
  <c r="K27" i="36"/>
  <c r="L27" i="36"/>
  <c r="I28" i="36"/>
  <c r="J28" i="36"/>
  <c r="K28" i="36"/>
  <c r="L28" i="36"/>
  <c r="I29" i="36"/>
  <c r="J29" i="36"/>
  <c r="K29" i="36"/>
  <c r="L29" i="36"/>
  <c r="I30" i="36"/>
  <c r="J30" i="36"/>
  <c r="K30" i="36"/>
  <c r="L30" i="36"/>
  <c r="I31" i="36"/>
  <c r="J31" i="36"/>
  <c r="K31" i="36"/>
  <c r="L31" i="36"/>
  <c r="I32" i="36"/>
  <c r="J32" i="36"/>
  <c r="K32" i="36"/>
  <c r="L32" i="36"/>
  <c r="I33" i="36"/>
  <c r="J33" i="36"/>
  <c r="K33" i="36"/>
  <c r="L33" i="36"/>
  <c r="I34" i="36"/>
  <c r="J34" i="36"/>
  <c r="K34" i="36"/>
  <c r="L34" i="36"/>
  <c r="I35" i="36"/>
  <c r="J35" i="36"/>
  <c r="K35" i="36"/>
  <c r="L35" i="36"/>
  <c r="I36" i="36"/>
  <c r="J36" i="36"/>
  <c r="K36" i="36"/>
  <c r="L36" i="36"/>
  <c r="I37" i="36"/>
  <c r="J37" i="36"/>
  <c r="K37" i="36"/>
  <c r="L37" i="36"/>
  <c r="I38" i="36"/>
  <c r="J38" i="36"/>
  <c r="K38" i="36"/>
  <c r="L38" i="36"/>
  <c r="I39" i="36"/>
  <c r="J39" i="36"/>
  <c r="K39" i="36"/>
  <c r="L39" i="36"/>
  <c r="I40" i="36"/>
  <c r="J40" i="36"/>
  <c r="K40" i="36"/>
  <c r="L40" i="36"/>
  <c r="I41" i="36"/>
  <c r="J41" i="36"/>
  <c r="K41" i="36"/>
  <c r="L41" i="36"/>
  <c r="I42" i="36"/>
  <c r="J42" i="36"/>
  <c r="K42" i="36"/>
  <c r="L42" i="36"/>
  <c r="I43" i="36"/>
  <c r="J43" i="36"/>
  <c r="K43" i="36"/>
  <c r="L43" i="36"/>
  <c r="J12" i="36"/>
  <c r="K12" i="36"/>
  <c r="L12" i="36"/>
  <c r="I12" i="36"/>
  <c r="C13" i="36"/>
  <c r="D13" i="36"/>
  <c r="E13" i="36"/>
  <c r="F13" i="36"/>
  <c r="C14" i="36"/>
  <c r="D14" i="36"/>
  <c r="E14" i="36"/>
  <c r="F14" i="36"/>
  <c r="C15" i="36"/>
  <c r="D15" i="36"/>
  <c r="E15" i="36"/>
  <c r="F15" i="36"/>
  <c r="C16" i="36"/>
  <c r="D16" i="36"/>
  <c r="E16" i="36"/>
  <c r="F16" i="36"/>
  <c r="C17" i="36"/>
  <c r="D17" i="36"/>
  <c r="E17" i="36"/>
  <c r="F17" i="36"/>
  <c r="C18" i="36"/>
  <c r="D18" i="36"/>
  <c r="E18" i="36"/>
  <c r="F18" i="36"/>
  <c r="C19" i="36"/>
  <c r="D19" i="36"/>
  <c r="E19" i="36"/>
  <c r="F19" i="36"/>
  <c r="C20" i="36"/>
  <c r="D20" i="36"/>
  <c r="E20" i="36"/>
  <c r="F20" i="36"/>
  <c r="C21" i="36"/>
  <c r="D21" i="36"/>
  <c r="E21" i="36"/>
  <c r="F21" i="36"/>
  <c r="C22" i="36"/>
  <c r="D22" i="36"/>
  <c r="E22" i="36"/>
  <c r="F22" i="36"/>
  <c r="C23" i="36"/>
  <c r="D23" i="36"/>
  <c r="E23" i="36"/>
  <c r="F23" i="36"/>
  <c r="C24" i="36"/>
  <c r="D24" i="36"/>
  <c r="E24" i="36"/>
  <c r="F24" i="36"/>
  <c r="C25" i="36"/>
  <c r="D25" i="36"/>
  <c r="E25" i="36"/>
  <c r="F25" i="36"/>
  <c r="C26" i="36"/>
  <c r="D26" i="36"/>
  <c r="E26" i="36"/>
  <c r="F26" i="36"/>
  <c r="C27" i="36"/>
  <c r="D27" i="36"/>
  <c r="E27" i="36"/>
  <c r="F27" i="36"/>
  <c r="C28" i="36"/>
  <c r="D28" i="36"/>
  <c r="E28" i="36"/>
  <c r="F28" i="36"/>
  <c r="C29" i="36"/>
  <c r="D29" i="36"/>
  <c r="E29" i="36"/>
  <c r="F29" i="36"/>
  <c r="C30" i="36"/>
  <c r="D30" i="36"/>
  <c r="E30" i="36"/>
  <c r="F30" i="36"/>
  <c r="C31" i="36"/>
  <c r="D31" i="36"/>
  <c r="E31" i="36"/>
  <c r="F31" i="36"/>
  <c r="O31" i="36" s="1"/>
  <c r="C32" i="36"/>
  <c r="D32" i="36"/>
  <c r="E32" i="36"/>
  <c r="F32" i="36"/>
  <c r="C33" i="36"/>
  <c r="D33" i="36"/>
  <c r="E33" i="36"/>
  <c r="F33" i="36"/>
  <c r="O33" i="36" s="1"/>
  <c r="C34" i="36"/>
  <c r="D34" i="36"/>
  <c r="E34" i="36"/>
  <c r="F34" i="36"/>
  <c r="C35" i="36"/>
  <c r="D35" i="36"/>
  <c r="E35" i="36"/>
  <c r="F35" i="36"/>
  <c r="O35" i="36" s="1"/>
  <c r="C36" i="36"/>
  <c r="D36" i="36"/>
  <c r="E36" i="36"/>
  <c r="F36" i="36"/>
  <c r="C37" i="36"/>
  <c r="D37" i="36"/>
  <c r="E37" i="36"/>
  <c r="F37" i="36"/>
  <c r="O37" i="36" s="1"/>
  <c r="C38" i="36"/>
  <c r="D38" i="36"/>
  <c r="E38" i="36"/>
  <c r="F38" i="36"/>
  <c r="C39" i="36"/>
  <c r="D39" i="36"/>
  <c r="E39" i="36"/>
  <c r="F39" i="36"/>
  <c r="O39" i="36" s="1"/>
  <c r="C40" i="36"/>
  <c r="D40" i="36"/>
  <c r="E40" i="36"/>
  <c r="F40" i="36"/>
  <c r="C41" i="36"/>
  <c r="D41" i="36"/>
  <c r="E41" i="36"/>
  <c r="F41" i="36"/>
  <c r="O41" i="36" s="1"/>
  <c r="C42" i="36"/>
  <c r="D42" i="36"/>
  <c r="E42" i="36"/>
  <c r="F42" i="36"/>
  <c r="C43" i="36"/>
  <c r="D43" i="36"/>
  <c r="E43" i="36"/>
  <c r="F43" i="36"/>
  <c r="O43" i="36" s="1"/>
  <c r="D12" i="36"/>
  <c r="E12" i="36"/>
  <c r="F12" i="36"/>
  <c r="C12" i="36"/>
  <c r="N43" i="36" l="1"/>
  <c r="N41" i="36"/>
  <c r="N39" i="36"/>
  <c r="N37" i="36"/>
  <c r="N35" i="36"/>
  <c r="N33" i="36"/>
  <c r="N31" i="36"/>
  <c r="N29" i="36"/>
  <c r="N27" i="36"/>
  <c r="O29" i="36"/>
  <c r="E44" i="89"/>
  <c r="E37" i="89"/>
  <c r="O27" i="36"/>
  <c r="O25" i="36"/>
  <c r="O23" i="36"/>
  <c r="O21" i="36"/>
  <c r="O19" i="36"/>
  <c r="O17" i="36"/>
  <c r="O15" i="36"/>
  <c r="B39" i="89"/>
  <c r="D38" i="89"/>
  <c r="F45" i="89"/>
  <c r="D36" i="89"/>
  <c r="C39" i="89"/>
  <c r="B37" i="89"/>
  <c r="D39" i="89"/>
  <c r="B45" i="89"/>
  <c r="B41" i="89"/>
  <c r="E41" i="89"/>
  <c r="C37" i="89"/>
  <c r="E39" i="89"/>
  <c r="D37" i="89"/>
  <c r="C41" i="89"/>
  <c r="O13" i="36"/>
  <c r="B43" i="89"/>
  <c r="D47" i="89"/>
  <c r="E49" i="89"/>
  <c r="D43" i="89"/>
  <c r="E50" i="89"/>
  <c r="D50" i="89"/>
  <c r="B49" i="89"/>
  <c r="C46" i="89"/>
  <c r="B40" i="89"/>
  <c r="D48" i="89"/>
  <c r="E46" i="89"/>
  <c r="F38" i="89"/>
  <c r="E40" i="89"/>
  <c r="F37" i="89"/>
  <c r="F42" i="89"/>
  <c r="F47" i="89"/>
  <c r="E48" i="89"/>
  <c r="C48" i="89"/>
  <c r="D40" i="89"/>
  <c r="C42" i="89"/>
  <c r="F40" i="89"/>
  <c r="D44" i="89"/>
  <c r="D49" i="89"/>
  <c r="C43" i="89"/>
  <c r="F49" i="89"/>
  <c r="B42" i="89"/>
  <c r="F43" i="89"/>
  <c r="D42" i="89"/>
  <c r="B46" i="89"/>
  <c r="C38" i="89"/>
  <c r="C36" i="89"/>
  <c r="F44" i="89"/>
  <c r="E38" i="89"/>
  <c r="E36" i="89"/>
  <c r="E43" i="89"/>
  <c r="D45" i="89"/>
  <c r="B44" i="89"/>
  <c r="E42" i="89"/>
  <c r="E47" i="89"/>
  <c r="F39" i="89"/>
  <c r="F46" i="89"/>
  <c r="D46" i="89"/>
  <c r="C40" i="89"/>
  <c r="F36" i="89"/>
  <c r="C45" i="89"/>
  <c r="B47" i="89"/>
  <c r="E45" i="89"/>
  <c r="C44" i="89"/>
  <c r="C49" i="89"/>
  <c r="D41" i="89"/>
  <c r="F48" i="89"/>
  <c r="B48" i="89"/>
  <c r="F41" i="89"/>
  <c r="C50" i="89"/>
  <c r="B50" i="89"/>
  <c r="B36" i="89"/>
  <c r="C47" i="89"/>
  <c r="B38" i="89"/>
  <c r="F50" i="89"/>
  <c r="N25" i="36"/>
  <c r="N23" i="36"/>
  <c r="N21" i="36"/>
  <c r="N19" i="36"/>
  <c r="N17" i="36"/>
  <c r="N15" i="36"/>
  <c r="N13" i="36"/>
  <c r="O42" i="36"/>
  <c r="O40" i="36"/>
  <c r="O38" i="36"/>
  <c r="O36" i="36"/>
  <c r="O34" i="36"/>
  <c r="O32" i="36"/>
  <c r="O30" i="36"/>
  <c r="O28" i="36"/>
  <c r="O26" i="36"/>
  <c r="R11" i="34"/>
  <c r="O24" i="36"/>
  <c r="O22" i="36"/>
  <c r="O20" i="36"/>
  <c r="O18" i="36"/>
  <c r="O16" i="36"/>
  <c r="O14" i="36"/>
  <c r="N42" i="36"/>
  <c r="N40" i="36"/>
  <c r="N38" i="36"/>
  <c r="N36" i="36"/>
  <c r="N34" i="36"/>
  <c r="N32" i="36"/>
  <c r="N30" i="36"/>
  <c r="N28" i="36"/>
  <c r="N26" i="36"/>
  <c r="N24" i="36"/>
  <c r="N22" i="36"/>
  <c r="N20" i="36"/>
  <c r="N18" i="36"/>
  <c r="N16" i="36"/>
  <c r="N14" i="36"/>
  <c r="O12" i="36"/>
  <c r="N12" i="36"/>
  <c r="H17" i="36"/>
  <c r="G39" i="36"/>
  <c r="M39" i="36" s="1"/>
  <c r="G35" i="36"/>
  <c r="M35" i="36" s="1"/>
  <c r="G31" i="36"/>
  <c r="M31" i="36" s="1"/>
  <c r="G27" i="36"/>
  <c r="M27" i="36" s="1"/>
  <c r="G25" i="36"/>
  <c r="M25" i="36" s="1"/>
  <c r="H39" i="36"/>
  <c r="H19" i="36"/>
  <c r="H30" i="36"/>
  <c r="H43" i="36"/>
  <c r="H41" i="36"/>
  <c r="H37" i="36"/>
  <c r="H33" i="36"/>
  <c r="H29" i="36"/>
  <c r="H27" i="36"/>
  <c r="H23" i="36"/>
  <c r="H15" i="36"/>
  <c r="G13" i="36"/>
  <c r="M13" i="36" s="1"/>
  <c r="H16" i="36"/>
  <c r="G19" i="36"/>
  <c r="M19" i="36" s="1"/>
  <c r="G23" i="36"/>
  <c r="M23" i="36" s="1"/>
  <c r="G43" i="36"/>
  <c r="M43" i="36" s="1"/>
  <c r="G29" i="36"/>
  <c r="M29" i="36" s="1"/>
  <c r="G33" i="36"/>
  <c r="M33" i="36" s="1"/>
  <c r="G21" i="36"/>
  <c r="M21" i="36" s="1"/>
  <c r="G17" i="36"/>
  <c r="M17" i="36" s="1"/>
  <c r="G15" i="36"/>
  <c r="M15" i="36" s="1"/>
  <c r="G40" i="36"/>
  <c r="M40" i="36" s="1"/>
  <c r="G38" i="36"/>
  <c r="M38" i="36" s="1"/>
  <c r="G32" i="36"/>
  <c r="M32" i="36" s="1"/>
  <c r="G30" i="36"/>
  <c r="M30" i="36" s="1"/>
  <c r="G28" i="36"/>
  <c r="M28" i="36" s="1"/>
  <c r="G26" i="36"/>
  <c r="M26" i="36" s="1"/>
  <c r="H13" i="36"/>
  <c r="H40" i="36"/>
  <c r="G24" i="36"/>
  <c r="M24" i="36" s="1"/>
  <c r="G22" i="36"/>
  <c r="M22" i="36" s="1"/>
  <c r="G20" i="36"/>
  <c r="M20" i="36" s="1"/>
  <c r="G18" i="36"/>
  <c r="M18" i="36" s="1"/>
  <c r="G16" i="36"/>
  <c r="M16" i="36" s="1"/>
  <c r="G14" i="36"/>
  <c r="M14" i="36" s="1"/>
  <c r="G41" i="36"/>
  <c r="M41" i="36" s="1"/>
  <c r="G37" i="36"/>
  <c r="M37" i="36" s="1"/>
  <c r="H35" i="36"/>
  <c r="H31" i="36"/>
  <c r="H25" i="36"/>
  <c r="H21" i="36"/>
  <c r="H42" i="36"/>
  <c r="H38" i="36"/>
  <c r="H36" i="36"/>
  <c r="H34" i="36"/>
  <c r="H32" i="36"/>
  <c r="H28" i="36"/>
  <c r="H26" i="36"/>
  <c r="H24" i="36"/>
  <c r="H22" i="36"/>
  <c r="H20" i="36"/>
  <c r="H18" i="36"/>
  <c r="H14" i="36"/>
  <c r="G12" i="36"/>
  <c r="M12" i="36" s="1"/>
  <c r="H12" i="36"/>
  <c r="G42" i="36"/>
  <c r="M42" i="36" s="1"/>
  <c r="G36" i="36"/>
  <c r="M36" i="36" s="1"/>
  <c r="G34" i="36"/>
  <c r="M34" i="36" s="1"/>
  <c r="H37" i="89" l="1"/>
  <c r="H39" i="89"/>
  <c r="H45" i="89"/>
  <c r="H38" i="89"/>
  <c r="H41" i="89"/>
  <c r="H48" i="89"/>
  <c r="H50" i="89"/>
  <c r="H42" i="89"/>
  <c r="H40" i="89"/>
  <c r="H47" i="89"/>
  <c r="H49" i="89"/>
  <c r="H43" i="89"/>
  <c r="H44" i="89"/>
  <c r="H46" i="89"/>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E38" i="31" l="1"/>
  <c r="E30" i="31"/>
  <c r="E22" i="31"/>
  <c r="E14" i="31"/>
  <c r="E37" i="31"/>
  <c r="E29" i="31"/>
  <c r="E21" i="31"/>
  <c r="E13" i="31"/>
  <c r="E12" i="31"/>
  <c r="E36" i="31"/>
  <c r="E28" i="31"/>
  <c r="E20" i="31"/>
  <c r="E43" i="31"/>
  <c r="E35" i="31"/>
  <c r="E27" i="31"/>
  <c r="E19" i="31"/>
  <c r="E42" i="31"/>
  <c r="E34" i="31"/>
  <c r="E26" i="31"/>
  <c r="E18" i="31"/>
  <c r="E41" i="31"/>
  <c r="E33" i="31"/>
  <c r="E25" i="31"/>
  <c r="E17" i="31"/>
  <c r="E40" i="31"/>
  <c r="E32" i="31"/>
  <c r="E24" i="31"/>
  <c r="E16" i="31"/>
  <c r="E39" i="31"/>
  <c r="E31" i="31"/>
  <c r="E23" i="31"/>
  <c r="E15" i="31"/>
  <c r="F29" i="31"/>
  <c r="F43" i="31"/>
  <c r="F35" i="31"/>
  <c r="F27" i="31"/>
  <c r="F19" i="31"/>
  <c r="F42" i="31"/>
  <c r="F34" i="31"/>
  <c r="F26" i="31"/>
  <c r="F18" i="31"/>
  <c r="F25" i="31"/>
  <c r="F17" i="31"/>
  <c r="F33" i="31"/>
  <c r="F40" i="31"/>
  <c r="F32" i="31"/>
  <c r="F24" i="31"/>
  <c r="F16" i="31"/>
  <c r="F41" i="31"/>
  <c r="F39" i="31"/>
  <c r="F31" i="31"/>
  <c r="F23" i="31"/>
  <c r="F15" i="31"/>
  <c r="F38" i="31"/>
  <c r="F30" i="31"/>
  <c r="F22" i="31"/>
  <c r="F14" i="31"/>
  <c r="F37" i="31"/>
  <c r="F21" i="31"/>
  <c r="F13" i="31"/>
  <c r="F12" i="31"/>
  <c r="F36" i="31"/>
  <c r="F28" i="31"/>
  <c r="F20" i="31"/>
  <c r="C43" i="30"/>
  <c r="E48" i="28"/>
  <c r="E49" i="28"/>
  <c r="E50" i="28"/>
  <c r="E51" i="28"/>
  <c r="E52" i="28"/>
  <c r="E53" i="28"/>
  <c r="E54" i="28"/>
  <c r="E55" i="28"/>
  <c r="E47" i="28"/>
  <c r="D49" i="28"/>
  <c r="D50" i="28"/>
  <c r="D51" i="28"/>
  <c r="D52" i="28"/>
  <c r="D53" i="28"/>
  <c r="D54" i="28"/>
  <c r="D55" i="28"/>
  <c r="D47" i="28"/>
  <c r="C48" i="28"/>
  <c r="C49" i="28"/>
  <c r="C50" i="28"/>
  <c r="C51" i="28"/>
  <c r="C52" i="28"/>
  <c r="C53" i="28"/>
  <c r="C54" i="28"/>
  <c r="C55" i="28"/>
  <c r="B48" i="28"/>
  <c r="B49" i="28"/>
  <c r="B50" i="28"/>
  <c r="B51" i="28"/>
  <c r="B52" i="28"/>
  <c r="B53" i="28"/>
  <c r="B54" i="28"/>
  <c r="B55" i="28"/>
  <c r="C47" i="28"/>
  <c r="B47" i="28"/>
  <c r="C46" i="28"/>
  <c r="F13" i="124" l="1"/>
  <c r="A35" i="22"/>
  <c r="A31" i="25" l="1"/>
  <c r="A24" i="25" l="1"/>
  <c r="B35" i="22"/>
  <c r="D35" i="22"/>
  <c r="E35" i="22"/>
  <c r="C35" i="22"/>
  <c r="A26" i="23"/>
  <c r="A33" i="23"/>
  <c r="F35" i="22" l="1"/>
  <c r="F64" i="7" l="1"/>
  <c r="F11" i="124"/>
  <c r="F12" i="124"/>
  <c r="F14" i="124"/>
  <c r="F10" i="124"/>
  <c r="D16" i="126" l="1"/>
  <c r="I69" i="7"/>
  <c r="I58" i="7"/>
  <c r="J58" i="7" s="1"/>
  <c r="I50" i="7"/>
  <c r="J50" i="7" s="1"/>
  <c r="I49" i="7"/>
  <c r="J49" i="7" s="1"/>
  <c r="I52" i="7"/>
  <c r="J52" i="7" s="1"/>
  <c r="H16" i="126"/>
  <c r="I15" i="126"/>
  <c r="E16" i="126"/>
  <c r="B16" i="126"/>
  <c r="I12" i="126"/>
  <c r="I53" i="7"/>
  <c r="J53" i="7" s="1"/>
  <c r="G16" i="126"/>
  <c r="I56" i="7"/>
  <c r="J56" i="7" s="1"/>
  <c r="C42" i="34"/>
  <c r="I48" i="7"/>
  <c r="J48" i="7" s="1"/>
  <c r="F70" i="7"/>
  <c r="F9" i="7" s="1"/>
  <c r="C16" i="126"/>
  <c r="I59" i="7"/>
  <c r="J59" i="7" s="1"/>
  <c r="I54" i="7"/>
  <c r="J54" i="7" s="1"/>
  <c r="J73" i="7"/>
  <c r="I63" i="7"/>
  <c r="J63" i="7" s="1"/>
  <c r="I68" i="7"/>
  <c r="I55" i="7"/>
  <c r="J55" i="7" s="1"/>
  <c r="J47" i="7"/>
  <c r="I51" i="7"/>
  <c r="J51" i="7" s="1"/>
  <c r="I13" i="126"/>
  <c r="F16" i="126"/>
  <c r="A33" i="11"/>
  <c r="A26" i="11"/>
  <c r="G70" i="7"/>
  <c r="G9" i="7" s="1"/>
  <c r="G64" i="7"/>
  <c r="G14" i="125"/>
  <c r="G23" i="125"/>
  <c r="G24" i="125"/>
  <c r="G40" i="125"/>
  <c r="G17" i="125"/>
  <c r="G25" i="125"/>
  <c r="G33" i="125"/>
  <c r="G41" i="125"/>
  <c r="G13" i="125"/>
  <c r="G26" i="125"/>
  <c r="G27" i="125"/>
  <c r="G43" i="125"/>
  <c r="G44" i="125"/>
  <c r="G19" i="125"/>
  <c r="G35" i="125"/>
  <c r="G20" i="125"/>
  <c r="G28" i="125"/>
  <c r="G36" i="125"/>
  <c r="G42" i="125"/>
  <c r="G18" i="125"/>
  <c r="G21" i="125"/>
  <c r="G29" i="125"/>
  <c r="G37" i="125"/>
  <c r="G22" i="125"/>
  <c r="G34" i="125"/>
  <c r="G30" i="125"/>
  <c r="G15" i="125"/>
  <c r="G39" i="125"/>
  <c r="G38" i="125"/>
  <c r="G31" i="125"/>
  <c r="G16" i="125"/>
  <c r="G32" i="125"/>
  <c r="A34" i="125"/>
  <c r="I70" i="7" l="1"/>
  <c r="I16" i="126"/>
  <c r="H70" i="7"/>
  <c r="H9" i="7" s="1"/>
  <c r="H64" i="7"/>
  <c r="A27" i="125"/>
  <c r="B58" i="125"/>
  <c r="A59" i="125"/>
  <c r="A58" i="125"/>
  <c r="G71" i="125"/>
  <c r="G10" i="125" s="1"/>
  <c r="F10" i="125" l="1"/>
  <c r="E10" i="125"/>
  <c r="C10" i="125"/>
  <c r="D18" i="40" l="1"/>
  <c r="F12" i="17"/>
  <c r="D31" i="40" l="1"/>
  <c r="D32" i="40"/>
  <c r="D34" i="40"/>
  <c r="D35" i="40"/>
  <c r="D37" i="40"/>
  <c r="D33" i="40"/>
  <c r="D38" i="40"/>
  <c r="D36" i="40"/>
  <c r="D30" i="40"/>
  <c r="E12" i="17"/>
  <c r="D39" i="40" l="1"/>
  <c r="A36" i="22" l="1"/>
  <c r="A34" i="22"/>
  <c r="B36" i="22" l="1"/>
  <c r="E34" i="22"/>
  <c r="C36" i="22" l="1"/>
  <c r="D36" i="22"/>
  <c r="E36" i="22"/>
  <c r="D34" i="22"/>
  <c r="C34" i="22"/>
  <c r="B34" i="22"/>
  <c r="F36" i="22" l="1"/>
  <c r="F34" i="22"/>
  <c r="J68" i="7" l="1"/>
  <c r="I43" i="7"/>
  <c r="J43" i="7" s="1"/>
  <c r="I42" i="7"/>
  <c r="J42" i="7" s="1"/>
  <c r="I41" i="7"/>
  <c r="J41" i="7" s="1"/>
  <c r="I40" i="7"/>
  <c r="J40" i="7" s="1"/>
  <c r="I39" i="7"/>
  <c r="J39" i="7" s="1"/>
  <c r="I38" i="7"/>
  <c r="J38" i="7" s="1"/>
  <c r="I37" i="7"/>
  <c r="J37" i="7" s="1"/>
  <c r="I36" i="7"/>
  <c r="J36" i="7" s="1"/>
  <c r="I35" i="7"/>
  <c r="J35" i="7" s="1"/>
  <c r="I34" i="7"/>
  <c r="J34" i="7" s="1"/>
  <c r="I33" i="7"/>
  <c r="J33" i="7" s="1"/>
  <c r="I32" i="7"/>
  <c r="J32" i="7" s="1"/>
  <c r="I31" i="7"/>
  <c r="J31" i="7" s="1"/>
  <c r="I30" i="7"/>
  <c r="J30" i="7" s="1"/>
  <c r="J29" i="7"/>
  <c r="I28" i="7"/>
  <c r="J28" i="7" s="1"/>
  <c r="I26" i="7"/>
  <c r="J26" i="7" s="1"/>
  <c r="I25" i="7"/>
  <c r="J25" i="7" s="1"/>
  <c r="I24" i="7"/>
  <c r="J24" i="7" s="1"/>
  <c r="I23" i="7"/>
  <c r="J23" i="7" s="1"/>
  <c r="I22" i="7"/>
  <c r="J22" i="7" s="1"/>
  <c r="I21" i="7"/>
  <c r="J21" i="7" s="1"/>
  <c r="I20" i="7"/>
  <c r="J20" i="7" s="1"/>
  <c r="I19" i="7"/>
  <c r="J19" i="7" s="1"/>
  <c r="I18" i="7"/>
  <c r="J18" i="7" s="1"/>
  <c r="I17" i="7"/>
  <c r="I16" i="7"/>
  <c r="J16" i="7" s="1"/>
  <c r="I15" i="7"/>
  <c r="J15" i="7" s="1"/>
  <c r="I14" i="7"/>
  <c r="J14" i="7" s="1"/>
  <c r="I13" i="7"/>
  <c r="J13" i="7" l="1"/>
  <c r="I44" i="7"/>
  <c r="J17" i="7"/>
  <c r="J69" i="7"/>
  <c r="J12" i="7"/>
  <c r="J10" i="2"/>
  <c r="J44" i="7" l="1"/>
  <c r="J67" i="7"/>
  <c r="J70" i="7" s="1"/>
  <c r="D49" i="19"/>
  <c r="A36" i="19" l="1"/>
  <c r="A47" i="19"/>
  <c r="A46" i="19"/>
  <c r="A45" i="19"/>
  <c r="A43" i="19"/>
  <c r="A42" i="19"/>
  <c r="A41" i="19"/>
  <c r="A40" i="19"/>
  <c r="A39" i="19"/>
  <c r="A38" i="19"/>
  <c r="A37" i="19"/>
  <c r="A44" i="19" l="1"/>
  <c r="H23" i="96" l="1"/>
  <c r="E23" i="96"/>
  <c r="G23" i="96"/>
  <c r="B23" i="96"/>
  <c r="F23" i="96"/>
  <c r="C23" i="96"/>
  <c r="I13" i="93"/>
  <c r="I12" i="93" l="1"/>
  <c r="I11" i="93"/>
  <c r="B19" i="94" l="1"/>
  <c r="H19" i="94"/>
  <c r="B14" i="93"/>
  <c r="I10" i="93"/>
  <c r="I14" i="93" s="1"/>
  <c r="C14" i="93"/>
  <c r="D14" i="93"/>
  <c r="E14" i="93"/>
  <c r="G14" i="93"/>
  <c r="H14" i="93"/>
  <c r="C19" i="94"/>
  <c r="D19" i="94"/>
  <c r="E19" i="94"/>
  <c r="F19" i="94"/>
  <c r="G19" i="94"/>
  <c r="F24" i="101" l="1"/>
  <c r="G24" i="101" s="1"/>
  <c r="F35" i="101"/>
  <c r="H35" i="101" s="1"/>
  <c r="F27" i="101"/>
  <c r="G27" i="101" s="1"/>
  <c r="F36" i="101"/>
  <c r="H36" i="101" s="1"/>
  <c r="F39" i="101"/>
  <c r="H39" i="101" s="1"/>
  <c r="F41" i="101"/>
  <c r="H41" i="101" s="1"/>
  <c r="F25" i="101"/>
  <c r="G25" i="101" s="1"/>
  <c r="F19" i="101"/>
  <c r="G19" i="101" s="1"/>
  <c r="J72" i="12"/>
  <c r="F12" i="101"/>
  <c r="I12" i="101" s="1"/>
  <c r="C44" i="101"/>
  <c r="F34" i="101"/>
  <c r="G34" i="101" s="1"/>
  <c r="F20" i="101"/>
  <c r="G20" i="101" s="1"/>
  <c r="D44" i="101"/>
  <c r="F17" i="101"/>
  <c r="G17" i="101" s="1"/>
  <c r="F40" i="101"/>
  <c r="H40" i="101" s="1"/>
  <c r="F21" i="101"/>
  <c r="G21" i="101" s="1"/>
  <c r="F23" i="101"/>
  <c r="G23" i="101" s="1"/>
  <c r="F43" i="101"/>
  <c r="H43" i="101" s="1"/>
  <c r="F42" i="101"/>
  <c r="H42" i="101" s="1"/>
  <c r="F37" i="101"/>
  <c r="H37" i="101" s="1"/>
  <c r="F29" i="101"/>
  <c r="G29" i="101" s="1"/>
  <c r="F38" i="101"/>
  <c r="H38" i="101" s="1"/>
  <c r="F26" i="101"/>
  <c r="G26" i="101" s="1"/>
  <c r="F13" i="101"/>
  <c r="I13" i="101" s="1"/>
  <c r="F28" i="101"/>
  <c r="G28" i="101" s="1"/>
  <c r="F33" i="101"/>
  <c r="G33" i="101" s="1"/>
  <c r="F14" i="101"/>
  <c r="H14" i="101" s="1"/>
  <c r="F15" i="101"/>
  <c r="I15" i="101" s="1"/>
  <c r="E44" i="101"/>
  <c r="B16" i="17"/>
  <c r="F18" i="101"/>
  <c r="G18" i="101" s="1"/>
  <c r="C16" i="17"/>
  <c r="F16" i="101"/>
  <c r="I16" i="101" s="1"/>
  <c r="F22" i="101"/>
  <c r="G22" i="101" s="1"/>
  <c r="F32" i="101"/>
  <c r="G32" i="101" s="1"/>
  <c r="F30" i="101"/>
  <c r="H30" i="101" s="1"/>
  <c r="F31" i="101"/>
  <c r="I31" i="101" s="1"/>
  <c r="I36" i="101"/>
  <c r="G17" i="94"/>
  <c r="D17" i="94"/>
  <c r="H17" i="94"/>
  <c r="E17" i="94"/>
  <c r="B17" i="94"/>
  <c r="F17" i="94"/>
  <c r="C17" i="94"/>
  <c r="J10" i="93"/>
  <c r="I27" i="101" l="1"/>
  <c r="H27" i="101"/>
  <c r="I39" i="101"/>
  <c r="I35" i="101"/>
  <c r="G38" i="101"/>
  <c r="H24" i="101"/>
  <c r="I24" i="101"/>
  <c r="I25" i="101"/>
  <c r="I32" i="101"/>
  <c r="H18" i="101"/>
  <c r="I17" i="101"/>
  <c r="I30" i="101"/>
  <c r="G37" i="101"/>
  <c r="H25" i="101"/>
  <c r="G41" i="101"/>
  <c r="I37" i="101"/>
  <c r="I41" i="101"/>
  <c r="I20" i="101"/>
  <c r="I42" i="101"/>
  <c r="H20" i="101"/>
  <c r="I28" i="101"/>
  <c r="G42" i="101"/>
  <c r="G30" i="101"/>
  <c r="I43" i="101"/>
  <c r="G14" i="101"/>
  <c r="H13" i="101"/>
  <c r="I14" i="101"/>
  <c r="G43" i="101"/>
  <c r="H26" i="101"/>
  <c r="H33" i="101"/>
  <c r="G39" i="101"/>
  <c r="H32" i="101"/>
  <c r="G13" i="101"/>
  <c r="G16" i="101"/>
  <c r="D16" i="17"/>
  <c r="G12" i="17" s="1"/>
  <c r="I23" i="101"/>
  <c r="H22" i="101"/>
  <c r="H15" i="101"/>
  <c r="I40" i="101"/>
  <c r="G40" i="101"/>
  <c r="G12" i="101"/>
  <c r="H28" i="101"/>
  <c r="H29" i="101"/>
  <c r="H31" i="101"/>
  <c r="G36" i="101"/>
  <c r="H34" i="101"/>
  <c r="H23" i="101"/>
  <c r="I22" i="101"/>
  <c r="I19" i="101"/>
  <c r="H17" i="101"/>
  <c r="I34" i="101"/>
  <c r="F44" i="101"/>
  <c r="H44" i="101" s="1"/>
  <c r="I38" i="101"/>
  <c r="I21" i="101"/>
  <c r="H16" i="101"/>
  <c r="H12" i="101"/>
  <c r="G35" i="101"/>
  <c r="G31" i="101"/>
  <c r="H21" i="101"/>
  <c r="G15" i="101"/>
  <c r="I18" i="101"/>
  <c r="H19" i="101"/>
  <c r="I29" i="101"/>
  <c r="I33" i="101"/>
  <c r="I26" i="101"/>
  <c r="H13" i="94"/>
  <c r="B13" i="94"/>
  <c r="J14" i="93"/>
  <c r="J13" i="93"/>
  <c r="J12" i="93"/>
  <c r="J11" i="93"/>
  <c r="C13" i="94"/>
  <c r="D13" i="94"/>
  <c r="E13" i="94"/>
  <c r="F13" i="94"/>
  <c r="G13" i="94"/>
  <c r="F16" i="17" l="1"/>
  <c r="G44" i="101"/>
  <c r="I44" i="101"/>
  <c r="H11" i="94"/>
  <c r="C11" i="94"/>
  <c r="D11" i="94"/>
  <c r="E11" i="94"/>
  <c r="F11" i="94"/>
  <c r="G11" i="94"/>
  <c r="F46" i="35" l="1"/>
  <c r="L46" i="35" s="1"/>
  <c r="R33" i="34"/>
  <c r="S33" i="34" s="1"/>
  <c r="R41" i="34"/>
  <c r="S41" i="34" s="1"/>
  <c r="R14" i="34"/>
  <c r="S14" i="34" s="1"/>
  <c r="R27" i="34"/>
  <c r="S27" i="34" s="1"/>
  <c r="R18" i="34"/>
  <c r="S18" i="34" s="1"/>
  <c r="R10" i="34"/>
  <c r="R22" i="34"/>
  <c r="S22" i="34" s="1"/>
  <c r="R13" i="34"/>
  <c r="S13" i="34" s="1"/>
  <c r="R12" i="34"/>
  <c r="S12" i="34" s="1"/>
  <c r="R20" i="34"/>
  <c r="S20" i="34" s="1"/>
  <c r="R28" i="34"/>
  <c r="S28" i="34" s="1"/>
  <c r="R36" i="34"/>
  <c r="S36" i="34" s="1"/>
  <c r="S11" i="34"/>
  <c r="R19" i="34"/>
  <c r="S19" i="34" s="1"/>
  <c r="R35" i="34"/>
  <c r="S35" i="34" s="1"/>
  <c r="R26" i="34"/>
  <c r="S26" i="34" s="1"/>
  <c r="R34" i="34"/>
  <c r="S34" i="34" s="1"/>
  <c r="R17" i="34"/>
  <c r="S17" i="34" s="1"/>
  <c r="R25" i="34"/>
  <c r="S25" i="34" s="1"/>
  <c r="R16" i="34"/>
  <c r="S16" i="34" s="1"/>
  <c r="R24" i="34"/>
  <c r="S24" i="34" s="1"/>
  <c r="R32" i="34"/>
  <c r="S32" i="34" s="1"/>
  <c r="R40" i="34"/>
  <c r="S40" i="34" s="1"/>
  <c r="R15" i="34"/>
  <c r="S15" i="34" s="1"/>
  <c r="R23" i="34"/>
  <c r="S23" i="34" s="1"/>
  <c r="R31" i="34"/>
  <c r="S31" i="34" s="1"/>
  <c r="R39" i="34"/>
  <c r="S39" i="34" s="1"/>
  <c r="R30" i="34"/>
  <c r="S30" i="34" s="1"/>
  <c r="R38" i="34"/>
  <c r="S38" i="34" s="1"/>
  <c r="R21" i="34"/>
  <c r="S21" i="34" s="1"/>
  <c r="R29" i="34"/>
  <c r="S29" i="34" s="1"/>
  <c r="R37" i="34"/>
  <c r="S37" i="34" s="1"/>
  <c r="S10" i="34" l="1"/>
  <c r="R42" i="34"/>
  <c r="G43" i="30"/>
  <c r="F43" i="30"/>
  <c r="H43" i="30"/>
  <c r="E44" i="31" s="1"/>
  <c r="E43" i="30"/>
  <c r="C44" i="31" s="1"/>
  <c r="D44" i="31" s="1"/>
  <c r="F44" i="31" l="1"/>
  <c r="D25" i="89"/>
  <c r="B25" i="89"/>
  <c r="F25" i="89"/>
  <c r="E25" i="89"/>
  <c r="C25" i="89"/>
  <c r="E40" i="18" l="1"/>
  <c r="F31" i="18"/>
  <c r="F40" i="18"/>
  <c r="H25" i="23"/>
  <c r="H19" i="23"/>
  <c r="H24" i="23"/>
  <c r="H14" i="23"/>
  <c r="H38" i="23"/>
  <c r="H37" i="23"/>
  <c r="H29" i="23"/>
  <c r="H32" i="23"/>
  <c r="H35" i="23"/>
  <c r="H41" i="23"/>
  <c r="H42" i="23"/>
  <c r="H12" i="23"/>
  <c r="H18" i="23"/>
  <c r="H17" i="23"/>
  <c r="H31" i="23"/>
  <c r="H34" i="23"/>
  <c r="H28" i="23"/>
  <c r="H39" i="23"/>
  <c r="H30" i="23"/>
  <c r="H33" i="23"/>
  <c r="H26" i="23"/>
  <c r="H40" i="23"/>
  <c r="H21" i="23"/>
  <c r="H20" i="23"/>
  <c r="H16" i="23"/>
  <c r="H43" i="23"/>
  <c r="H22" i="23"/>
  <c r="H13" i="23"/>
  <c r="H15" i="23"/>
  <c r="H36" i="23"/>
  <c r="H27" i="23"/>
  <c r="H23" i="23"/>
  <c r="F43" i="9"/>
  <c r="F42" i="9"/>
  <c r="F42" i="11"/>
  <c r="H25" i="89"/>
  <c r="G51" i="89" s="1"/>
  <c r="B51" i="89" l="1"/>
  <c r="D51" i="89"/>
  <c r="F51" i="89"/>
  <c r="E51" i="89"/>
  <c r="C51" i="89"/>
  <c r="H36" i="89"/>
  <c r="H51" i="89" l="1"/>
  <c r="C57" i="35"/>
  <c r="F47" i="35" l="1"/>
  <c r="L47" i="35" s="1"/>
  <c r="G47" i="35"/>
  <c r="F49" i="35"/>
  <c r="L49" i="35" s="1"/>
  <c r="G49" i="35"/>
  <c r="G51" i="35"/>
  <c r="F53" i="35"/>
  <c r="L53" i="35" s="1"/>
  <c r="G53" i="35"/>
  <c r="G55" i="35"/>
  <c r="G43" i="35"/>
  <c r="F43" i="35"/>
  <c r="L43" i="35" s="1"/>
  <c r="G45" i="35"/>
  <c r="F51" i="35"/>
  <c r="L51" i="35" s="1"/>
  <c r="F42" i="35"/>
  <c r="L42" i="35" s="1"/>
  <c r="G42" i="35" l="1"/>
  <c r="F56" i="35"/>
  <c r="L56" i="35" s="1"/>
  <c r="F55" i="35"/>
  <c r="L55" i="35" s="1"/>
  <c r="F54" i="35"/>
  <c r="L54" i="35" s="1"/>
  <c r="F52" i="35"/>
  <c r="L52" i="35" s="1"/>
  <c r="F50" i="35"/>
  <c r="L50" i="35" s="1"/>
  <c r="F48" i="35"/>
  <c r="L48" i="35" s="1"/>
  <c r="F45" i="35"/>
  <c r="L45" i="35" s="1"/>
  <c r="F44" i="35"/>
  <c r="L44" i="35" s="1"/>
  <c r="G56" i="35"/>
  <c r="G54" i="35"/>
  <c r="G52" i="35"/>
  <c r="G50" i="35"/>
  <c r="G48" i="35"/>
  <c r="G46" i="35"/>
  <c r="G44" i="35"/>
  <c r="F57" i="35" l="1"/>
  <c r="G57" i="35"/>
  <c r="S42" i="34" l="1"/>
  <c r="G10" i="40" l="1"/>
  <c r="E9" i="13"/>
  <c r="E21" i="16"/>
  <c r="F31" i="16"/>
  <c r="E36" i="16"/>
  <c r="E32" i="18"/>
  <c r="E31" i="16"/>
  <c r="F32" i="18"/>
  <c r="F36" i="18"/>
  <c r="E31" i="18"/>
  <c r="C9" i="13"/>
  <c r="D9" i="13"/>
  <c r="F9" i="13"/>
  <c r="C44" i="23" l="1"/>
  <c r="J48" i="8"/>
  <c r="I44" i="8"/>
  <c r="J72" i="8"/>
  <c r="G44" i="23"/>
  <c r="F44" i="23"/>
  <c r="D44" i="23"/>
  <c r="E44" i="23"/>
  <c r="H44" i="23" l="1"/>
  <c r="F23" i="9" l="1"/>
  <c r="F21" i="9"/>
  <c r="H10" i="3" l="1"/>
  <c r="H11" i="3"/>
  <c r="H12" i="3"/>
  <c r="H13" i="3"/>
  <c r="A33" i="22"/>
  <c r="H14" i="3" l="1"/>
  <c r="C33" i="22"/>
  <c r="J70" i="12" l="1"/>
  <c r="E33" i="22"/>
  <c r="B33" i="22"/>
  <c r="D33" i="22"/>
  <c r="F33" i="22" l="1"/>
  <c r="H42" i="25" l="1"/>
  <c r="G42" i="25"/>
  <c r="F42" i="25"/>
  <c r="E42" i="25"/>
  <c r="D42" i="25"/>
  <c r="C42" i="25"/>
  <c r="I42" i="25" l="1"/>
  <c r="A32" i="22" l="1"/>
  <c r="A31" i="22"/>
  <c r="E10" i="16" l="1"/>
  <c r="E14" i="3"/>
  <c r="C44" i="36"/>
  <c r="J44" i="36" l="1"/>
  <c r="P42" i="34"/>
  <c r="I44" i="36"/>
  <c r="Q42" i="34"/>
  <c r="D44" i="36"/>
  <c r="N44" i="36" s="1"/>
  <c r="K44" i="36"/>
  <c r="L44" i="36"/>
  <c r="G44" i="36" l="1"/>
  <c r="M44" i="36" s="1"/>
  <c r="H44" i="36"/>
  <c r="G13" i="40" l="1"/>
  <c r="G17" i="40"/>
  <c r="C18" i="40"/>
  <c r="C30" i="40" s="1"/>
  <c r="F18" i="40"/>
  <c r="F37" i="40" s="1"/>
  <c r="B18" i="40"/>
  <c r="G14" i="40"/>
  <c r="G12" i="40"/>
  <c r="E18" i="40"/>
  <c r="G11" i="40"/>
  <c r="G15" i="40"/>
  <c r="G16" i="40"/>
  <c r="G18" i="40" l="1"/>
  <c r="B33" i="40"/>
  <c r="B30" i="40"/>
  <c r="F36" i="40"/>
  <c r="C34" i="40"/>
  <c r="C33" i="40"/>
  <c r="C38" i="40"/>
  <c r="B36" i="40"/>
  <c r="B31" i="40"/>
  <c r="B37" i="40"/>
  <c r="B32" i="40"/>
  <c r="B34" i="40"/>
  <c r="C32" i="40"/>
  <c r="F30" i="40"/>
  <c r="C37" i="40"/>
  <c r="C35" i="40"/>
  <c r="C31" i="40"/>
  <c r="B38" i="40"/>
  <c r="C36" i="40"/>
  <c r="B35" i="40"/>
  <c r="F34" i="40"/>
  <c r="F31" i="40"/>
  <c r="F38" i="40"/>
  <c r="F35" i="40"/>
  <c r="F32" i="40"/>
  <c r="F33" i="40"/>
  <c r="E32" i="40"/>
  <c r="E37" i="40"/>
  <c r="E33" i="40"/>
  <c r="E38" i="40"/>
  <c r="E35" i="40"/>
  <c r="E30" i="40"/>
  <c r="E34" i="40"/>
  <c r="E36" i="40"/>
  <c r="E31" i="40"/>
  <c r="A28" i="22"/>
  <c r="A29" i="22"/>
  <c r="A30" i="22"/>
  <c r="A27" i="22"/>
  <c r="G33" i="40" l="1"/>
  <c r="G31" i="40"/>
  <c r="C39" i="40"/>
  <c r="G35" i="40"/>
  <c r="B39" i="40"/>
  <c r="F39" i="40"/>
  <c r="G32" i="40"/>
  <c r="G37" i="40"/>
  <c r="E39" i="40"/>
  <c r="G34" i="40"/>
  <c r="G30" i="40"/>
  <c r="G38" i="40"/>
  <c r="G36" i="40"/>
  <c r="B27" i="22"/>
  <c r="C28" i="22"/>
  <c r="D29" i="22"/>
  <c r="D32" i="22" l="1"/>
  <c r="C32" i="22"/>
  <c r="E32" i="22"/>
  <c r="B32" i="22"/>
  <c r="D31" i="22"/>
  <c r="C31" i="22"/>
  <c r="E31" i="22"/>
  <c r="B31" i="22"/>
  <c r="E30" i="22"/>
  <c r="C30" i="22"/>
  <c r="B30" i="22"/>
  <c r="G39" i="40"/>
  <c r="E29" i="22"/>
  <c r="B29" i="22"/>
  <c r="C27" i="22"/>
  <c r="D28" i="22"/>
  <c r="E27" i="22"/>
  <c r="C29" i="22"/>
  <c r="D27" i="22"/>
  <c r="D30" i="22"/>
  <c r="E28" i="22"/>
  <c r="B28" i="22"/>
  <c r="F31" i="22" l="1"/>
  <c r="F32" i="22"/>
  <c r="F30" i="22"/>
  <c r="F29" i="22"/>
  <c r="F27" i="22"/>
  <c r="F41" i="9" l="1"/>
  <c r="F37" i="9"/>
  <c r="F33" i="9"/>
  <c r="F29" i="9"/>
  <c r="F25" i="9"/>
  <c r="F19" i="9"/>
  <c r="F15" i="9"/>
  <c r="F10" i="18"/>
  <c r="E44" i="18"/>
  <c r="F38" i="9"/>
  <c r="F34" i="9"/>
  <c r="F31" i="9"/>
  <c r="F30" i="9"/>
  <c r="F27" i="9"/>
  <c r="F26" i="9"/>
  <c r="F22" i="9"/>
  <c r="F20" i="9"/>
  <c r="F17" i="9"/>
  <c r="F16" i="9"/>
  <c r="F13" i="9"/>
  <c r="J51" i="8"/>
  <c r="J58" i="8"/>
  <c r="J50" i="8"/>
  <c r="J67" i="8"/>
  <c r="J59" i="8"/>
  <c r="F12" i="9"/>
  <c r="J54" i="8"/>
  <c r="J63" i="8"/>
  <c r="J55" i="8"/>
  <c r="J61" i="8"/>
  <c r="J53" i="8"/>
  <c r="J49" i="8"/>
  <c r="G44" i="8"/>
  <c r="J47" i="8"/>
  <c r="J60" i="8"/>
  <c r="J56" i="8"/>
  <c r="J52" i="8"/>
  <c r="D15" i="17"/>
  <c r="E15" i="17" s="1"/>
  <c r="E41" i="18"/>
  <c r="J68" i="8"/>
  <c r="F39" i="9"/>
  <c r="F35" i="9"/>
  <c r="F40" i="9"/>
  <c r="F36" i="9"/>
  <c r="F32" i="9"/>
  <c r="F28" i="9"/>
  <c r="F24" i="9"/>
  <c r="F18" i="9"/>
  <c r="F14" i="9"/>
  <c r="F14" i="18"/>
  <c r="F44" i="18"/>
  <c r="F42" i="18"/>
  <c r="F12" i="18"/>
  <c r="E16" i="18"/>
  <c r="E13" i="18"/>
  <c r="E34" i="18"/>
  <c r="E35" i="18"/>
  <c r="F20" i="18"/>
  <c r="F16" i="18"/>
  <c r="F15" i="18"/>
  <c r="E43" i="18"/>
  <c r="F46" i="18"/>
  <c r="E45" i="18"/>
  <c r="F45" i="18"/>
  <c r="F43" i="18"/>
  <c r="E36" i="18"/>
  <c r="F35" i="18"/>
  <c r="F34" i="18"/>
  <c r="F22" i="18"/>
  <c r="F10" i="16"/>
  <c r="E14" i="18"/>
  <c r="E10" i="18"/>
  <c r="F13" i="18"/>
  <c r="E12" i="18"/>
  <c r="E20" i="18"/>
  <c r="E22" i="18"/>
  <c r="E42" i="18"/>
  <c r="E46" i="18"/>
  <c r="E11" i="18"/>
  <c r="E15" i="18"/>
  <c r="E21" i="18"/>
  <c r="E33" i="18"/>
  <c r="F11" i="18"/>
  <c r="F21" i="18"/>
  <c r="F33" i="18"/>
  <c r="F41" i="18"/>
  <c r="C64" i="12"/>
  <c r="B55" i="16" l="1"/>
  <c r="B57" i="16" s="1"/>
  <c r="J44" i="8"/>
  <c r="C57" i="16"/>
  <c r="F15" i="17"/>
  <c r="E37" i="18"/>
  <c r="F17" i="18"/>
  <c r="F47" i="18"/>
  <c r="F37" i="18"/>
  <c r="E17" i="18"/>
  <c r="E23" i="18"/>
  <c r="F23" i="18"/>
  <c r="E47" i="18"/>
  <c r="D57" i="16" l="1"/>
  <c r="B14" i="3"/>
  <c r="F44" i="36" l="1"/>
  <c r="E44" i="36"/>
  <c r="K57" i="35"/>
  <c r="J57" i="35"/>
  <c r="I57" i="35"/>
  <c r="H57" i="35"/>
  <c r="E57" i="35"/>
  <c r="D57" i="35"/>
  <c r="B57" i="35"/>
  <c r="M57" i="35" s="1"/>
  <c r="O42" i="34"/>
  <c r="N42" i="34"/>
  <c r="M42" i="34"/>
  <c r="L42" i="34"/>
  <c r="K42" i="34"/>
  <c r="J42" i="34"/>
  <c r="H42" i="34"/>
  <c r="G42" i="34"/>
  <c r="F42" i="34"/>
  <c r="E42" i="34"/>
  <c r="D42" i="34"/>
  <c r="P57" i="35" l="1"/>
  <c r="O57" i="35"/>
  <c r="N57" i="35"/>
  <c r="L57" i="35"/>
  <c r="O44" i="36"/>
  <c r="E53" i="16" l="1"/>
  <c r="F52" i="16"/>
  <c r="E52" i="16"/>
  <c r="F51" i="16"/>
  <c r="E51" i="16"/>
  <c r="F50" i="16"/>
  <c r="E50" i="16"/>
  <c r="F46" i="16"/>
  <c r="E46" i="16"/>
  <c r="F45" i="16"/>
  <c r="E45" i="16"/>
  <c r="F44" i="16"/>
  <c r="E44" i="16"/>
  <c r="F43" i="16"/>
  <c r="E43" i="16"/>
  <c r="F42" i="16"/>
  <c r="E42" i="16"/>
  <c r="F41" i="16"/>
  <c r="E41" i="16"/>
  <c r="F36" i="16"/>
  <c r="F35" i="16"/>
  <c r="E35" i="16"/>
  <c r="F34" i="16"/>
  <c r="E34" i="16"/>
  <c r="F33" i="16"/>
  <c r="E33" i="16"/>
  <c r="F32" i="16"/>
  <c r="E32" i="16"/>
  <c r="F22" i="16"/>
  <c r="E22" i="16"/>
  <c r="F21" i="16"/>
  <c r="F20" i="16"/>
  <c r="E20" i="16"/>
  <c r="F16" i="16"/>
  <c r="E16" i="16"/>
  <c r="F15" i="16"/>
  <c r="E15" i="16"/>
  <c r="F14" i="16"/>
  <c r="E14" i="16"/>
  <c r="F13" i="16"/>
  <c r="E13" i="16"/>
  <c r="F12" i="16"/>
  <c r="E12" i="16"/>
  <c r="F11" i="16"/>
  <c r="E11" i="16"/>
  <c r="C70" i="12"/>
  <c r="C9" i="12" s="1"/>
  <c r="J9" i="12" s="1"/>
  <c r="E44" i="11"/>
  <c r="E9" i="11" s="1"/>
  <c r="D44" i="11"/>
  <c r="D9" i="11" s="1"/>
  <c r="C44" i="11"/>
  <c r="C9" i="11" s="1"/>
  <c r="F43"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E44" i="9"/>
  <c r="E9" i="9" s="1"/>
  <c r="D44" i="9"/>
  <c r="D9" i="9" s="1"/>
  <c r="C44" i="9"/>
  <c r="C9" i="9" s="1"/>
  <c r="I70" i="8"/>
  <c r="H70" i="8"/>
  <c r="G70" i="8"/>
  <c r="F70" i="8"/>
  <c r="E70" i="8"/>
  <c r="D70" i="8"/>
  <c r="C70" i="8"/>
  <c r="J69" i="8"/>
  <c r="H44" i="8"/>
  <c r="F44" i="8"/>
  <c r="E44" i="8"/>
  <c r="D44" i="8"/>
  <c r="C44" i="8"/>
  <c r="E70" i="7"/>
  <c r="D70" i="7"/>
  <c r="D9" i="7" s="1"/>
  <c r="C70" i="7"/>
  <c r="D64" i="7"/>
  <c r="F14" i="3"/>
  <c r="G14" i="3"/>
  <c r="F44" i="11" l="1"/>
  <c r="F9" i="11" s="1"/>
  <c r="F28" i="22"/>
  <c r="E13" i="17"/>
  <c r="F13" i="17"/>
  <c r="I12" i="3"/>
  <c r="F44" i="9"/>
  <c r="F9" i="9" s="1"/>
  <c r="E17" i="16"/>
  <c r="F53" i="16"/>
  <c r="F47" i="16"/>
  <c r="F37" i="16"/>
  <c r="E23" i="16"/>
  <c r="C14" i="3"/>
  <c r="J70" i="8"/>
  <c r="E47" i="16"/>
  <c r="E37" i="16"/>
  <c r="F23" i="16"/>
  <c r="D11" i="17"/>
  <c r="G11" i="17" s="1"/>
  <c r="D14" i="17"/>
  <c r="D10" i="17"/>
  <c r="G10" i="17" s="1"/>
  <c r="F17" i="16"/>
  <c r="I13" i="3"/>
  <c r="I10" i="3"/>
  <c r="I11" i="3"/>
  <c r="C49" i="19" l="1"/>
  <c r="E49" i="19"/>
  <c r="F49" i="19"/>
  <c r="E11" i="17"/>
  <c r="F11" i="17"/>
  <c r="G16" i="17"/>
  <c r="G15" i="17"/>
  <c r="G14" i="17"/>
  <c r="F14" i="17"/>
  <c r="E14" i="17"/>
  <c r="G13" i="17"/>
  <c r="F10" i="17"/>
  <c r="E10" i="17"/>
  <c r="E55" i="16"/>
  <c r="E16" i="17"/>
  <c r="F57" i="16"/>
  <c r="F55" i="16"/>
  <c r="I14" i="3"/>
  <c r="K14" i="3" s="1"/>
  <c r="J14" i="3" l="1"/>
  <c r="J10" i="3"/>
  <c r="J13" i="3"/>
  <c r="J12" i="3"/>
  <c r="J11" i="3"/>
  <c r="K12" i="3"/>
  <c r="K11" i="3"/>
  <c r="K13" i="3"/>
  <c r="K10" i="3"/>
  <c r="E57" i="16"/>
  <c r="A33" i="7" l="1"/>
  <c r="A26" i="7"/>
  <c r="A60" i="7"/>
  <c r="A58" i="7"/>
  <c r="A26" i="9" l="1"/>
  <c r="A33" i="9"/>
  <c r="C64" i="7" l="1"/>
  <c r="C9" i="7" s="1"/>
  <c r="I61" i="7" l="1"/>
  <c r="J61" i="7" s="1"/>
  <c r="I60" i="7"/>
  <c r="J60" i="7" s="1"/>
  <c r="E57" i="7"/>
  <c r="E62" i="7"/>
  <c r="I62" i="7" l="1"/>
  <c r="J62" i="7" s="1"/>
  <c r="E64" i="7"/>
  <c r="E9" i="7" s="1"/>
  <c r="I57" i="7"/>
  <c r="A26" i="101"/>
  <c r="A33" i="101"/>
  <c r="J57" i="7" l="1"/>
  <c r="J64" i="7" s="1"/>
  <c r="J9" i="7" s="1"/>
  <c r="I64" i="7"/>
  <c r="I9" i="7" s="1"/>
  <c r="F64" i="8" l="1"/>
  <c r="F9" i="8" s="1"/>
  <c r="D64" i="8"/>
  <c r="D9" i="8" s="1"/>
  <c r="I64" i="8"/>
  <c r="I9" i="8" s="1"/>
  <c r="E64" i="8"/>
  <c r="E9" i="8" s="1"/>
  <c r="J62" i="8"/>
  <c r="G64" i="8"/>
  <c r="G9" i="8" s="1"/>
  <c r="H64" i="8"/>
  <c r="H9" i="8" s="1"/>
  <c r="C64" i="8"/>
  <c r="C9" i="8" s="1"/>
  <c r="J57" i="8"/>
  <c r="J64" i="8" l="1"/>
  <c r="J9" i="8"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43000000}" keepAlive="1" name="s-srs-v01_pds RAP HFSV_Outcome" type="5" refreshedVersion="6" deleted="1" background="1" saveData="1">
    <dbPr connection="" command="" commandType="3"/>
  </connection>
</connections>
</file>

<file path=xl/sharedStrings.xml><?xml version="1.0" encoding="utf-8"?>
<sst xmlns="http://schemas.openxmlformats.org/spreadsheetml/2006/main" count="29019" uniqueCount="1269">
  <si>
    <t>(formerly Fire and Rescue Service Statistics Scotland)</t>
  </si>
  <si>
    <t>Year</t>
  </si>
  <si>
    <t>Control</t>
  </si>
  <si>
    <t>Support</t>
  </si>
  <si>
    <t>All staff total</t>
  </si>
  <si>
    <t>All staff (excluding volunteers)</t>
  </si>
  <si>
    <t>Number</t>
  </si>
  <si>
    <t>Percentage</t>
  </si>
  <si>
    <t>Notes</t>
  </si>
  <si>
    <t>RDS</t>
  </si>
  <si>
    <t>All Staff Total</t>
  </si>
  <si>
    <t xml:space="preserve">All Staff (excl. volunteers) </t>
  </si>
  <si>
    <t>All Staff (excl. volunteers)</t>
  </si>
  <si>
    <t xml:space="preserve">Local Authority Area </t>
  </si>
  <si>
    <t xml:space="preserve">Local Senior Officer Area </t>
  </si>
  <si>
    <t>Service Delivery Area</t>
  </si>
  <si>
    <t>National</t>
  </si>
  <si>
    <t>SCOTLAND (total)</t>
  </si>
  <si>
    <t>Area Manager</t>
  </si>
  <si>
    <t>Group Manager</t>
  </si>
  <si>
    <t>Station Manager</t>
  </si>
  <si>
    <t>Watch Manager</t>
  </si>
  <si>
    <t>Crew Manager</t>
  </si>
  <si>
    <t>Firefighter</t>
  </si>
  <si>
    <t>Wholetime Operational Staff Total</t>
  </si>
  <si>
    <t>Wholetime Operational Staff</t>
  </si>
  <si>
    <t>Total</t>
  </si>
  <si>
    <t>Wholetime Operational</t>
  </si>
  <si>
    <t>Retained Duty System</t>
  </si>
  <si>
    <t>Volunteer</t>
  </si>
  <si>
    <t>Local Authority Area</t>
  </si>
  <si>
    <t>Aberdeen City</t>
  </si>
  <si>
    <t>Aberdeenshire</t>
  </si>
  <si>
    <t>Angus</t>
  </si>
  <si>
    <t>Argyll and Bute</t>
  </si>
  <si>
    <t>Clackmannanshire</t>
  </si>
  <si>
    <t>Dumfries and Galloway</t>
  </si>
  <si>
    <t>Dundee City</t>
  </si>
  <si>
    <t>East Ayrshire</t>
  </si>
  <si>
    <t>East Dunbartonshire</t>
  </si>
  <si>
    <t>East Lothian</t>
  </si>
  <si>
    <t>East Renfrewshire</t>
  </si>
  <si>
    <t>Falkirk</t>
  </si>
  <si>
    <t>Fife</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</si>
  <si>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</si>
  <si>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</si>
  <si>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</si>
  <si>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</si>
  <si>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</si>
  <si>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</si>
  <si>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</si>
  <si>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</si>
  <si>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</si>
  <si>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</si>
  <si>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</si>
  <si>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</si>
  <si>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</si>
  <si>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</si>
  <si>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</si>
  <si>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</si>
  <si>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</si>
  <si>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Local Authority Area (total)</t>
  </si>
  <si>
    <t>Local Senior Officer Area</t>
  </si>
  <si>
    <t>Aberdeenshire and Moray</t>
  </si>
  <si>
    <t>Argyll and Bute, East Dunbartonshire and West Dunbartonshire</t>
  </si>
  <si>
    <t>Dundee, Angus, Perth and Kinross</t>
  </si>
  <si>
    <t>East Ayrshire, North Ayrshire and South Ayrshire</t>
  </si>
  <si>
    <t>East Lothian, Midlothian and the Scottish Borders</t>
  </si>
  <si>
    <t>East Renfrewshire, Renfrewshire and Inverclyde</t>
  </si>
  <si>
    <t>Falkirk and West Lothian</t>
  </si>
  <si>
    <t>Highlands</t>
  </si>
  <si>
    <t>Western Isles, Orkney and Shetland Islands</t>
  </si>
  <si>
    <t>Local Senior Officer Area (total)</t>
  </si>
  <si>
    <t>Service Delivery Area (total)</t>
  </si>
  <si>
    <t>National Level</t>
  </si>
  <si>
    <t>Scotland Total</t>
  </si>
  <si>
    <t>Control Operator</t>
  </si>
  <si>
    <t>Service Manager</t>
  </si>
  <si>
    <t>Team 
Leader</t>
  </si>
  <si>
    <t>Professional</t>
  </si>
  <si>
    <t>Specialist/ Technical</t>
  </si>
  <si>
    <t>Technical Support</t>
  </si>
  <si>
    <t>Admin-istration</t>
  </si>
  <si>
    <t>Team Leader</t>
  </si>
  <si>
    <t>Headcount</t>
  </si>
  <si>
    <t>Wholetime operational</t>
  </si>
  <si>
    <t>Support Staff</t>
  </si>
  <si>
    <t>Total (excluding volunteers)</t>
  </si>
  <si>
    <t>Female</t>
  </si>
  <si>
    <t>Male</t>
  </si>
  <si>
    <t>Retained Duty System (total)</t>
  </si>
  <si>
    <t xml:space="preserve">Control </t>
  </si>
  <si>
    <t>Control (total)</t>
  </si>
  <si>
    <t>Specialist/Technical</t>
  </si>
  <si>
    <t>Administration</t>
  </si>
  <si>
    <t>Support Staff (total)</t>
  </si>
  <si>
    <t>Volunteer (total)</t>
  </si>
  <si>
    <t>All Staff (total)</t>
  </si>
  <si>
    <t>All Staff (excluding volunteers)</t>
  </si>
  <si>
    <t xml:space="preserve"> </t>
  </si>
  <si>
    <t>All Staff</t>
  </si>
  <si>
    <t>20-24</t>
  </si>
  <si>
    <t>25-29</t>
  </si>
  <si>
    <t>30-34</t>
  </si>
  <si>
    <t>35-39</t>
  </si>
  <si>
    <t>40-44</t>
  </si>
  <si>
    <t>45-49</t>
  </si>
  <si>
    <t>50-54</t>
  </si>
  <si>
    <t>55-59</t>
  </si>
  <si>
    <t>60-64</t>
  </si>
  <si>
    <t>65-69</t>
  </si>
  <si>
    <t>70-74</t>
  </si>
  <si>
    <t>Total
(excl volunteers)</t>
  </si>
  <si>
    <t>White</t>
  </si>
  <si>
    <t>Ethnic Minority</t>
  </si>
  <si>
    <t>Wholetime</t>
  </si>
  <si>
    <t>Local Authority</t>
  </si>
  <si>
    <t>Glasgow City</t>
  </si>
  <si>
    <t>Pumping Appliances</t>
  </si>
  <si>
    <t>Reserve Appliances</t>
  </si>
  <si>
    <t>Training Appliances</t>
  </si>
  <si>
    <t>Type of Attack</t>
  </si>
  <si>
    <t>HFSV with alarms installed</t>
  </si>
  <si>
    <t>Total HFSV</t>
  </si>
  <si>
    <t>New</t>
  </si>
  <si>
    <t>Replacement</t>
  </si>
  <si>
    <t>Rate</t>
  </si>
  <si>
    <t>HFSV - advice only</t>
  </si>
  <si>
    <t xml:space="preserve">Total HFSV </t>
  </si>
  <si>
    <t>HFSV
 - advice only</t>
  </si>
  <si>
    <t xml:space="preserve">Rate of alarms installed </t>
  </si>
  <si>
    <t>HFSV - 
advice only</t>
  </si>
  <si>
    <t>All visits</t>
  </si>
  <si>
    <t>Hospital / Prison</t>
  </si>
  <si>
    <t>Care Home</t>
  </si>
  <si>
    <t>Hostel</t>
  </si>
  <si>
    <t>Hotel</t>
  </si>
  <si>
    <t>Other Sleeping Accommodation</t>
  </si>
  <si>
    <t>Further Education</t>
  </si>
  <si>
    <t>Public Building</t>
  </si>
  <si>
    <t>Licensed Premises</t>
  </si>
  <si>
    <t>School</t>
  </si>
  <si>
    <t>Shop</t>
  </si>
  <si>
    <t>Other Premises Open to Public</t>
  </si>
  <si>
    <t>Factory or Warehouse</t>
  </si>
  <si>
    <t>Office</t>
  </si>
  <si>
    <t>Other workplace</t>
  </si>
  <si>
    <t>Total audits without HMOs</t>
  </si>
  <si>
    <t>Total audits including HMOs</t>
  </si>
  <si>
    <t>Hospital/ Prison</t>
  </si>
  <si>
    <t>HMO</t>
  </si>
  <si>
    <t>Other Sleeping Accom.</t>
  </si>
  <si>
    <t>Total audits</t>
  </si>
  <si>
    <t>Enforcement Notice</t>
  </si>
  <si>
    <t>Prohibition Notice</t>
  </si>
  <si>
    <t>Average time (hours)</t>
  </si>
  <si>
    <t>Hours</t>
  </si>
  <si>
    <t>Audits</t>
  </si>
  <si>
    <t>Percentage of Type A</t>
  </si>
  <si>
    <t>Enforcement notices</t>
  </si>
  <si>
    <t>Type of Premises</t>
  </si>
  <si>
    <t>Total hours</t>
  </si>
  <si>
    <t>North</t>
  </si>
  <si>
    <t>West</t>
  </si>
  <si>
    <t>East</t>
  </si>
  <si>
    <t>Edinburgh City</t>
  </si>
  <si>
    <t>Wholetime Operational - Number</t>
  </si>
  <si>
    <t>Wholetime Operational - Percent</t>
  </si>
  <si>
    <t>RDS - Number</t>
  </si>
  <si>
    <t>RDS - Percent</t>
  </si>
  <si>
    <t>Control - Number</t>
  </si>
  <si>
    <t>Control - Percent</t>
  </si>
  <si>
    <t>&lt;5</t>
  </si>
  <si>
    <t>5-9</t>
  </si>
  <si>
    <t>10-14</t>
  </si>
  <si>
    <t>15-19</t>
  </si>
  <si>
    <t>&gt;40</t>
  </si>
  <si>
    <t>Service Length (Years)</t>
  </si>
  <si>
    <t>Aerial Appliances</t>
  </si>
  <si>
    <t>Other Appliances</t>
  </si>
  <si>
    <t>Consultations</t>
  </si>
  <si>
    <t>Alterations Notice</t>
  </si>
  <si>
    <t>Prohibition Notices</t>
  </si>
  <si>
    <t>Retained</t>
  </si>
  <si>
    <t>All</t>
  </si>
  <si>
    <t>Non-Operational</t>
  </si>
  <si>
    <t>Vehicles for Rescue Work</t>
  </si>
  <si>
    <t>Small Firefighting Vehicles</t>
  </si>
  <si>
    <t>Other</t>
  </si>
  <si>
    <t>Total Vehicles (incl. boats)</t>
  </si>
  <si>
    <t>2015-16</t>
  </si>
  <si>
    <t>2014-15</t>
  </si>
  <si>
    <t>2013-14</t>
  </si>
  <si>
    <t>2012-13</t>
  </si>
  <si>
    <t>Vehicles Primarily for Rescue Work</t>
  </si>
  <si>
    <t>Operational Total</t>
  </si>
  <si>
    <t>Brigade Manager</t>
  </si>
  <si>
    <t>Director</t>
  </si>
  <si>
    <t>Age Range</t>
  </si>
  <si>
    <t>Age range</t>
  </si>
  <si>
    <t>Operational</t>
  </si>
  <si>
    <t>Fire Boats</t>
  </si>
  <si>
    <t>Officer Response Vehicles</t>
  </si>
  <si>
    <t xml:space="preserve"> - Workforce</t>
  </si>
  <si>
    <t xml:space="preserve">In 2014 SFRS could not return suitable fire safety data and the statistics were not published.  </t>
  </si>
  <si>
    <t>Area</t>
  </si>
  <si>
    <t xml:space="preserve">Other Operational </t>
  </si>
  <si>
    <t xml:space="preserve"> - Home Fire Safety Visits</t>
  </si>
  <si>
    <t>National.Statistics@firescotland.gov.uk</t>
  </si>
  <si>
    <t xml:space="preserve">  Crew Manager</t>
  </si>
  <si>
    <t xml:space="preserve">  Firefighter</t>
  </si>
  <si>
    <t>FTE is not calculated for Volunteers.</t>
  </si>
  <si>
    <t>Full Time Equivalent (FTE) counts the ratio of a staff member’s contracted working hours to the standard contract hours for that staff group.</t>
  </si>
  <si>
    <t>The statistics are rounded after they are calculated.</t>
  </si>
  <si>
    <t>The Brigade Manager category had included Deputy Assistant Chief Officers (DACOs) in 2014-15 and 2015-16.  This has now been amended so that DACOs are included in the Area manager category and Brigade Manager now includes only Chief Officer, Deputy Chief Officer and Assistant Chief Officer.</t>
  </si>
  <si>
    <t>Support staff sub-categories changed in 2013-14 to reflect the sub-categories used in the new organisational structure of the Scottish Fire and Rescue Service.</t>
  </si>
  <si>
    <t xml:space="preserve">Until the 2015-16 statistics the Director category in Support Staff had been included in the Service Manager category.  From the 2015-16 publication this has been presented in a separate category. Comparisons with former statistics can be made by adding the Director category to the Service Manager category.  </t>
  </si>
  <si>
    <t>Grey shaded cells indicate where area breakdown by staff type is not applicable.</t>
  </si>
  <si>
    <t>All control staff are reported nationally for these statistics.</t>
  </si>
  <si>
    <t>All volunteer staff are reported at Local Authority Area for these statistics.</t>
  </si>
  <si>
    <t>Retirement age varies according to type of staffing and individual circumstance.</t>
  </si>
  <si>
    <t>Service Length counts the number of full years spent in public service. It is possible for staff to move between Fire and Rescue Services within the UK and keep their accrued service length.</t>
  </si>
  <si>
    <t>Percentages are calculated based on headcount.</t>
  </si>
  <si>
    <t>Operational Boats are provided at national level only.</t>
  </si>
  <si>
    <t>Workflow refers to all of the work completed related to non-domestic property. Workflows are counted according to the financial year in which they are fully completed.</t>
  </si>
  <si>
    <t xml:space="preserve">In 2013-14 the fire safety audit data was not included in the publication due to quality and completeness concerns.  </t>
  </si>
  <si>
    <t>Where a premise had multiple owners who each received a formal Notice, this has been counted only once. The figure therefore reflects the number of unique buildings where a notice has been issued by financial year.</t>
  </si>
  <si>
    <t xml:space="preserve">For enquiries or feedback please contact - </t>
  </si>
  <si>
    <t>The merger of HR data from the former Scottish Fire and Rescue services in 2013-14 led to a reduction in reliable ethnicity data for staff. Improvements over recent years stem from data collection on new staff and through the provision of an employee digital self-service tool for HR data.</t>
  </si>
  <si>
    <t>All Retained Duty System staff are reported at Local Authority Area for these statistics.</t>
  </si>
  <si>
    <t>FinYear</t>
  </si>
  <si>
    <t>Row Labels</t>
  </si>
  <si>
    <t>1:LA</t>
  </si>
  <si>
    <t>2:LSO</t>
  </si>
  <si>
    <t>3:SDA</t>
  </si>
  <si>
    <t>4:National</t>
  </si>
  <si>
    <t>Grand Total</t>
  </si>
  <si>
    <t>Sum of Total</t>
  </si>
  <si>
    <t>Sum of WT</t>
  </si>
  <si>
    <t>2018-19</t>
  </si>
  <si>
    <t>2017-18</t>
  </si>
  <si>
    <t>Sum of Watch Manager</t>
  </si>
  <si>
    <t>Code</t>
  </si>
  <si>
    <t>City of Edinburgh</t>
  </si>
  <si>
    <t>Scotland</t>
  </si>
  <si>
    <t>Sum of RDS</t>
  </si>
  <si>
    <t>Sum of Control</t>
  </si>
  <si>
    <t>Sum of Support</t>
  </si>
  <si>
    <t>Sum of Vol</t>
  </si>
  <si>
    <t>Sum of Brigade Manager</t>
  </si>
  <si>
    <t>Sum of Area Manager</t>
  </si>
  <si>
    <t>Sum of Group Manager</t>
  </si>
  <si>
    <t>Sum of Station Manager</t>
  </si>
  <si>
    <t>Sum of Crew Manager</t>
  </si>
  <si>
    <t>Sum of Firefighter</t>
  </si>
  <si>
    <t>Column Labels</t>
  </si>
  <si>
    <t>Sum of Control Operator</t>
  </si>
  <si>
    <t>2016-17</t>
  </si>
  <si>
    <t>Sum of Director</t>
  </si>
  <si>
    <t>Sum of Service Manager</t>
  </si>
  <si>
    <t>Sum of Team Leader</t>
  </si>
  <si>
    <t>Sum of Professional</t>
  </si>
  <si>
    <t>Sum of Specialist Technical</t>
  </si>
  <si>
    <t>Sum of Tech Support</t>
  </si>
  <si>
    <t>Sum of Administration</t>
  </si>
  <si>
    <t>ALL</t>
  </si>
  <si>
    <t>S12000005</t>
  </si>
  <si>
    <t>S12000006</t>
  </si>
  <si>
    <t>S12000008</t>
  </si>
  <si>
    <t>S12000010</t>
  </si>
  <si>
    <t>S12000011</t>
  </si>
  <si>
    <t>S12000013</t>
  </si>
  <si>
    <t>S12000014</t>
  </si>
  <si>
    <t>S12000017</t>
  </si>
  <si>
    <t>S12000018</t>
  </si>
  <si>
    <t>S12000019</t>
  </si>
  <si>
    <t>S12000020</t>
  </si>
  <si>
    <t>S12000021</t>
  </si>
  <si>
    <t>S12000023</t>
  </si>
  <si>
    <t>S12000024</t>
  </si>
  <si>
    <t>S12000026</t>
  </si>
  <si>
    <t>S12000027</t>
  </si>
  <si>
    <t>S12000028</t>
  </si>
  <si>
    <t>S12000029</t>
  </si>
  <si>
    <t>S12000030</t>
  </si>
  <si>
    <t>S12000033</t>
  </si>
  <si>
    <t>S12000034</t>
  </si>
  <si>
    <t>S12000035</t>
  </si>
  <si>
    <t>S12000036</t>
  </si>
  <si>
    <t>S12000038</t>
  </si>
  <si>
    <t>S12000039</t>
  </si>
  <si>
    <t>S12000040</t>
  </si>
  <si>
    <t>S12000041</t>
  </si>
  <si>
    <t>S12000042</t>
  </si>
  <si>
    <t>S12000044</t>
  </si>
  <si>
    <t>S12000045</t>
  </si>
  <si>
    <t>S12000046</t>
  </si>
  <si>
    <t>S12000047</t>
  </si>
  <si>
    <t>(blank)</t>
  </si>
  <si>
    <t>Vol</t>
  </si>
  <si>
    <t>WT</t>
  </si>
  <si>
    <t>Specialist Technical</t>
  </si>
  <si>
    <t>Tech Support</t>
  </si>
  <si>
    <t>Sum of Female</t>
  </si>
  <si>
    <t>Sum of Male</t>
  </si>
  <si>
    <t>Under 20</t>
  </si>
  <si>
    <t>Over 40</t>
  </si>
  <si>
    <t>Under 5</t>
  </si>
  <si>
    <t>Total (ex Vol)</t>
  </si>
  <si>
    <t>2011-12</t>
  </si>
  <si>
    <t>Sum of White</t>
  </si>
  <si>
    <t>Sum of Not Stated</t>
  </si>
  <si>
    <t>Sum of Ethnic Minority</t>
  </si>
  <si>
    <t>FisYr</t>
  </si>
  <si>
    <t>Sum of Wholetime</t>
  </si>
  <si>
    <t>Sum of Retained</t>
  </si>
  <si>
    <t>Sum of Volunteer</t>
  </si>
  <si>
    <t>Sum of Wholetime and Retained</t>
  </si>
  <si>
    <t>Sum of Wholetime and Day</t>
  </si>
  <si>
    <t>Training</t>
  </si>
  <si>
    <t>Sum of 2017-18</t>
  </si>
  <si>
    <t>Sum of Pumping Appliances</t>
  </si>
  <si>
    <t>Sum of Aerial Appliances</t>
  </si>
  <si>
    <t>Sum of Objects thrown at firefighters/appliances</t>
  </si>
  <si>
    <t>Sum of Physical abuse</t>
  </si>
  <si>
    <t>Sum of Verbal abuse</t>
  </si>
  <si>
    <t>Sum of Other acts of aggression</t>
  </si>
  <si>
    <t>Sum of 2016-17</t>
  </si>
  <si>
    <t>Table code</t>
  </si>
  <si>
    <t>Update frequency</t>
  </si>
  <si>
    <t>Revisions policy</t>
  </si>
  <si>
    <t>Annual</t>
  </si>
  <si>
    <t>Revisions are not anticipated</t>
  </si>
  <si>
    <t>SDA Code</t>
  </si>
  <si>
    <t>S39000001</t>
  </si>
  <si>
    <t>S39000002</t>
  </si>
  <si>
    <t>S39000018</t>
  </si>
  <si>
    <t>S39000003</t>
  </si>
  <si>
    <t>S39000004</t>
  </si>
  <si>
    <t>S39000006</t>
  </si>
  <si>
    <t>S39000007</t>
  </si>
  <si>
    <t>S39000008</t>
  </si>
  <si>
    <t>S39000009</t>
  </si>
  <si>
    <t>S39000010</t>
  </si>
  <si>
    <t>S39000013</t>
  </si>
  <si>
    <t>S39000015</t>
  </si>
  <si>
    <t>S39000017</t>
  </si>
  <si>
    <t>S92000003</t>
  </si>
  <si>
    <t>Not Stated</t>
  </si>
  <si>
    <t>Wholetime and Retained</t>
  </si>
  <si>
    <t>Wholetime and Day</t>
  </si>
  <si>
    <t>Under 5s</t>
  </si>
  <si>
    <t>5 to 10</t>
  </si>
  <si>
    <t>11 to 16</t>
  </si>
  <si>
    <t>17 to 30</t>
  </si>
  <si>
    <t>31 to 60</t>
  </si>
  <si>
    <t>Over 60</t>
  </si>
  <si>
    <t>All Residents</t>
  </si>
  <si>
    <t>Over Three Years</t>
  </si>
  <si>
    <t>Over Five Years</t>
  </si>
  <si>
    <t>Non-repeat Visits</t>
  </si>
  <si>
    <t>S40000004</t>
  </si>
  <si>
    <t>S40000003</t>
  </si>
  <si>
    <t>S40000005</t>
  </si>
  <si>
    <t>All Uniformed Staff</t>
  </si>
  <si>
    <t>TOTAL</t>
  </si>
  <si>
    <t>1 - Most Deprived 20%</t>
  </si>
  <si>
    <t>5 - Least Deprived 20%</t>
  </si>
  <si>
    <t>1 - Large Urban Areas</t>
  </si>
  <si>
    <t>2 - Other Urban Areas</t>
  </si>
  <si>
    <t>3 - Accessible Small Towns</t>
  </si>
  <si>
    <t>4 - Remote Small Towns</t>
  </si>
  <si>
    <t>5 - Accessible Rural</t>
  </si>
  <si>
    <t>6 - Remote Rural</t>
  </si>
  <si>
    <t>Sum of Hospital / Prison</t>
  </si>
  <si>
    <t>Sum of Care Home</t>
  </si>
  <si>
    <t>Sum of HMO</t>
  </si>
  <si>
    <t>Sum of Hostel</t>
  </si>
  <si>
    <t>Sum of Hotel</t>
  </si>
  <si>
    <t>Sum of Further Education</t>
  </si>
  <si>
    <t>Sum of Public Building</t>
  </si>
  <si>
    <t>Sum of Licensed Premises</t>
  </si>
  <si>
    <t>Sum of School</t>
  </si>
  <si>
    <t>Sum of Shop</t>
  </si>
  <si>
    <t>Sum of Other Premises Open to Public</t>
  </si>
  <si>
    <t>Sum of Factory or Warehouse</t>
  </si>
  <si>
    <t>Sum of Office</t>
  </si>
  <si>
    <t>Sum of Other Workplace</t>
  </si>
  <si>
    <t>S12000015</t>
  </si>
  <si>
    <t>A</t>
  </si>
  <si>
    <t>B</t>
  </si>
  <si>
    <t>C</t>
  </si>
  <si>
    <t>E</t>
  </si>
  <si>
    <t>F</t>
  </si>
  <si>
    <t>H</t>
  </si>
  <si>
    <t>J</t>
  </si>
  <si>
    <t>K</t>
  </si>
  <si>
    <t>L</t>
  </si>
  <si>
    <t>M</t>
  </si>
  <si>
    <t>N</t>
  </si>
  <si>
    <t>P</t>
  </si>
  <si>
    <t>R</t>
  </si>
  <si>
    <t>S</t>
  </si>
  <si>
    <t>T</t>
  </si>
  <si>
    <t>Sum of A_Tally</t>
  </si>
  <si>
    <t>Sum of A_Hours</t>
  </si>
  <si>
    <t>Sum of B_Tally</t>
  </si>
  <si>
    <t>Sum of B_Hours</t>
  </si>
  <si>
    <t>Sum of Enforcement_Tally</t>
  </si>
  <si>
    <t>Sum of Prohibition_Tally</t>
  </si>
  <si>
    <t>Sum of Enforcement_Hours</t>
  </si>
  <si>
    <t>Sum of Prohibition_Hours</t>
  </si>
  <si>
    <t>Sum of Small Firefighting Vehicles</t>
  </si>
  <si>
    <t>Op</t>
  </si>
  <si>
    <t>All Scotland</t>
  </si>
  <si>
    <t>Sum of TotalAlarms</t>
  </si>
  <si>
    <t>Sum of TotalNewAlarms</t>
  </si>
  <si>
    <t>Sum of TotalReplacedAlarms</t>
  </si>
  <si>
    <t>Sum of Dwellings</t>
  </si>
  <si>
    <t>Sum of VisitsPer100Dwelling</t>
  </si>
  <si>
    <t>Sum of AlarmsPer100Dwelling</t>
  </si>
  <si>
    <t>Sum of Households</t>
  </si>
  <si>
    <t>Sum of VisitsPer100Household</t>
  </si>
  <si>
    <t>Sum of AlarmsPer100Household</t>
  </si>
  <si>
    <t>Premises</t>
  </si>
  <si>
    <t>Sum of M</t>
  </si>
  <si>
    <t>Sum of H</t>
  </si>
  <si>
    <t>Sum of VL</t>
  </si>
  <si>
    <t>Sum of L</t>
  </si>
  <si>
    <t>Sum of VH</t>
  </si>
  <si>
    <t>Sum of 2015-16</t>
  </si>
  <si>
    <t>Sum of 2018-19</t>
  </si>
  <si>
    <t>New Alarms</t>
  </si>
  <si>
    <t>Replaced Alarms</t>
  </si>
  <si>
    <t>Households</t>
  </si>
  <si>
    <t>Alarms Installed</t>
  </si>
  <si>
    <t>Percent of Scottish Housholds Visited</t>
  </si>
  <si>
    <t>Percent of Scottish Households Visited with Alarms Installed</t>
  </si>
  <si>
    <t>Department</t>
  </si>
  <si>
    <t>HFSV - alarms installed</t>
  </si>
  <si>
    <t>ALL STAFF</t>
  </si>
  <si>
    <t>Fire Safety and Organisational Statistics, Scotland</t>
  </si>
  <si>
    <t>Scottish Fire and Rescue Service</t>
  </si>
  <si>
    <t>Fire Safety and Organisational Statistics - Tables and Charts</t>
  </si>
  <si>
    <t xml:space="preserve"> - Fire and Rescue Vehicles</t>
  </si>
  <si>
    <t xml:space="preserve"> - Attacks on Fire and Rescue Personnel</t>
  </si>
  <si>
    <t xml:space="preserve"> - Non-Domestic Fire Safety</t>
  </si>
  <si>
    <t>Please see the most recent Fire Safety and Organisational Statistics publication for commentary on the statistics included in this workbook.</t>
  </si>
  <si>
    <t>Please see the Guidance Notes on Statistics publication for further details on these statistics including definitions and advice on interpretation.</t>
  </si>
  <si>
    <t>This workbook provides statistics on the Scottish Fire and Rescue Service. Covering:</t>
  </si>
  <si>
    <t>Workforce Statistics</t>
  </si>
  <si>
    <t>FTE statistics are rounded after they are calculated.</t>
  </si>
  <si>
    <t>Geographic Reporting Structure</t>
  </si>
  <si>
    <t>Uniformed Staff by Role</t>
  </si>
  <si>
    <t>Volunteer - Number</t>
  </si>
  <si>
    <t>Volunteer - Percent</t>
  </si>
  <si>
    <t>GSS Code</t>
  </si>
  <si>
    <t>The Station Manager category included a small number of staff at Local Authority level, since 2016-17 they have all been reported at Local Senior Officer Area.</t>
  </si>
  <si>
    <t>LA Code</t>
  </si>
  <si>
    <t>LSO Code</t>
  </si>
  <si>
    <t>Scotland total</t>
  </si>
  <si>
    <t>Control Operators are also referred to as Firefighters where appropriate</t>
  </si>
  <si>
    <t>Wholetime Operational (total)</t>
  </si>
  <si>
    <t>Staff Type</t>
  </si>
  <si>
    <t>Staff Type by Age Range - Headcount</t>
  </si>
  <si>
    <t>Staff Type by Age Range - Percentage</t>
  </si>
  <si>
    <t>Control Staff by Role and Geographic Area - Full-time Equivalent</t>
  </si>
  <si>
    <t>Support Staff by Role and Geographic Area - Full-time Equivalent</t>
  </si>
  <si>
    <t>RDS Staff by Role and Geographic Area - Full-time Equivalent</t>
  </si>
  <si>
    <t>Wholetime Operational Staff by Role and Geographic Area - Full-time Equivalent</t>
  </si>
  <si>
    <t>Volunteers by Role and Geographic Area - Headcount</t>
  </si>
  <si>
    <t>Control Staff by Role and Geographic Area  - Headcount</t>
  </si>
  <si>
    <t>Support Staff by Role and Geographic Area -  Headcount</t>
  </si>
  <si>
    <t>Retained Duty Staff by Role and Geographical Area - Headcount</t>
  </si>
  <si>
    <t>Wholetime Operational Staff by Role and Geographical Area - Headcount</t>
  </si>
  <si>
    <t>Staff Type by Department  - Headcount</t>
  </si>
  <si>
    <t>Staff Type by Department - Full Time Equivalent</t>
  </si>
  <si>
    <t>SFRS Headcount by Staff Type</t>
  </si>
  <si>
    <t>SFRS Full-time Equivalent by Staff Type</t>
  </si>
  <si>
    <t>Staff Type by Service Length - Percentage</t>
  </si>
  <si>
    <t>Staff Type by Service Length - Headcount</t>
  </si>
  <si>
    <t>Support Staff has been removed from this table due to quality concerns.</t>
  </si>
  <si>
    <t>Staff Type by Ethnicity - Percentage</t>
  </si>
  <si>
    <t>Staff Type by Disability Status - Percentage</t>
  </si>
  <si>
    <t>Staff Type where Disability Status is Not Known - Percentage</t>
  </si>
  <si>
    <t>Volunteers</t>
  </si>
  <si>
    <t>Reason for Leaving</t>
  </si>
  <si>
    <t>Ethnicity</t>
  </si>
  <si>
    <t>New Entrants by Age Range</t>
  </si>
  <si>
    <t>New Entrants by Ethnicity</t>
  </si>
  <si>
    <t>New Entrants by Disability</t>
  </si>
  <si>
    <t>Workforce Leavers by Reason for Leaving</t>
  </si>
  <si>
    <t>These figures present the ratio of staff headcount by disability response to total headcount for each staff group.</t>
  </si>
  <si>
    <t>Headcount by Type of Staffing</t>
  </si>
  <si>
    <t>Full Time Equivalent by Type of Staffing</t>
  </si>
  <si>
    <t>Table of Contents</t>
  </si>
  <si>
    <t>Click on a hyperlink to select the corresponding worksheet</t>
  </si>
  <si>
    <t>Topic</t>
  </si>
  <si>
    <t>Full Time Equivalent</t>
  </si>
  <si>
    <t>Metric</t>
  </si>
  <si>
    <t>Staffing Type by Geographic Area - Headcount</t>
  </si>
  <si>
    <t>Staff Type by Geographical Reporting Structure - Headcount</t>
  </si>
  <si>
    <t>Geographic Area</t>
  </si>
  <si>
    <t>Role</t>
  </si>
  <si>
    <t>Gender</t>
  </si>
  <si>
    <t>Service Length</t>
  </si>
  <si>
    <t>Wholetime Operational Staff by Role and Geographical Reporting Structure - Headcount</t>
  </si>
  <si>
    <t>Leavers</t>
  </si>
  <si>
    <t>Disability</t>
  </si>
  <si>
    <t>New Entrants</t>
  </si>
  <si>
    <t>Sum</t>
  </si>
  <si>
    <t>Back to Table of Contents</t>
  </si>
  <si>
    <t>Workforce Tables</t>
  </si>
  <si>
    <t>Workforce Charts</t>
  </si>
  <si>
    <t>Staff Type - Wholetime Operational</t>
  </si>
  <si>
    <t>Staff Type - Retained Duty System</t>
  </si>
  <si>
    <t>Staff Type - Control</t>
  </si>
  <si>
    <t>Staff Type - Support Staff</t>
  </si>
  <si>
    <t>Staff Type - Volunteers</t>
  </si>
  <si>
    <t>&lt;20</t>
  </si>
  <si>
    <t>Fire Stations by Primary Crewing Type</t>
  </si>
  <si>
    <t>Day-Crewed</t>
  </si>
  <si>
    <t>Fire Stations by Station Crewing Model</t>
  </si>
  <si>
    <t>Fire Station Statistics</t>
  </si>
  <si>
    <t>Fire Stations by Primary Crewing Type and Local Authority</t>
  </si>
  <si>
    <t>Fire Stations by Crewing Model and Local Authority</t>
  </si>
  <si>
    <t>Fire Station Types</t>
  </si>
  <si>
    <t>Map of Fire Stations by Type</t>
  </si>
  <si>
    <t>Attacks on SFRS Personnel Statistics</t>
  </si>
  <si>
    <t>Incidents</t>
  </si>
  <si>
    <t>Two previous years are revised at each update</t>
  </si>
  <si>
    <t>Attacks on SFRS Personnel by Type of Attack</t>
  </si>
  <si>
    <t>Attacks on SFRS Personnel Resulting in Injuries by Type of Attack</t>
  </si>
  <si>
    <t>Home Fire Safety Visit Statistics</t>
  </si>
  <si>
    <t>One Year is revised at each update</t>
  </si>
  <si>
    <t>Home Fire Safety Visits to Distinct Properties</t>
  </si>
  <si>
    <t>Home Fire Safety Visits with Alarms Installed in Distinct Properties</t>
  </si>
  <si>
    <t>Distinct Properties Visited</t>
  </si>
  <si>
    <t>In One Year</t>
  </si>
  <si>
    <t>Percentage of Non-repeat Visits</t>
  </si>
  <si>
    <t>Distinct Properties Visited where Alarms were Installed</t>
  </si>
  <si>
    <t>Percentage of Scottish Households visited in Home Fire Safety Visits</t>
  </si>
  <si>
    <t>Percentage of Scottish Population living in Households who had a HFSV</t>
  </si>
  <si>
    <t>Home Fire Safety Visits by Deprivation of Area</t>
  </si>
  <si>
    <t>Home Fire Safety Visits by SIMD Quintile</t>
  </si>
  <si>
    <t>Rate of Home Fire Safety Visits per 100 Occupied Dwellings by SIMD Quintile</t>
  </si>
  <si>
    <t>HFSVs by Urban Rural 6 Fold Category</t>
  </si>
  <si>
    <t>Home Fire Safety Visits by Rurality</t>
  </si>
  <si>
    <t>Rate of HFSVs per 100 Occupied Dwellings by Urban Rural 6 Fold Category</t>
  </si>
  <si>
    <t>Rate of Alarms Installed</t>
  </si>
  <si>
    <t>Percentage of Scottish Households</t>
  </si>
  <si>
    <t>Percentage of Households</t>
  </si>
  <si>
    <t>Total Alarms Installed</t>
  </si>
  <si>
    <t>Total HFSVs</t>
  </si>
  <si>
    <t>Home Fire Safety Visits by Outcome</t>
  </si>
  <si>
    <t>Home Fire Safety Visits Statistics</t>
  </si>
  <si>
    <t>Rate of Home Fire Safety Visits by Age Group of Residents</t>
  </si>
  <si>
    <t>Rate of Home Fire Safety Visits by Rurality</t>
  </si>
  <si>
    <t>Rate of Home Fire Safety Visits by Local Authority</t>
  </si>
  <si>
    <t>Non-domestic Fire Safety Workflows</t>
  </si>
  <si>
    <t>Non-domestic Fire Safety Statistics</t>
  </si>
  <si>
    <t>Non-domestic Fire Safety Audits by Premises Type</t>
  </si>
  <si>
    <t>Other Premises open to Public</t>
  </si>
  <si>
    <t>HMO stands for Houses in Multiple Occupation</t>
  </si>
  <si>
    <t>-</t>
  </si>
  <si>
    <t>Audit - Broadly Compliant</t>
  </si>
  <si>
    <t>Audit - Notable Deficiencies</t>
  </si>
  <si>
    <t>Percentage Broadly Compliant</t>
  </si>
  <si>
    <t>Audits by Outcome and Average Time for Completion</t>
  </si>
  <si>
    <t>Audits by Outcome and Average Time for Completion, by Premises Type</t>
  </si>
  <si>
    <t>Notices Issued by Type</t>
  </si>
  <si>
    <t>This table was introduced in 2017-18 to provide details of the number of formal Notices issued within the financial year. This contrasts with the number of workflows completed each year which in the Audits Outcome tab.</t>
  </si>
  <si>
    <t>Audits by Outcome and Average Time for Completion, by Local Authority</t>
  </si>
  <si>
    <t>Audits by Risk Recorded</t>
  </si>
  <si>
    <t>Very Low</t>
  </si>
  <si>
    <t>Low</t>
  </si>
  <si>
    <t>Medium</t>
  </si>
  <si>
    <t>High</t>
  </si>
  <si>
    <t>Very High</t>
  </si>
  <si>
    <t>Audits by Risk Recorded - Percentage in Each Premises Type</t>
  </si>
  <si>
    <t>Non-domestic Workflows</t>
  </si>
  <si>
    <t>Audits by Premises Type and Risk</t>
  </si>
  <si>
    <t>Fire and Rescue Vehicles Statistics</t>
  </si>
  <si>
    <t>Fire and Rescue Vehicles by Type</t>
  </si>
  <si>
    <t>Total Appliances</t>
  </si>
  <si>
    <t>Resilience Appliances</t>
  </si>
  <si>
    <t>Other Fleet Vehicles (excl. Officer Response Vehicles)</t>
  </si>
  <si>
    <t>Fire and Rescue Vehicles by Type, by Local Authority</t>
  </si>
  <si>
    <t>Attacks Related to Operational Incidents</t>
  </si>
  <si>
    <t>Attacks Not Related to Operational Incidents</t>
  </si>
  <si>
    <t>Attacks Related to Operational Incidents by Local Authority</t>
  </si>
  <si>
    <t>Percentage of Scottish Households with Alarms Installed in Home Fire Safety Visits</t>
  </si>
  <si>
    <t>Residents of Households Visited in Home Fire Safety Visits by Age Range - Percentage of Population</t>
  </si>
  <si>
    <t>Residents of Households Visited in Home Fire Safety Visits by Age Range</t>
  </si>
  <si>
    <t>Home Fire Safety Visits by Deprivation of Area - Percentage of Occupied Dwellings</t>
  </si>
  <si>
    <t>Home Fire Safety Visits by Rurality - Percentage of Occupied Dwellings</t>
  </si>
  <si>
    <t>Home Fire Safety Visits (HFSV) Percentage of Scottish Households</t>
  </si>
  <si>
    <t>Non-domestic Fire Safety Audits by Premises Type, by Local Authority</t>
  </si>
  <si>
    <t>Crewing Model</t>
  </si>
  <si>
    <t>Primary Crewing Type</t>
  </si>
  <si>
    <t>Fire Station Charts</t>
  </si>
  <si>
    <t>Primary Crewing Type and Crewing Model</t>
  </si>
  <si>
    <t>Map</t>
  </si>
  <si>
    <t>Fire and Rescue Vehicles</t>
  </si>
  <si>
    <t>Type of Vehicle</t>
  </si>
  <si>
    <t>Attacks on SFRS Personnel</t>
  </si>
  <si>
    <t>Related to Operational Incidents</t>
  </si>
  <si>
    <t>Not Related to Operational Incidents</t>
  </si>
  <si>
    <t>Attacks on SFRS Personnel Charts</t>
  </si>
  <si>
    <t>Type of Attack Resulting in Injuries</t>
  </si>
  <si>
    <t>Home Fire Safety Visits</t>
  </si>
  <si>
    <t>Residents of Households Visited</t>
  </si>
  <si>
    <t>Home Fire Safety Visit Charts</t>
  </si>
  <si>
    <t>Outcome</t>
  </si>
  <si>
    <t>Rurality</t>
  </si>
  <si>
    <t>Outcome and Smoke Alarms Installed</t>
  </si>
  <si>
    <t>Distinct Properties</t>
  </si>
  <si>
    <t>Households Visited</t>
  </si>
  <si>
    <t>Deprivation</t>
  </si>
  <si>
    <t>Home Fire Safety Visits (HFSV) by Outcome and Smoke Alarms Installed, by Local Authority - Percentage</t>
  </si>
  <si>
    <t>Home Fire Safety Visits (HFSV) by Outcome, by Local Authority - Percentage of Households</t>
  </si>
  <si>
    <t>Non-domestic Fire Safety</t>
  </si>
  <si>
    <t>Workflows</t>
  </si>
  <si>
    <t>Risk</t>
  </si>
  <si>
    <t>Premises Type</t>
  </si>
  <si>
    <t>Outcome and Time for Completion</t>
  </si>
  <si>
    <t>Notices Issued</t>
  </si>
  <si>
    <t>Non-domestic Fire Safety Charts</t>
  </si>
  <si>
    <t>Category</t>
  </si>
  <si>
    <t xml:space="preserve"> Resilience Appliances</t>
  </si>
  <si>
    <t>Link</t>
  </si>
  <si>
    <t>link</t>
  </si>
  <si>
    <t>Reporting Structure</t>
  </si>
  <si>
    <t>GRS1</t>
  </si>
  <si>
    <t>FS_CM1</t>
  </si>
  <si>
    <t>FS_CMLA1</t>
  </si>
  <si>
    <t>FS_PC1</t>
  </si>
  <si>
    <t>FS_PCLA1</t>
  </si>
  <si>
    <t>C_FS_P1</t>
  </si>
  <si>
    <t>C_FS_M1</t>
  </si>
  <si>
    <t>FL_LA1</t>
  </si>
  <si>
    <t>FL_TY1</t>
  </si>
  <si>
    <t>Disability - Not Known</t>
  </si>
  <si>
    <t>C_FS_LAB1</t>
  </si>
  <si>
    <t>WF_STH1</t>
  </si>
  <si>
    <t>WF_STF1</t>
  </si>
  <si>
    <t>WF_STDEF1</t>
  </si>
  <si>
    <t>WF_STDEH1</t>
  </si>
  <si>
    <t>WF_STRSH1</t>
  </si>
  <si>
    <t>WF_STGAH1</t>
  </si>
  <si>
    <t>WF_STRH1</t>
  </si>
  <si>
    <t>WF_STRRSH1</t>
  </si>
  <si>
    <t>WF_WRGAH1</t>
  </si>
  <si>
    <t>WF_RRGH1</t>
  </si>
  <si>
    <t>C_WF_STH1</t>
  </si>
  <si>
    <t>C_WF_STF1</t>
  </si>
  <si>
    <t>C_WF_STGH1</t>
  </si>
  <si>
    <t>C_WF_STARH1</t>
  </si>
  <si>
    <t>AT_ROIS1</t>
  </si>
  <si>
    <t>AT_NOIS1</t>
  </si>
  <si>
    <t>AT_ROILAS1</t>
  </si>
  <si>
    <t>C_ATS1</t>
  </si>
  <si>
    <t>C_ATIS1</t>
  </si>
  <si>
    <t>Rate of Households</t>
  </si>
  <si>
    <t>C_HV_OS1</t>
  </si>
  <si>
    <t>C_HV_AIS1</t>
  </si>
  <si>
    <t>C_HV_RURP1</t>
  </si>
  <si>
    <t>C_HV_RESP1</t>
  </si>
  <si>
    <t>C_HV_LAP1</t>
  </si>
  <si>
    <t>C_ND_WS1</t>
  </si>
  <si>
    <t>C_ND_RS1</t>
  </si>
  <si>
    <t>WF_CRGH1</t>
  </si>
  <si>
    <t>WF_SRGH1</t>
  </si>
  <si>
    <t>WF_VRGH1</t>
  </si>
  <si>
    <t>WF_WRGF1</t>
  </si>
  <si>
    <t>WF_RRGF1</t>
  </si>
  <si>
    <t>WF_CRGF1</t>
  </si>
  <si>
    <t>WF_SRGF1</t>
  </si>
  <si>
    <t>WF_STGH1</t>
  </si>
  <si>
    <t>WF_STG2H1</t>
  </si>
  <si>
    <t>WF_STGRH1</t>
  </si>
  <si>
    <t>WF_STGRF1</t>
  </si>
  <si>
    <t>WF_STARH1</t>
  </si>
  <si>
    <t>WF_STARP1</t>
  </si>
  <si>
    <t>WF_STSLH1</t>
  </si>
  <si>
    <t>WF_STSLP1</t>
  </si>
  <si>
    <t>WF_STETP1</t>
  </si>
  <si>
    <t>WF_STDIP1</t>
  </si>
  <si>
    <t>WF_STDNP1</t>
  </si>
  <si>
    <t>WF_NEARS1</t>
  </si>
  <si>
    <t>WF_NEGS1</t>
  </si>
  <si>
    <t>WF_NEETP1</t>
  </si>
  <si>
    <t>WF_NEDIP1</t>
  </si>
  <si>
    <t>WF_LERLP1</t>
  </si>
  <si>
    <t>HV_OS1</t>
  </si>
  <si>
    <t>HV_OR1</t>
  </si>
  <si>
    <t>HV_HR1</t>
  </si>
  <si>
    <t>HV_DPS1</t>
  </si>
  <si>
    <t>HV_DPAIS1</t>
  </si>
  <si>
    <t>HV_DPP1</t>
  </si>
  <si>
    <t>HV_DPAIP1</t>
  </si>
  <si>
    <t>HV_RESARS1</t>
  </si>
  <si>
    <t>HV_RESARP1</t>
  </si>
  <si>
    <t>HV_DEPS1</t>
  </si>
  <si>
    <t>HV_DEPP1</t>
  </si>
  <si>
    <t>HV_RURS1</t>
  </si>
  <si>
    <t>HV_RURP1</t>
  </si>
  <si>
    <t>HV_OLAS1</t>
  </si>
  <si>
    <t>HV_OLAP1</t>
  </si>
  <si>
    <t>HV_OLAR1</t>
  </si>
  <si>
    <t>ND_WS1</t>
  </si>
  <si>
    <t>ND_APTS1</t>
  </si>
  <si>
    <t>ND_APTLA1</t>
  </si>
  <si>
    <t>ND_OTS1</t>
  </si>
  <si>
    <t>ND_OTPTS1</t>
  </si>
  <si>
    <t>ND_OTPTLAS1</t>
  </si>
  <si>
    <t>ND_NIS1</t>
  </si>
  <si>
    <t>ND_ARS1</t>
  </si>
  <si>
    <t>ND_ARP1</t>
  </si>
  <si>
    <t>There are five station crewing models in use in Scotland. These aggregate into the three primary crewing types which are also published. Please see the Guidance Notes publication for definitions and further details.</t>
  </si>
  <si>
    <t>Stations which operate with more than one crewing model are counted in the category with the highest level of cover. Please see the Guidance Notes document for definitions and further details.</t>
  </si>
  <si>
    <t>Chart Code</t>
  </si>
  <si>
    <t>It was not possible to publish data on the number of fire boats in 2013-14. The total appliances figure is consequently lower than other years, this is provided for information and should not be used for comparison between years.</t>
  </si>
  <si>
    <t>The Resilience Appliances figure for 2015-16 is an undercount. Year-to-year comparison in both the Resilience and Other Operational categories is not recommended. The issue stems from a mismatch between the CIPFA categories and those recorded on the national fleet system. This longstanding issue has led to variation in definitions prior to the formation of SFRS. Subsequently, while efforts have been made to mitigate this issue, it is still challenging to match these categories.</t>
  </si>
  <si>
    <t>It was not possible to backdate the Officer Response Vehicles or Other Vehicles categories as we can not determine, according to the CIPFA guidelines,  which cars were used operationaly in 2016-17 or previously. The figure for 2017-18 should be considered a foor value as this was mid way through the rollout of an officer provided car scheme. The count for 2018-19 should also be considered a lower estimate albeit more robust.</t>
  </si>
  <si>
    <t>Department' is not a term used internally by SFRS, rather SFRS is split into Directorates, Units and Functions. These departments are a merger of internal structures which have been produced for clarity.</t>
  </si>
  <si>
    <t>- in cells indicates where area breakdown by staff type is not applicable.</t>
  </si>
  <si>
    <t>The Brigade Manager category had included Deputy Assistant Chief Officers (DACOs) in 2014-15 and 2015-16, these are now counted in the Area manager category. This change could not be backdated.</t>
  </si>
  <si>
    <t>The Station Manager category formerly included a small number of staff at Local Authority level, since 2016-17 they have all been reported at Local Senior Officer Area.</t>
  </si>
  <si>
    <t>Please note that support staff category definitions are not as consistently applied as uniformed role categories.</t>
  </si>
  <si>
    <t>There were 12 volunteers whose age was not known in 2015-16, they have been excluded from the figures.</t>
  </si>
  <si>
    <t>Scotland (total)</t>
  </si>
  <si>
    <t>These figures present the ratio of staff headcount where a disability has been recorded, to the total headcount for each staff group.</t>
  </si>
  <si>
    <t>These figures present the ratio of staff headcount where SFRS does not know a disability status, to the total headcount for each staff group. Please note this does not include staff who have a record showing no disability.</t>
  </si>
  <si>
    <t>This table presents the age range of people who joined SFRS in 2018-19. Please note that the difference between those who joined SFRS and those who left is not the same as the change in headcount. It is possible for people to have multiple roles and staff already in the SFRS database will not be counted in these figures.</t>
  </si>
  <si>
    <t>Please note that the difference between those who joined SFRS and those who left is not the same as the change in headcount. It is possible for people to have multiple roles and staff already in the SFRS database will not be counted in these figures.</t>
  </si>
  <si>
    <t>An attack on SFRS personnel is recorded as 'Related to Operational Incidents' if it occurred on the way to, at the scene of, or returning from an operational incident, or affects Control Room staff responding to emergency calls.</t>
  </si>
  <si>
    <t>Light greyed cells have quality issues that should be considered before using the statistics.</t>
  </si>
  <si>
    <r>
      <t xml:space="preserve">Household data comes from </t>
    </r>
    <r>
      <rPr>
        <i/>
        <sz val="11"/>
        <rFont val="Calibri"/>
        <family val="2"/>
        <scheme val="minor"/>
      </rPr>
      <t>National Records of Scotland, Estimates of Households and Dwellings in Scotland</t>
    </r>
  </si>
  <si>
    <t>https://www.nrscotland.gov.uk/statistics-and-data/statistics/statistics-by-theme/households/household-estimates</t>
  </si>
  <si>
    <t>Non-repeat visits are those where the premises was not visited in the previous three years.</t>
  </si>
  <si>
    <t>These statistics are based on the number of distinct properties visited by SFRS over one year, three years and five years compared to the National Records of Scotland published Households statistics.</t>
  </si>
  <si>
    <t>These statistics are based on the number of distinct properties visited by SFRS over one year, three years and five years where smoke alarms were installed compared to the National Records of Scotland published Households statistics.</t>
  </si>
  <si>
    <t>This table presents aggregate figures of the residents of households visited. Where two people live in a household where one is aged 31 to 60 and the other aged over 60 then each person would be included in the appropriate total in this table regardless of whether they were in the home at the time of the visit. The total therefore provides the sum of all of the residents of every household which had a home fire safety visit.</t>
  </si>
  <si>
    <t>This table presents aggregate figures of the residents of households visited compared to the population of Scotland in each age range. In other words this is the percentage of the Scottish population who live in housholds which had a home fire safety visit by age range.</t>
  </si>
  <si>
    <r>
      <t xml:space="preserve">Population statistics are sourced from the National Records of Scotland </t>
    </r>
    <r>
      <rPr>
        <i/>
        <sz val="11"/>
        <color theme="1"/>
        <rFont val="Calibri"/>
        <family val="2"/>
        <scheme val="minor"/>
      </rPr>
      <t>Mid-year Population Estimates</t>
    </r>
  </si>
  <si>
    <t>https://www.nrscotland.gov.uk/statistics-and-data/statistics/statistics-by-theme/population/population-estimates/mid-year-population-estimates</t>
  </si>
  <si>
    <t>https://www2.gov.scot/Topics/Statistics/SIMD</t>
  </si>
  <si>
    <t>All years will be revised at the next update</t>
  </si>
  <si>
    <t>This table provides the number of home fire safety visits by the Scottish Government published Urban-Rural 6 Fold index.</t>
  </si>
  <si>
    <t>This table provides the rate of home fire safety visits per 100 Occupied Dwellings, by the Scottish Index of Multiple Deprivation quintiles where 1 is the 20% most deprived areas and 5 is the 20% least deprived areas.</t>
  </si>
  <si>
    <t>https://www.nrscotland.gov.uk/statistics-and-data/statistics/statistics-by-theme/households/household-estimates/small-area-statistics-on-households-and-dwellings</t>
  </si>
  <si>
    <t>https://www2.gov.scot/Topics/Statistics/About/Methodology/UrbanRuralClassification</t>
  </si>
  <si>
    <t>This table provides the rate of home fire safety visits per 100 Occupied Dwellings, by the Scottish Government published Urban-Rural 6 Fold index.</t>
  </si>
  <si>
    <t>The number of Enforcement and Prohibition Notices provided is the count of workflows fully completed rather than the count of notices issued within the financial year. Workflows which require Formal Notices can take years to fully complete. We also publish a table on notices issued by financial year.</t>
  </si>
  <si>
    <t>The number of Enforcement and Prohibition Notices provided is the count of workflows fully completed rather than the count of notices issued within the financial year. Workflows which require formal Notices can take years to fully complete. We also publish a table on the number of Formal Notices issued by financial year.</t>
  </si>
  <si>
    <t>Prohibition Notices may be issued without having first completed an audit, they are therefore recorded as Site Visits rather than Audits and are presented here for reader interest.</t>
  </si>
  <si>
    <t>Please note that risks should only be compared within category, i.e. a medium risk hotel does not contain the same risk as a medium risk shop.</t>
  </si>
  <si>
    <t>Scotland (excluding boats)</t>
  </si>
  <si>
    <t xml:space="preserve"> - Geographic Reporting Structure</t>
  </si>
  <si>
    <t>2019-20</t>
  </si>
  <si>
    <t>RDS Fulltime</t>
  </si>
  <si>
    <t>Stirling, Clackmannanshire and Fife</t>
  </si>
  <si>
    <t>Sum of 2019-20</t>
  </si>
  <si>
    <t>Capabilities</t>
  </si>
  <si>
    <t>Target Crewing Level</t>
  </si>
  <si>
    <t>Duty System</t>
  </si>
  <si>
    <t>Operational Crewing</t>
  </si>
  <si>
    <t>Incident Command Officers</t>
  </si>
  <si>
    <t>Wholetime Operational Staff by Duty System - Headcount</t>
  </si>
  <si>
    <t>Office Duties</t>
  </si>
  <si>
    <t>Trainees</t>
  </si>
  <si>
    <t>Sum of RDS Fulltime</t>
  </si>
  <si>
    <t>Rate of Home Fire Safety Visits by SIMD</t>
  </si>
  <si>
    <t>Visits</t>
  </si>
  <si>
    <t>pcAlarmsFitted</t>
  </si>
  <si>
    <t>Sum of pcAlarmsFitted</t>
  </si>
  <si>
    <t>SIMD2020_Quintile</t>
  </si>
  <si>
    <t>WithAlarmsFitted</t>
  </si>
  <si>
    <t>RateAlarmsFittedper100OccupiedDwellings</t>
  </si>
  <si>
    <t>OccupiedDwellings</t>
  </si>
  <si>
    <t>Tenure</t>
  </si>
  <si>
    <t>Housing Association</t>
  </si>
  <si>
    <t>Not Known</t>
  </si>
  <si>
    <t>Private Let</t>
  </si>
  <si>
    <t>Day</t>
  </si>
  <si>
    <t>Firefighting Capabilities</t>
  </si>
  <si>
    <t>Water Pumping</t>
  </si>
  <si>
    <t>Tactical Ability within Water Pumping</t>
  </si>
  <si>
    <t>1 Pump</t>
  </si>
  <si>
    <t>2 Pumps</t>
  </si>
  <si>
    <t>3 Pumps</t>
  </si>
  <si>
    <t>Rapid Response Unit</t>
  </si>
  <si>
    <t>High Volume Pump</t>
  </si>
  <si>
    <t>Water Carrier</t>
  </si>
  <si>
    <t>Wildfire</t>
  </si>
  <si>
    <t>Specialist Capabilities</t>
  </si>
  <si>
    <t>Flooding</t>
  </si>
  <si>
    <t>Swift Water Response</t>
  </si>
  <si>
    <t>Environ-mental Protection Unit</t>
  </si>
  <si>
    <t>Hazmat Support Unit</t>
  </si>
  <si>
    <t>High Reach Rescue</t>
  </si>
  <si>
    <t>Rope Rescue</t>
  </si>
  <si>
    <t>Urban Search and Rescue</t>
  </si>
  <si>
    <t>Heavy Rescue</t>
  </si>
  <si>
    <t>Detection, Identification and Monitoring Unit</t>
  </si>
  <si>
    <t>Mass Decontamination</t>
  </si>
  <si>
    <t>Welfare</t>
  </si>
  <si>
    <t>Target Crewing Level By Type</t>
  </si>
  <si>
    <t>Owner Occupied</t>
  </si>
  <si>
    <t>The statistics included in this workbook are classed as Official Statistics. This means that they were produced in complinance with the Code of Practice for Statistics and without political interference.</t>
  </si>
  <si>
    <t>Updates are published annually in this workbook, please source statistics from the latest version.</t>
  </si>
  <si>
    <t>SFRS Local Senior Officer Area</t>
  </si>
  <si>
    <t>Formal Local Senior Officer Area</t>
  </si>
  <si>
    <t>Council</t>
  </si>
  <si>
    <t>We have implemented a methodology change for counting Fire Stations which results in the number of volunteer stations increasing by 1 to 43. This change has been backdated. This follows user consultation in 2019.</t>
  </si>
  <si>
    <t>Wholetime crewing involves 24 hour cover.</t>
  </si>
  <si>
    <t>Stations with Tactical Capabilities</t>
  </si>
  <si>
    <t>Total Tactical Capabilities</t>
  </si>
  <si>
    <t>Stations with Specialist Capabilities</t>
  </si>
  <si>
    <t>Total Specialist Capabilities</t>
  </si>
  <si>
    <t>Capabilities can be determined both by the presence of equipment or vehicles, and trained personnel.</t>
  </si>
  <si>
    <t>A single crew can be trained and resourced for multiple capabilites which are mobiliesed based on need, this 'Dual Crewing' is common place.</t>
  </si>
  <si>
    <t>High Reach Rescue vehicles, while a specialist capability in their own right, can also be used as a tactical capabiltiy in firefighting where water is pumped down onto a fire from height.</t>
  </si>
  <si>
    <t>FS_TCL1</t>
  </si>
  <si>
    <t>FS_CAP1</t>
  </si>
  <si>
    <t>Fire Stations and Capabilities</t>
  </si>
  <si>
    <t xml:space="preserve"> - Fire Stations and Capabilities</t>
  </si>
  <si>
    <t>Fire Station Capabilities</t>
  </si>
  <si>
    <t>SFRS Fleet data is administed principally for the purpose of managing the lifecycle and maintenance of vehicles. Identifying vehicles as operational, reserve or training is conducted as accurately as possible but may not be exact. Please see station capabilites for details of what is available for operational response.</t>
  </si>
  <si>
    <t>In 2020 we introduced a new staff type, Retained Full-time. This staff group work in areas with a cluster of Retained Duty System stations and supplement the local on-call cover, as well as conduct local community engagement.</t>
  </si>
  <si>
    <t>Retained Full-time</t>
  </si>
  <si>
    <t>1:LA Total</t>
  </si>
  <si>
    <t>2:LSO Total</t>
  </si>
  <si>
    <t>3:SDA Total</t>
  </si>
  <si>
    <t>4:National Total</t>
  </si>
  <si>
    <t>Wholetime Operational Staff by Duty System and Local Authority - Headcount</t>
  </si>
  <si>
    <t>Brigade Commander</t>
  </si>
  <si>
    <t>Area Commander</t>
  </si>
  <si>
    <t>Group Commander</t>
  </si>
  <si>
    <t>Station Commander</t>
  </si>
  <si>
    <t>Watch Commander</t>
  </si>
  <si>
    <t>Crew Commander</t>
  </si>
  <si>
    <t>The Brigade Commander category had included Deputy Assistant Chief Officers (DACOs) in 2014-15 and 2015-16, these are now counted in the Area Commander category. This change could not be backdated.</t>
  </si>
  <si>
    <t>The staff role category names were changed in 2020 from 'Manager' to 'Commander' as SFRS changed this language internally, this ensures consistency of language in describing Uniformed Staff Roles in Scotland. There has been no change to the definitions of the roles and they remain comparable with categories used elsewhere, e.g. Area Commander is synonymous with Area Manager.</t>
  </si>
  <si>
    <t>Operational Crews</t>
  </si>
  <si>
    <t>Sum of Brigade Commander</t>
  </si>
  <si>
    <t>Sum of Area Commander</t>
  </si>
  <si>
    <t>Sum of Group Commander</t>
  </si>
  <si>
    <t>Sum of Station Commander</t>
  </si>
  <si>
    <t>Sum of Watch Commander</t>
  </si>
  <si>
    <t>Sum of Crew Commander</t>
  </si>
  <si>
    <t>It was not possible to backdate Ethnicity figures for Retained Full-time staff to their inception in 2017-18.</t>
  </si>
  <si>
    <t>It was not possible to backdate Disability figures for Retained Full-time staff to their inception in 2017-18.</t>
  </si>
  <si>
    <t>Disabled</t>
  </si>
  <si>
    <t>Not Disabled</t>
  </si>
  <si>
    <t>Dismissal</t>
  </si>
  <si>
    <t>End of contract</t>
  </si>
  <si>
    <t>Resignation</t>
  </si>
  <si>
    <t>Retirement - 30 Years Service</t>
  </si>
  <si>
    <t>Retirement - Age</t>
  </si>
  <si>
    <t>Retirement - Early</t>
  </si>
  <si>
    <t>Retirement - Health</t>
  </si>
  <si>
    <t>Transfer - To another F&amp;R Service</t>
  </si>
  <si>
    <t>TUPE Transfer</t>
  </si>
  <si>
    <t>Voluntary Severance</t>
  </si>
  <si>
    <t>C_WF_STSLH1</t>
  </si>
  <si>
    <t>WF_STDSH1</t>
  </si>
  <si>
    <t>WF_STDSLAH1</t>
  </si>
  <si>
    <t>WF_STRDSH1</t>
  </si>
  <si>
    <t>C_ATSLA1</t>
  </si>
  <si>
    <t>Attacks</t>
  </si>
  <si>
    <t>Two new categories of work initiated in 2019-20. Post Fire Short Audits take place when a premises which has been fully audited in the last year has a fire incident. Fire Engineering Consultations are provided by a specialist team to advise new building works.</t>
  </si>
  <si>
    <t>Due to quality concerns arising from a change in data collection software, hours recorded cannot be reported for 2019-20.</t>
  </si>
  <si>
    <t>Audits by Premises Type and Risk Share</t>
  </si>
  <si>
    <t>C_ND_RS2</t>
  </si>
  <si>
    <t>Risk Share</t>
  </si>
  <si>
    <t>Asset Management</t>
  </si>
  <si>
    <t>Business Support</t>
  </si>
  <si>
    <t>Finance &amp; Procurement</t>
  </si>
  <si>
    <t>Health and Safety</t>
  </si>
  <si>
    <t xml:space="preserve">Information Communication Technology </t>
  </si>
  <si>
    <t>People &amp; Organisational Development</t>
  </si>
  <si>
    <t>Prevention and Protection</t>
  </si>
  <si>
    <t>Response and Resilience</t>
  </si>
  <si>
    <t>Senior Leadership Team</t>
  </si>
  <si>
    <t>Service Delivery</t>
  </si>
  <si>
    <t>Service Transformation</t>
  </si>
  <si>
    <t>Strategic Planning Performance and Communication</t>
  </si>
  <si>
    <t>Training and Employee Development</t>
  </si>
  <si>
    <t>Tenure of Households Visited in Home Fire Safety Visits</t>
  </si>
  <si>
    <t>HV_TENS1</t>
  </si>
  <si>
    <t>Home Fire Safety Visits with Alarms Installed by Deprivation of Area - Percentage of Occupied Dwellings</t>
  </si>
  <si>
    <t>Rate of Home Fire Safety Visits with Alarms Installed per 100 Occupied Dwellings by SIMD Quintile</t>
  </si>
  <si>
    <t>Percentage of Home Fire Safety Visits with Alarms Installed by SIMD Quintile</t>
  </si>
  <si>
    <t>Percentage of Home Fire Safety Visits with Alarms Installed in Owner Occupied Properties by SIMD Quintile</t>
  </si>
  <si>
    <t>Percentage of Home Fire Safety Visits with Alarms Installed by Deprivation of Area</t>
  </si>
  <si>
    <t>Percentage of Home Fire Safety Visits with Alarms Installed in Owner Occupied Properties by Deprivation of Area</t>
  </si>
  <si>
    <t>This table uses the Scottish Index of Multiple Deprivation quintiles where 1 is the 20% most deprived areas and 5 is the 20% least deprived areas.</t>
  </si>
  <si>
    <t>C_HV_SIMDP1</t>
  </si>
  <si>
    <t>Rate of Home Fire Safety Visits with Alarms Installed by SIMD Quintile</t>
  </si>
  <si>
    <t>C_HV_SIMDAR1</t>
  </si>
  <si>
    <t>C_HV_SIMDAP1</t>
  </si>
  <si>
    <t>C_HV_SIMDOOP1</t>
  </si>
  <si>
    <t>Alarms</t>
  </si>
  <si>
    <t>HV_DEPALS1</t>
  </si>
  <si>
    <t>HV_DEPALR1</t>
  </si>
  <si>
    <t>HV_DEPALPER1</t>
  </si>
  <si>
    <t>HV_DEPALOOCP1</t>
  </si>
  <si>
    <t>Trend</t>
  </si>
  <si>
    <t>C_HV_SIMDOOCT1</t>
  </si>
  <si>
    <t>C_HV_LAM1</t>
  </si>
  <si>
    <t>C_HV_LAALM1</t>
  </si>
  <si>
    <t>Percentage of Alarms Installed Home Fire Safety Visits by Local Authority</t>
  </si>
  <si>
    <t>C_HV_LAALPM1</t>
  </si>
  <si>
    <t>Note</t>
  </si>
  <si>
    <t>Volunteer staff figures presented in this table differ from that in the headline Staffing table as a methodology revision was not backdated in order to protect privacy.</t>
  </si>
  <si>
    <t>2020-21</t>
  </si>
  <si>
    <t>In 2019-20 we implemented a methodology change for counting Fire Stations which results in the number of volunteer stations increasing by 1 to 43. This change has been backdated. This follows user consultation in 2019.</t>
  </si>
  <si>
    <t>In 2019-20, we implemented a methodology change for counting Fire Stations which results in the number of volunteer stations increasing by 1 to 43. This change has been backdated. This follows user consultation in 2019.</t>
  </si>
  <si>
    <t>Incidents Resulting in Injuries</t>
  </si>
  <si>
    <t>S12000049</t>
  </si>
  <si>
    <t>S12000050</t>
  </si>
  <si>
    <t>2010-11</t>
  </si>
  <si>
    <t>2</t>
  </si>
  <si>
    <t>3</t>
  </si>
  <si>
    <t>4</t>
  </si>
  <si>
    <t>GSSCode</t>
  </si>
  <si>
    <t>TotalNewAlarms</t>
  </si>
  <si>
    <t>TotalReplacedAlarms</t>
  </si>
  <si>
    <t>TotalAlarms</t>
  </si>
  <si>
    <t>Dwellings</t>
  </si>
  <si>
    <t>VisitsPer100Dwelling</t>
  </si>
  <si>
    <t>AlarmsPer100Dwelling</t>
  </si>
  <si>
    <t>VisitsPer100Household</t>
  </si>
  <si>
    <t>AlarmsPer100Household</t>
  </si>
  <si>
    <t>Sum of HFSV - alarms installed</t>
  </si>
  <si>
    <t>Sum of HFSV - advice only</t>
  </si>
  <si>
    <t>Sum of Total HFSV</t>
  </si>
  <si>
    <t>Number of Scottish Population living in Households who had a HFSV</t>
  </si>
  <si>
    <t>Post Fire Short Audits</t>
  </si>
  <si>
    <t>Site Visits</t>
  </si>
  <si>
    <t>2009-10</t>
  </si>
  <si>
    <t>Other Workplace</t>
  </si>
  <si>
    <t>Other Sleeping Accomm</t>
  </si>
  <si>
    <t>S12000048</t>
  </si>
  <si>
    <t>Na h-Eileanan an Iar</t>
  </si>
  <si>
    <t>Sum of Other Sleeping Accomm</t>
  </si>
  <si>
    <t>A_Tally</t>
  </si>
  <si>
    <t>A_Hours</t>
  </si>
  <si>
    <t>B_Tally</t>
  </si>
  <si>
    <t>B_Hours</t>
  </si>
  <si>
    <t>Enforcement_Tally</t>
  </si>
  <si>
    <t>Enforcement_Hours</t>
  </si>
  <si>
    <t>Prohibition_Tally</t>
  </si>
  <si>
    <t>Prohibition_Hours</t>
  </si>
  <si>
    <t>FSEC</t>
  </si>
  <si>
    <t>PremisesType</t>
  </si>
  <si>
    <t>VL</t>
  </si>
  <si>
    <t>VH</t>
  </si>
  <si>
    <t>Sum of Not Known</t>
  </si>
  <si>
    <t>Type</t>
  </si>
  <si>
    <t>PostConv</t>
  </si>
  <si>
    <t>Watch manager</t>
  </si>
  <si>
    <t>Control Total</t>
  </si>
  <si>
    <t>RDS Total</t>
  </si>
  <si>
    <t>Support Total</t>
  </si>
  <si>
    <t>Vol Total</t>
  </si>
  <si>
    <t>WT Total</t>
  </si>
  <si>
    <t>RDS Fulltime Total</t>
  </si>
  <si>
    <t>Retained Full Time (total)</t>
  </si>
  <si>
    <t xml:space="preserve">  Watch Manager</t>
  </si>
  <si>
    <t>20-29</t>
  </si>
  <si>
    <t>30-39</t>
  </si>
  <si>
    <t>55-65</t>
  </si>
  <si>
    <t>Not Recorded</t>
  </si>
  <si>
    <t>Value</t>
  </si>
  <si>
    <t>Sum of Wholetime Operational</t>
  </si>
  <si>
    <t>Sum of Retained Duty System</t>
  </si>
  <si>
    <t>Sum of Retained Full-time</t>
  </si>
  <si>
    <t>Sum of Support Staff</t>
  </si>
  <si>
    <t>Sum of Volunteers</t>
  </si>
  <si>
    <t>ReportingLevel</t>
  </si>
  <si>
    <t>lvl</t>
  </si>
  <si>
    <t>Dumfries and Gallowa</t>
  </si>
  <si>
    <t>Stirling and Clackmannanshire</t>
  </si>
  <si>
    <t>Sum of Operational Crewing</t>
  </si>
  <si>
    <t>Sum of Incident Command Officers</t>
  </si>
  <si>
    <t>Sum of Office Duties</t>
  </si>
  <si>
    <t>Sum of Trainees</t>
  </si>
  <si>
    <t>EmployeeGroup</t>
  </si>
  <si>
    <t>Watch Manger</t>
  </si>
  <si>
    <t/>
  </si>
  <si>
    <t>S39000019</t>
  </si>
  <si>
    <t>S39000012</t>
  </si>
  <si>
    <t>S39000014</t>
  </si>
  <si>
    <t>S39000016</t>
  </si>
  <si>
    <t>Total Sum of White</t>
  </si>
  <si>
    <t>Total Sum of Ethnic Minority</t>
  </si>
  <si>
    <t>Total Sum of Not Stated</t>
  </si>
  <si>
    <t>Other Fleet Vehicles (excl Officer Response Vehicles)</t>
  </si>
  <si>
    <t>Total Vehicles (incl boats)</t>
  </si>
  <si>
    <t>Other Operational</t>
  </si>
  <si>
    <t>Sum of Resilience Appliances</t>
  </si>
  <si>
    <t>Sum of Vehicles for Rescue Work</t>
  </si>
  <si>
    <t>Sum of Other Operational</t>
  </si>
  <si>
    <t>Sum of Total Appliances</t>
  </si>
  <si>
    <t>Percentage of Visits</t>
  </si>
  <si>
    <t>Total (excluding volunters)</t>
  </si>
  <si>
    <t>LA</t>
  </si>
  <si>
    <t>2021-22</t>
  </si>
  <si>
    <t>NORTH AYRSHIRE</t>
  </si>
  <si>
    <t>CITY OF EDINBURGH</t>
  </si>
  <si>
    <t>EAST LOTHIAN</t>
  </si>
  <si>
    <t>FIFE</t>
  </si>
  <si>
    <t>SHETLAND ISLANDS</t>
  </si>
  <si>
    <t>Directorate</t>
  </si>
  <si>
    <t>Unit</t>
  </si>
  <si>
    <t>Finance &amp; Contractual Services</t>
  </si>
  <si>
    <t>Local Senior Officer Areas</t>
  </si>
  <si>
    <t>Training, Safety &amp; Assurance</t>
  </si>
  <si>
    <t>Projects</t>
  </si>
  <si>
    <t>Operations</t>
  </si>
  <si>
    <t>Service Development</t>
  </si>
  <si>
    <t>Strategic Leadership Team</t>
  </si>
  <si>
    <t>People &amp;  Organisational Development</t>
  </si>
  <si>
    <t>Safety &amp; Assurance</t>
  </si>
  <si>
    <t>Prevention &amp; Protection</t>
  </si>
  <si>
    <t>Strategic Planning, Performance &amp; Communication</t>
  </si>
  <si>
    <t>Corporate Governance</t>
  </si>
  <si>
    <t>Information Communication Technology</t>
  </si>
  <si>
    <t>Communications and Engagement</t>
  </si>
  <si>
    <t>Health, Safety and Organisational Wellbeing</t>
  </si>
  <si>
    <t>Human Resources Organisational Development</t>
  </si>
  <si>
    <t>Over 75</t>
  </si>
  <si>
    <t>S39000020</t>
  </si>
  <si>
    <t>S39000021</t>
  </si>
  <si>
    <t>S39000022</t>
  </si>
  <si>
    <t>Aberdeen City, Aberdeenshire and Moray</t>
  </si>
  <si>
    <t>S39000023</t>
  </si>
  <si>
    <t>Lanarkshire</t>
  </si>
  <si>
    <t>S39000024</t>
  </si>
  <si>
    <t>This table maps the geographic areas in the SFRS organisational structure. The 32 Local Authority areas are mapped to the 14 Formal Local Senior Officer Areas and Local Senior Officer Areas in use by SFRS, and 3 Service Delivery Areas.</t>
  </si>
  <si>
    <t>Please note that in 2019-20, SFRS merged the 'Stirling and Clackmannanshire' and 'Fife' LSO areas to form the new 'Stirling, Clackmannanshire and Fife' area. In 2021-22, SFRS merged 'Aberdeen City' and 'Aberdeenshire and Moray' to form the new 'Aberdeen City, Aberdeenshire and Moray area. SFRS also merged 'North Lanarkshire' and 'South Lanarkshire' to from the new 'Lanarkshire' area in 2021-22.</t>
  </si>
  <si>
    <t>Specialist Operational Response</t>
  </si>
  <si>
    <t>Enhanced Logistical support/Command Support Unit</t>
  </si>
  <si>
    <t>Stations with National Fire Resilience Capabilities</t>
  </si>
  <si>
    <t>SFRS National Fire Resilience Capabilities</t>
  </si>
  <si>
    <t>Total National Fire Resilience Capabilities</t>
  </si>
  <si>
    <t xml:space="preserve">SFRS have chosen to remove Marine, Foam and Prime Movers as Capabilities in 2021-22. Foam is seen as being a firefighting medium, rather than a capability. Marine response does not have specialist capabilities attributed that are not already included in the existing categories, removing duplication. Prime Movers are used to transport certain capabilities and this removes duplication. </t>
  </si>
  <si>
    <t>S40000002</t>
  </si>
  <si>
    <t>EthStat</t>
  </si>
  <si>
    <t>DisStat</t>
  </si>
  <si>
    <t>Please note that the difference between those who joined SFRS and those who left is not the same as the change in headcount. Staff are recorded as leaving when they are no longer in a post with SFRS.</t>
  </si>
  <si>
    <t>Please note that 'All Scotland' figures do not always equal total Home Fire Safety Visit figures as it is not always possible to find out the SIMD Quintile for every visit.</t>
  </si>
  <si>
    <t>Please note that 'All Scotland' figures do not always equal total Home Fire Safety Visit figures as it is not always possible to find out the Urban Rural 6 Fold Category for every visit.</t>
  </si>
  <si>
    <t>SFRS Fleet data is administed principally for the purpose of managing the lifecycle and maintenance of vehicles. Identifying vehicles as operational, reserve or training is conducted as accurately as possible but may not be exact. Please see Capabilites for details of what is available for operational response.</t>
  </si>
  <si>
    <t>Support staff are reported nationally for these statistics. Reporting at Senior Officer Area and Service Delivery Area has been trialled in previous years however the SFRS support staff structure does not fit well with reporting at that geographic level and so has been removed.</t>
  </si>
  <si>
    <t>This table provides the number of Home Fire Safety Visits by the Scottish Index of Multiple Deprivation quintiles where 1 is the 20% most deprived areas and 5 is the 20% least deprived areas.</t>
  </si>
  <si>
    <t>Males</t>
  </si>
  <si>
    <t>Retained Fulltime (total)</t>
  </si>
  <si>
    <t>2022-23</t>
  </si>
  <si>
    <t>Fiscal_Yr</t>
  </si>
  <si>
    <t>Capability</t>
  </si>
  <si>
    <t>CSU</t>
  </si>
  <si>
    <t>DIM</t>
  </si>
  <si>
    <t>EPU</t>
  </si>
  <si>
    <t>Flood</t>
  </si>
  <si>
    <t>HighR</t>
  </si>
  <si>
    <t>HSU</t>
  </si>
  <si>
    <t>HVP</t>
  </si>
  <si>
    <t>HvR</t>
  </si>
  <si>
    <t>MD</t>
  </si>
  <si>
    <t>ONE PUMP</t>
  </si>
  <si>
    <t>Rope</t>
  </si>
  <si>
    <t>RRU</t>
  </si>
  <si>
    <t>SOR</t>
  </si>
  <si>
    <t>SRT</t>
  </si>
  <si>
    <t>THREE PUMPS</t>
  </si>
  <si>
    <t>TWO PUMPS</t>
  </si>
  <si>
    <t>USAR</t>
  </si>
  <si>
    <t>Water C</t>
  </si>
  <si>
    <t>Sum of Value</t>
  </si>
  <si>
    <t>CapabilityType</t>
  </si>
  <si>
    <t>National Fire Resilience</t>
  </si>
  <si>
    <t>Specialist</t>
  </si>
  <si>
    <t>Tactical</t>
  </si>
  <si>
    <t>Specialist Total</t>
  </si>
  <si>
    <t>Tactical Total</t>
  </si>
  <si>
    <t>(blank) Total</t>
  </si>
  <si>
    <t>Number of Stations with Capability</t>
  </si>
  <si>
    <t>Sum of Number of Stations with Capability</t>
  </si>
  <si>
    <t>MTA</t>
  </si>
  <si>
    <t>NationalFireResilience</t>
  </si>
  <si>
    <t>Prime Movers</t>
  </si>
  <si>
    <t>Foam</t>
  </si>
  <si>
    <t>MOG</t>
  </si>
  <si>
    <t>WaterPumping</t>
  </si>
  <si>
    <t>NationalFireResilience Total</t>
  </si>
  <si>
    <t>WaterPumping Total</t>
  </si>
  <si>
    <t>An attack on SFRS personnel is recorded as 'not Related to Operational Incidents' if it did not occur on the way to, during or returning from an operational incident, however may still affect Control Room staff responding to emergency calls.</t>
  </si>
  <si>
    <t>Hours3</t>
  </si>
  <si>
    <t>Figures were not reported in 2021-22 and 2022-23 due to known quality issues with smoke alarm data. Please see Guidance Notes and Statistical News for further information.</t>
  </si>
  <si>
    <t>Staff counts are provided at the geographic area appropriate for the staff type and position in the SFRS working structure. For example Wholetime Operational staff crewing an appliance in a fire station are reported at local authority while Wholetime Operational staff who work in prevention would report at Local Senior Officer Area as their work relates to that geographic area. Support staff are reported nationally.</t>
  </si>
  <si>
    <t>PUMPS</t>
  </si>
  <si>
    <t>Rate of Home Fire Safety Visits per 100 Households by Local Authority - Map</t>
  </si>
  <si>
    <t>Please note that these headcount figures do not represent our Target Operating Model.</t>
  </si>
  <si>
    <t>Count</t>
  </si>
  <si>
    <t>2023-24</t>
  </si>
  <si>
    <t>Sum of Audits</t>
  </si>
  <si>
    <t>Sum of Post Fire Short Audits</t>
  </si>
  <si>
    <t>Sum of Site Visits</t>
  </si>
  <si>
    <t>Sum of Consultations</t>
  </si>
  <si>
    <t>Sum of Count</t>
  </si>
  <si>
    <t>Fire Engineering Consultations</t>
  </si>
  <si>
    <t>FiscalYr</t>
  </si>
  <si>
    <t>Short Post Fire Audits</t>
  </si>
  <si>
    <t>30th August 2024</t>
  </si>
  <si>
    <t>Sum of Fire Boats</t>
  </si>
  <si>
    <t>Sum of Other</t>
  </si>
  <si>
    <t>Sum of Officer Response Vehicles</t>
  </si>
  <si>
    <t>Sum of Reserve Appliances</t>
  </si>
  <si>
    <t>Sum of Training Appliances</t>
  </si>
  <si>
    <t>Sum of Other Fleet Vehicles (excl Officer Response Vehicles)</t>
  </si>
  <si>
    <t>Sum of Total Vehicles (incl boats)</t>
  </si>
  <si>
    <t>WholeTime Operational</t>
  </si>
  <si>
    <t>Sum of WholeTime Operational</t>
  </si>
  <si>
    <t>ORKNEY ISLANDS</t>
  </si>
  <si>
    <t>MORAY</t>
  </si>
  <si>
    <t>ORDNANCE SURVEY</t>
  </si>
  <si>
    <t>SCOTTISH FIRE AND RESCUE SERVICE</t>
  </si>
  <si>
    <t>WTFemale</t>
  </si>
  <si>
    <t>WTMale</t>
  </si>
  <si>
    <t>RDSFemale</t>
  </si>
  <si>
    <t>RDSMale</t>
  </si>
  <si>
    <t>RDS FulltimeFemale</t>
  </si>
  <si>
    <t>RDS FulltimeMale</t>
  </si>
  <si>
    <t>ControlFemale</t>
  </si>
  <si>
    <t>ControlMale</t>
  </si>
  <si>
    <t>SupportFemale</t>
  </si>
  <si>
    <t>SupportMale</t>
  </si>
  <si>
    <t>VolFemale</t>
  </si>
  <si>
    <t>VolMale</t>
  </si>
  <si>
    <t>Sum of WTFemale</t>
  </si>
  <si>
    <t>Sum of WTMale</t>
  </si>
  <si>
    <t>Sum of RDSFemale</t>
  </si>
  <si>
    <t>Sum of RDSMale</t>
  </si>
  <si>
    <t>Sum of RDS FulltimeFemale</t>
  </si>
  <si>
    <t>Sum of RDS FulltimeMale</t>
  </si>
  <si>
    <t>Sum of ControlFemale</t>
  </si>
  <si>
    <t>Sum of ControlMale</t>
  </si>
  <si>
    <t>Sum of SupportFemale</t>
  </si>
  <si>
    <t>Sum of SupportMale</t>
  </si>
  <si>
    <t>Sum of VolFemale</t>
  </si>
  <si>
    <t>Sum of VolMale</t>
  </si>
  <si>
    <t>66 and over</t>
  </si>
  <si>
    <t>Retained Fulltime</t>
  </si>
  <si>
    <t>Sum of Retained Fulltime</t>
  </si>
  <si>
    <t>Sum of Total (excluding volunters)</t>
  </si>
  <si>
    <t>Total (excluding Volunteers)</t>
  </si>
  <si>
    <t>Objects thrown at firefighters/appliances</t>
  </si>
  <si>
    <t>Other acts of aggression</t>
  </si>
  <si>
    <t>Verbal abuse</t>
  </si>
  <si>
    <t>Physical abuse</t>
  </si>
  <si>
    <t>Sum of 2021-22</t>
  </si>
  <si>
    <t>Sum of 2022-23</t>
  </si>
  <si>
    <t>Sum of 2023-24</t>
  </si>
  <si>
    <t>Sum of 2020-21</t>
  </si>
  <si>
    <t>Redundancy</t>
  </si>
  <si>
    <t>Operational Delivery</t>
  </si>
  <si>
    <t>People</t>
  </si>
  <si>
    <t xml:space="preserve"> Talent</t>
  </si>
  <si>
    <t xml:space="preserve"> Wellbeing</t>
  </si>
  <si>
    <t>Portfolio Office</t>
  </si>
  <si>
    <t xml:space="preserve"> AASI</t>
  </si>
  <si>
    <t xml:space="preserve"> Programme and Project Delivery</t>
  </si>
  <si>
    <t>PP&amp;P</t>
  </si>
  <si>
    <t xml:space="preserve"> Preparedness</t>
  </si>
  <si>
    <t xml:space="preserve"> Prevention</t>
  </si>
  <si>
    <t xml:space="preserve"> Protection</t>
  </si>
  <si>
    <t>Sum of New</t>
  </si>
  <si>
    <t>Sum of Replacement</t>
  </si>
  <si>
    <t>Sum of Under 5s</t>
  </si>
  <si>
    <t>Sum of 5 to 10</t>
  </si>
  <si>
    <t>Sum of 11 to 16</t>
  </si>
  <si>
    <t>Sum of 17 to 30</t>
  </si>
  <si>
    <t>Sum of 31 to 60</t>
  </si>
  <si>
    <t>Sum of Over 60</t>
  </si>
  <si>
    <t>Sum of All Residents</t>
  </si>
  <si>
    <t>Please note that in 2023-24, population figures for 2022 were used as there was not a more recent update. Please see Statistical News for further details.</t>
  </si>
  <si>
    <t>NotKnown</t>
  </si>
  <si>
    <t>Sum of 1 - Most Deprived 20%</t>
  </si>
  <si>
    <t>Sum of 2</t>
  </si>
  <si>
    <t>Sum of 3</t>
  </si>
  <si>
    <t>Sum of 4</t>
  </si>
  <si>
    <t>Sum of 5 - Least Deprived 20%</t>
  </si>
  <si>
    <t>Sum of All Scotland</t>
  </si>
  <si>
    <t>Sum of NotKnown</t>
  </si>
  <si>
    <t>Sum of 1 - Large Urban Areas</t>
  </si>
  <si>
    <t>Sum of 2 - Other Urban Areas</t>
  </si>
  <si>
    <t>Sum of 3 - Accessible Small Towns</t>
  </si>
  <si>
    <t>Sum of 4 - Remote Small Towns</t>
  </si>
  <si>
    <t>Sum of 5 - Accessible Rural</t>
  </si>
  <si>
    <t>Sum of 6 - Remote Rural</t>
  </si>
  <si>
    <t>Sum of Enforcement Notice</t>
  </si>
  <si>
    <t>Sum of Prohibition Notice</t>
  </si>
  <si>
    <t>Sum of Alterations Notice</t>
  </si>
  <si>
    <t>Enforcement Notices</t>
  </si>
  <si>
    <t>Alterations Notices</t>
  </si>
  <si>
    <t>Average Time (hours)</t>
  </si>
  <si>
    <t>EAST AYRSHIRE</t>
  </si>
  <si>
    <t>MIDLOTHIAN</t>
  </si>
  <si>
    <t>Total_Alarms</t>
  </si>
  <si>
    <t>Sum of Total_Alarms</t>
  </si>
  <si>
    <t>Off Station</t>
  </si>
  <si>
    <t>Staff in the Off Station category includes those working in Fire Investigation, Fire Safety Enforcement, Fire Engineering, Community Safety Engagement, Operations, Training, and Safety and Assurance, as well as those involved in planning, projects and in other departments. It is important to note that these staff are trained to carry out operational duties and that, should it be required, they can be called up for operational duty as well.</t>
  </si>
  <si>
    <t>HFSV - smoke and heat alarms installed</t>
  </si>
  <si>
    <t>Smoke and heat alarms installed during HFSV</t>
  </si>
  <si>
    <t>Of the smoke and heat alarms installed:</t>
  </si>
  <si>
    <t>Home Fire Safety Visits (HFSV) by Outcome and Alarms Installed</t>
  </si>
  <si>
    <t>Home Fire Safety Visits (HFSV) by Outcome and Alarms Installed - Percentage and Rate</t>
  </si>
  <si>
    <t>HFSV - 
smoke and heat alarms installed</t>
  </si>
  <si>
    <t>The figure for smoke and heat alarms installed for 2021-22 and 2022-23 should be considered a lower estimate as it has not been possible to fully resolve a data quality issue. The breakdown of 'Total HFSV' into 'HFSV with smoke and heat alarms installed' and 'HFSV with advice only' has also been affected. Figures included have been highlighted in grey to show this. Further breakdowns of these figures have been removed from this publication due to this. Please see Guidance Notes for further details.</t>
  </si>
  <si>
    <t>The 'Smoke and heat alarms installed during HFSV' figures for 2021-22 and 2022-23 have been corrected in 2023-24 as previous figures included Fire Retardant Bedding and Carbon Monoxide Alarms. Please see Statistical News document for futher details.</t>
  </si>
  <si>
    <t>The figure for smoke and heat alarms installed published in 2021-22 and 2022-23 should be considered a lower estimate as it has not been possible to fully resolve a data quality issue. The breakdown of 'Total HFSV' into 'HFSV with smoke and heat alarms installed' and 'HFSV with advice installed' has also been affected. Figures included have been highlighted in grey to show this. Further breakdowns of these figures have been removed from this publication due to this. Please see Guidance Notes for further details.</t>
  </si>
  <si>
    <t>HFSV with smoke and heat alarms installed</t>
  </si>
  <si>
    <t>Smoke and heat alarms installed</t>
  </si>
  <si>
    <t>The figures for smoke and heat alarm installed published in 2021-22 and 2022-23 should be considered a lower estimate as it has not been possible to fully resolve a data quality issue. The breakdown of 'Total HFSV' into 'HFSV with smoke and heat alarms installed' and 'HFSV with advice only' has also been affected. Figures included have been highlighted in grey to show this. Further breakdowns of these figures have been removed from this publication due to this. Please see Guidance Notes for further details.</t>
  </si>
  <si>
    <t>Home Fire Safety Visits (HFSV) by Outcome and Alarms Installed, by Local Authority</t>
  </si>
  <si>
    <t>HFSV
 - smoke and heat alarms installed</t>
  </si>
  <si>
    <t>A small proportion of Home Fire Safety Visits are to properties which were previously visited within the year. This table provides figures of the numbers of distinct properties visited in a one year, three year and five year period where smoke and heat alarms were installed.</t>
  </si>
  <si>
    <t>Figures were not reported in 2021-22 and 2022-23 due to known quality issues with alarm data. Please see Guidance Notes and Statistical News for further information.</t>
  </si>
  <si>
    <t>A small proportion of Home Fire Safety Visits are to properties which were previously visited within the year. This table provides figures of the numbers of distinct properties visited in a one year, three year and five year period.</t>
  </si>
  <si>
    <t>Figures were not reported in 2021-22 or 2022-23 due to known quality issues with alarm data. Please see Guidance Notes for further information.</t>
  </si>
  <si>
    <t>Figures were not reported in 2021-22 and 2022-23 due to known quality issues with alarm data. Please see Guidance Notes for further information.</t>
  </si>
  <si>
    <t>Alarm figures were not reported in 2021-22 or 2022-23 due to known quality issues with alarm data. The breakdown of 'Total HFSV' to 'HFSV - with smoke and heat alarm installed' and 'HFSV - advice only' has also been affected and so, has not been broken down to local authority area. Please see Guidance Notes and Statistical News for further information.</t>
  </si>
  <si>
    <t>Alarm figures were not reported in 2021-22 and 2022-23 due to known quality issues with alarm data. The breakdown of 'Total HFSV' to 'HFSV - with smoke and heat alarms installed' and 'HFSV - advice only' has also been affected and so, has not been broken down to local authority area. Please see Guidance Notes and Statistical News for further information.</t>
  </si>
  <si>
    <t>Please note that in 2021-22, 2022-23 and 2023-24, 'HFSV - advice only' includes visits where only carbon monoxide alarms were installed or only fire retardant bedding or blankets were given out, as well as visits where only advice was given. This was done to ensure that HFSV with alarms installed could be fairly compared to previous years. Please see Guidance Notes for futher details.</t>
  </si>
  <si>
    <t>Please note that in 2021-22, 2022-23 and 2023-24, 'HFSV - advice only' includes visits where only carbon monoxide alarms were installed or only fire retardant bedding or blankets were given out, as well as vistis where only advice was given. This was done to ensure that HFSV with alarms installed could be fairly compared to previous years. Please see Guidance Notes for futher details.</t>
  </si>
  <si>
    <t>Sum of In One Year</t>
  </si>
  <si>
    <t>Sum of Over Three Years</t>
  </si>
  <si>
    <t>Sum of Over Five Years</t>
  </si>
  <si>
    <t>Sum of Non-repeat Visits</t>
  </si>
  <si>
    <t>Staff Type by Sex</t>
  </si>
  <si>
    <t>Staff Type by Sex and Role</t>
  </si>
  <si>
    <t>Staff Type by Sex and Role - Full-time Equivalent</t>
  </si>
  <si>
    <t>Clackmannanshire, Fife and Stirling</t>
  </si>
  <si>
    <t>Staff Type by Sex - Headcount</t>
  </si>
  <si>
    <t>Rate of Alarms Installed per 100 Households by Local Authority</t>
  </si>
  <si>
    <t>Staff Type by Sex Timeseries</t>
  </si>
  <si>
    <t>In 2023, SFRS changed the name of the LSO Area 'Stirling, Clackmannanshire and Fife' to 'Clackmannanshire, Fife and Stirling'.</t>
  </si>
  <si>
    <t>RDS Full-time</t>
  </si>
  <si>
    <t>RDS Full-time - Number</t>
  </si>
  <si>
    <t>RDS Full-time - Percent</t>
  </si>
  <si>
    <t>Wholetime Operational Staff by Role and Duty System - Headcount</t>
  </si>
  <si>
    <t>New Entrants by Sex</t>
  </si>
  <si>
    <t>HFSV With Alarms Installed by SIMD Quintile</t>
  </si>
  <si>
    <t>Home Fire Safety Visits with Alarms Installed by Deprivation of Area</t>
  </si>
  <si>
    <t>Sex</t>
  </si>
  <si>
    <t>Day crewing is Wholetime during the day (Monday to Friday 8am to 6pm) and Retained Duty System at night and during the weekends.</t>
  </si>
  <si>
    <t>Retained staff are contracted to be available at agreed periods of time but are typically not in the station during these hours. This is also known as 'on-call'.</t>
  </si>
  <si>
    <t>Volunteer crewing does not involve agreed periods of on-call cover. This is also known as 'on-call'.</t>
  </si>
  <si>
    <t>Please note in 2021-22, chose to categorise Capabilities differently from previous years, introducing the category 'National Fire Resilience Capabilities'. Individual capabilities still have the same definitions as before and are comparable to previous years.</t>
  </si>
  <si>
    <t>An error due to a system change in 2020-21 caused a number of incidents to be categorised incorrectly. This was corrected in 2022-23.</t>
  </si>
  <si>
    <t>Please note these figures only include those visits where a smoke or heat alarm was installed, and not visits where only carbon monoxide alarms were installed or fire retardant bedding or blankets were given out.</t>
  </si>
  <si>
    <t>The 2017-18, 2018-19 and 2019-20 figures for Audits do not include partial audits of the communal areas of multi-story residential buildings of which there were 76, 24 and 5 respectively.</t>
  </si>
  <si>
    <t>In 2020-21, Remote Audits were introduced due to the Covid-19 pandemic. These accounted for 1,018 of audits reported in 2020-21 and 321 of audits reported in 2021-22. Remote Audit figures for future years have not been included. Please see Guidance Notes for further information.</t>
  </si>
  <si>
    <t>In 2022-23, there was found to be an error with Fire Engineering Consultations. All previous years were revised. This affected Total workflows.</t>
  </si>
  <si>
    <t>Version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</si>
</sst>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164" formatCode="_(* #,##0_);_(* \(#,##0\);_(* &quot;-&quot;_);_(@_)"/>
    <numFmt numFmtId="165" formatCode="_(* #,##0.00_);_(* \(#,##0.00\);_(* &quot;-&quot;??_);_(@_)"/>
    <numFmt numFmtId="166" formatCode="_-* #,##0_-;\-* #,##0_-;_-* &quot;-&quot;??_-;_-@_-"/>
    <numFmt numFmtId="167" formatCode="#,##0_ ;\-#,##0\ "/>
    <numFmt numFmtId="168" formatCode="0.0%"/>
    <numFmt numFmtId="169" formatCode="_-* #,##0_-;\-* #,##0_-;_-* &quot;- &quot;"/>
    <numFmt numFmtId="170" formatCode="_-* #,##0\ ;\-* #,##0\ ;_-* &quot;-&quot;\ "/>
    <numFmt numFmtId="171" formatCode="_-* #,##0_-;\-* #,##0_-;_-* &quot;- &quot;;_-@_-"/>
    <numFmt numFmtId="172" formatCode="0.0"/>
    <numFmt numFmtId="173" formatCode="#,##0.0"/>
    <numFmt numFmtId="174" formatCode="#,##0;\ \-#,##0;\ &quot;- &quot;"/>
    <numFmt numFmtId="175" formatCode="_-* #,##0.0_-;\-* #,##0.0_-;_-* &quot;- &quot;"/>
    <numFmt numFmtId="176" formatCode="#,##0.00;[Red]\ \ \-\ #,##0.00\ ;&quot;-&quot;"/>
    <numFmt numFmtId="177" formatCode="#,##0.0_ ;\-#,##0.0\ "/>
  </numFmts>
  <fonts count="55" x14ac:knownFonts="1">
    <font>
      <sz val="11"/>
      <color theme="1"/>
      <name val="Calibri"/>
      <family val="2"/>
      <scheme val="minor"/>
    </font>
    <font>
      <sz val="11"/>
      <color theme="1"/>
      <name val="Calibri"/>
      <family val="2"/>
      <scheme val="minor"/>
    </font>
    <font>
      <sz val="12"/>
      <color rgb="FF000000"/>
      <name val="Calibri"/>
      <family val="2"/>
    </font>
    <font>
      <u/>
      <sz val="10"/>
      <color indexed="12"/>
      <name val="Arial"/>
      <family val="2"/>
    </font>
    <font>
      <vertAlign val="superscript"/>
      <sz val="12"/>
      <color rgb="FF000000"/>
      <name val="Calibri"/>
      <family val="2"/>
    </font>
    <font>
      <sz val="10"/>
      <name val="Arial"/>
      <family val="2"/>
    </font>
    <font>
      <sz val="12"/>
      <name val="Arial"/>
      <family val="2"/>
    </font>
    <font>
      <sz val="14"/>
      <name val="Arial"/>
      <family val="2"/>
    </font>
    <font>
      <b/>
      <sz val="12"/>
      <name val="Arial"/>
      <family val="2"/>
    </font>
    <font>
      <b/>
      <sz val="10"/>
      <name val="Arial"/>
      <family val="2"/>
    </font>
    <font>
      <b/>
      <i/>
      <sz val="10"/>
      <name val="Arial"/>
      <family val="2"/>
    </font>
    <font>
      <i/>
      <sz val="10"/>
      <name val="Arial"/>
      <family val="2"/>
    </font>
    <font>
      <sz val="10"/>
      <color rgb="FFFF0000"/>
      <name val="Arial"/>
      <family val="2"/>
    </font>
    <font>
      <sz val="11"/>
      <name val="Arial"/>
      <family val="2"/>
    </font>
    <font>
      <b/>
      <sz val="11"/>
      <name val="Arial"/>
      <family val="2"/>
    </font>
    <font>
      <sz val="10"/>
      <color indexed="8"/>
      <name val="Arial"/>
      <family val="2"/>
    </font>
    <font>
      <b/>
      <sz val="11"/>
      <name val="Calibri"/>
      <family val="2"/>
      <scheme val="minor"/>
    </font>
    <font>
      <b/>
      <sz val="18"/>
      <color indexed="56"/>
      <name val="Arial"/>
      <family val="2"/>
    </font>
    <font>
      <u/>
      <sz val="10"/>
      <name val="Arial"/>
      <family val="2"/>
    </font>
    <font>
      <b/>
      <sz val="9"/>
      <name val="Arial"/>
      <family val="2"/>
    </font>
    <font>
      <b/>
      <sz val="15"/>
      <color indexed="56"/>
      <name val="Calibri"/>
      <family val="2"/>
    </font>
    <font>
      <b/>
      <sz val="13"/>
      <color indexed="56"/>
      <name val="Calibri"/>
      <family val="2"/>
    </font>
    <font>
      <b/>
      <i/>
      <sz val="11"/>
      <name val="Arial"/>
      <family val="2"/>
    </font>
    <font>
      <sz val="10"/>
      <color theme="1"/>
      <name val="Arial"/>
      <family val="2"/>
    </font>
    <font>
      <sz val="12"/>
      <color theme="1"/>
      <name val="Calibri"/>
      <family val="2"/>
      <scheme val="minor"/>
    </font>
    <font>
      <b/>
      <sz val="11"/>
      <color theme="1"/>
      <name val="Calibri"/>
      <family val="2"/>
      <scheme val="minor"/>
    </font>
    <font>
      <sz val="11"/>
      <color theme="0"/>
      <name val="Calibri"/>
      <family val="2"/>
      <scheme val="minor"/>
    </font>
    <font>
      <b/>
      <i/>
      <sz val="9"/>
      <name val="Arial"/>
      <family val="2"/>
    </font>
    <font>
      <b/>
      <sz val="16"/>
      <color theme="1" tint="0.249977111117893"/>
      <name val="Calibri"/>
      <family val="2"/>
      <scheme val="minor"/>
    </font>
    <font>
      <sz val="12"/>
      <color rgb="FF000000"/>
      <name val="Calibri"/>
      <family val="2"/>
      <scheme val="minor"/>
    </font>
    <font>
      <i/>
      <sz val="12"/>
      <color rgb="FF000000"/>
      <name val="Calibri"/>
      <family val="2"/>
      <scheme val="minor"/>
    </font>
    <font>
      <vertAlign val="superscript"/>
      <sz val="12"/>
      <color rgb="FF000000"/>
      <name val="Calibri"/>
      <family val="2"/>
      <scheme val="minor"/>
    </font>
    <font>
      <sz val="11"/>
      <color theme="1"/>
      <name val="Arial"/>
      <family val="2"/>
    </font>
    <font>
      <sz val="11"/>
      <name val="Calibri"/>
      <family val="2"/>
      <scheme val="minor"/>
    </font>
    <font>
      <sz val="11"/>
      <color rgb="FF000000"/>
      <name val="Calibri"/>
      <family val="2"/>
      <scheme val="minor"/>
    </font>
    <font>
      <u/>
      <sz val="11"/>
      <color indexed="12"/>
      <name val="Calibri"/>
      <family val="2"/>
      <scheme val="minor"/>
    </font>
    <font>
      <b/>
      <i/>
      <sz val="11"/>
      <name val="Calibri"/>
      <family val="2"/>
      <scheme val="minor"/>
    </font>
    <font>
      <i/>
      <sz val="11"/>
      <name val="Calibri"/>
      <family val="2"/>
      <scheme val="minor"/>
    </font>
    <font>
      <sz val="11"/>
      <color theme="1"/>
      <name val="Calibri"/>
      <family val="2"/>
    </font>
    <font>
      <u/>
      <sz val="12"/>
      <color indexed="12"/>
      <name val="Calibri"/>
      <family val="2"/>
      <scheme val="minor"/>
    </font>
    <font>
      <b/>
      <sz val="18"/>
      <color theme="1" tint="0.249977111117893"/>
      <name val="Calibri"/>
      <family val="2"/>
      <scheme val="minor"/>
    </font>
    <font>
      <sz val="11"/>
      <color rgb="FFFF0000"/>
      <name val="Calibri"/>
      <family val="2"/>
      <scheme val="minor"/>
    </font>
    <font>
      <b/>
      <u/>
      <sz val="12"/>
      <name val="Arial"/>
      <family val="2"/>
    </font>
    <font>
      <i/>
      <sz val="11"/>
      <color theme="1"/>
      <name val="Calibri"/>
      <family val="2"/>
      <scheme val="minor"/>
    </font>
    <font>
      <b/>
      <i/>
      <u/>
      <sz val="11"/>
      <color theme="1"/>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Arial"/>
      <family val="2"/>
    </font>
    <font>
      <sz val="14"/>
      <color theme="1"/>
      <name val="Calibri"/>
      <family val="2"/>
      <scheme val="minor"/>
    </font>
    <font>
      <i/>
      <sz val="11"/>
      <name val="Arial"/>
      <family val="2"/>
    </font>
    <font>
      <b/>
      <sz val="12"/>
      <color theme="1"/>
      <name val="Arial"/>
      <family val="2"/>
    </font>
    <font>
      <b/>
      <i/>
      <sz val="11"/>
      <color theme="1"/>
      <name val="Calibri"/>
      <family val="2"/>
      <scheme val="minor"/>
    </font>
    <font>
      <sz val="8"/>
      <name val="Calibri"/>
      <family val="2"/>
      <scheme val="minor"/>
    </font>
    <font>
      <b/>
      <sz val="11"/>
      <color theme="1"/>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theme="4" tint="0.79998168889431442"/>
      </patternFill>
    </fill>
  </fills>
  <borders count="32">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theme="4"/>
      </top>
      <bottom/>
      <diagonal/>
    </border>
    <border>
      <left/>
      <right/>
      <top/>
      <bottom style="thick">
        <color indexed="22"/>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theme="1"/>
      </bottom>
      <diagonal/>
    </border>
    <border>
      <left/>
      <right/>
      <top style="thin">
        <color indexed="64"/>
      </top>
      <bottom style="thin">
        <color theme="1"/>
      </bottom>
      <diagonal/>
    </border>
    <border>
      <left style="thin">
        <color indexed="64"/>
      </left>
      <right style="thin">
        <color indexed="64"/>
      </right>
      <top style="thin">
        <color theme="1"/>
      </top>
      <bottom/>
      <diagonal/>
    </border>
    <border>
      <left/>
      <right/>
      <top style="medium">
        <color indexed="64"/>
      </top>
      <bottom/>
      <diagonal/>
    </border>
    <border>
      <left/>
      <right style="thin">
        <color indexed="64"/>
      </right>
      <top/>
      <bottom style="medium">
        <color indexed="64"/>
      </bottom>
      <diagonal/>
    </border>
    <border>
      <left/>
      <right/>
      <top/>
      <bottom style="thin">
        <color theme="4" tint="0.39997558519241921"/>
      </bottom>
      <diagonal/>
    </border>
    <border>
      <left/>
      <right style="thin">
        <color indexed="64"/>
      </right>
      <top style="thin">
        <color indexed="64"/>
      </top>
      <bottom style="medium">
        <color indexed="64"/>
      </bottom>
      <diagonal/>
    </border>
  </borders>
  <cellStyleXfs count="23">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5" fillId="0" borderId="0"/>
    <xf numFmtId="0" fontId="15" fillId="0" borderId="0"/>
    <xf numFmtId="0" fontId="5" fillId="0" borderId="0"/>
    <xf numFmtId="0" fontId="15" fillId="0" borderId="0"/>
    <xf numFmtId="0" fontId="17" fillId="0" borderId="0" applyNumberFormat="0" applyFill="0" applyBorder="0" applyProtection="0">
      <alignment wrapText="1"/>
    </xf>
    <xf numFmtId="0" fontId="15" fillId="0" borderId="0"/>
    <xf numFmtId="0" fontId="15" fillId="0" borderId="0"/>
    <xf numFmtId="0" fontId="20" fillId="0" borderId="0" applyNumberFormat="0" applyFill="0" applyAlignment="0" applyProtection="0"/>
    <xf numFmtId="0" fontId="15" fillId="0" borderId="0"/>
    <xf numFmtId="0" fontId="15" fillId="0" borderId="0"/>
    <xf numFmtId="0" fontId="21" fillId="0" borderId="7" applyNumberFormat="0" applyFill="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0" fontId="15" fillId="0" borderId="0"/>
    <xf numFmtId="0" fontId="23" fillId="0" borderId="0"/>
    <xf numFmtId="165" fontId="23" fillId="0" borderId="0" applyFont="0" applyFill="0" applyBorder="0" applyAlignment="0" applyProtection="0"/>
    <xf numFmtId="9" fontId="23" fillId="0" borderId="0" applyFont="0" applyFill="0" applyBorder="0" applyAlignment="0" applyProtection="0"/>
  </cellStyleXfs>
  <cellXfs count="1046">
    <xf numFmtId="0" fontId="0" fillId="0" borderId="0" xfId="0"/>
    <xf numFmtId="0" fontId="7" fillId="2" borderId="0" xfId="0" applyFont="1" applyFill="1"/>
    <xf numFmtId="0" fontId="9" fillId="0" borderId="1" xfId="0" applyFont="1" applyBorder="1"/>
    <xf numFmtId="0" fontId="9" fillId="0" borderId="1" xfId="0" applyFont="1" applyBorder="1" applyAlignment="1">
      <alignment horizontal="right" wrapText="1"/>
    </xf>
    <xf numFmtId="0" fontId="9" fillId="0" borderId="0" xfId="0" applyFont="1" applyAlignment="1">
      <alignment horizontal="right" wrapText="1"/>
    </xf>
    <xf numFmtId="0" fontId="9" fillId="0" borderId="0" xfId="0" applyFont="1" applyAlignment="1">
      <alignment horizontal="left"/>
    </xf>
    <xf numFmtId="0" fontId="9" fillId="0" borderId="0" xfId="0" applyFont="1" applyAlignment="1">
      <alignment horizontal="left" vertical="center"/>
    </xf>
    <xf numFmtId="0" fontId="7" fillId="0" borderId="0" xfId="0" applyFont="1"/>
    <xf numFmtId="0" fontId="9" fillId="0" borderId="0" xfId="0" applyFont="1" applyAlignment="1">
      <alignment vertical="center" wrapText="1"/>
    </xf>
    <xf numFmtId="167" fontId="5" fillId="0" borderId="2" xfId="0" applyNumberFormat="1" applyFont="1" applyBorder="1"/>
    <xf numFmtId="0" fontId="10" fillId="0" borderId="3" xfId="0" applyFont="1" applyBorder="1" applyAlignment="1">
      <alignment wrapText="1"/>
    </xf>
    <xf numFmtId="168" fontId="11" fillId="0" borderId="3" xfId="2" applyNumberFormat="1" applyFont="1" applyFill="1" applyBorder="1" applyAlignment="1">
      <alignment horizontal="right" wrapText="1"/>
    </xf>
    <xf numFmtId="0" fontId="9" fillId="0" borderId="0" xfId="0" applyFont="1"/>
    <xf numFmtId="0" fontId="5" fillId="0" borderId="0" xfId="0" applyFont="1" applyAlignment="1">
      <alignment horizontal="right" wrapText="1"/>
    </xf>
    <xf numFmtId="166" fontId="5" fillId="0" borderId="0" xfId="0" applyNumberFormat="1" applyFont="1" applyAlignment="1">
      <alignment horizontal="right" wrapText="1"/>
    </xf>
    <xf numFmtId="0" fontId="5" fillId="0" borderId="0" xfId="0" applyFont="1"/>
    <xf numFmtId="0" fontId="9" fillId="0" borderId="1" xfId="0" applyFont="1" applyBorder="1" applyAlignment="1">
      <alignment horizontal="left"/>
    </xf>
    <xf numFmtId="0" fontId="7" fillId="0" borderId="0" xfId="0" applyFont="1" applyAlignment="1">
      <alignment vertical="center"/>
    </xf>
    <xf numFmtId="3" fontId="9" fillId="0" borderId="0" xfId="0" applyNumberFormat="1" applyFont="1" applyAlignment="1">
      <alignment horizontal="right" vertical="center" wrapText="1"/>
    </xf>
    <xf numFmtId="0" fontId="5" fillId="0" borderId="0" xfId="0" applyFont="1" applyAlignment="1">
      <alignment vertical="center"/>
    </xf>
    <xf numFmtId="0" fontId="5" fillId="0" borderId="1" xfId="0" applyFont="1" applyBorder="1"/>
    <xf numFmtId="0" fontId="9" fillId="0" borderId="0" xfId="0" applyFont="1" applyAlignment="1">
      <alignment wrapText="1"/>
    </xf>
    <xf numFmtId="1" fontId="5" fillId="0" borderId="0" xfId="0" applyNumberFormat="1" applyFont="1"/>
    <xf numFmtId="0" fontId="5" fillId="0" borderId="0" xfId="0" applyFont="1" applyAlignment="1">
      <alignment wrapText="1"/>
    </xf>
    <xf numFmtId="168" fontId="5" fillId="0" borderId="0" xfId="0" applyNumberFormat="1" applyFont="1" applyAlignment="1">
      <alignment horizontal="right" wrapText="1"/>
    </xf>
    <xf numFmtId="0" fontId="5" fillId="2" borderId="0" xfId="0" applyFont="1" applyFill="1"/>
    <xf numFmtId="0" fontId="8" fillId="0" borderId="1" xfId="0" applyFont="1" applyBorder="1" applyAlignment="1">
      <alignment horizontal="left" vertical="center" wrapText="1"/>
    </xf>
    <xf numFmtId="0" fontId="9" fillId="0" borderId="3" xfId="0" applyFont="1" applyBorder="1" applyAlignment="1">
      <alignment vertical="center"/>
    </xf>
    <xf numFmtId="9" fontId="10" fillId="0" borderId="4" xfId="0" applyNumberFormat="1" applyFont="1" applyBorder="1" applyAlignment="1">
      <alignment vertical="center"/>
    </xf>
    <xf numFmtId="0" fontId="9" fillId="0" borderId="0" xfId="0" applyFont="1" applyAlignment="1">
      <alignment vertical="center"/>
    </xf>
    <xf numFmtId="9" fontId="9" fillId="0" borderId="0" xfId="0" applyNumberFormat="1" applyFont="1" applyAlignment="1">
      <alignment vertical="center"/>
    </xf>
    <xf numFmtId="0" fontId="9" fillId="0" borderId="5" xfId="0" applyFont="1" applyBorder="1" applyAlignment="1">
      <alignment horizontal="center" wrapText="1"/>
    </xf>
    <xf numFmtId="0" fontId="9" fillId="0" borderId="2" xfId="0" applyFont="1" applyBorder="1"/>
    <xf numFmtId="0" fontId="9" fillId="0" borderId="4" xfId="0" applyFont="1" applyBorder="1" applyAlignment="1">
      <alignment vertical="center"/>
    </xf>
    <xf numFmtId="0" fontId="9" fillId="0" borderId="3" xfId="0" applyFont="1" applyBorder="1"/>
    <xf numFmtId="0" fontId="13" fillId="2" borderId="0" xfId="0" applyFont="1" applyFill="1"/>
    <xf numFmtId="0" fontId="14" fillId="0" borderId="0" xfId="0" applyFont="1"/>
    <xf numFmtId="0" fontId="9" fillId="0" borderId="0" xfId="5" applyFont="1" applyAlignment="1">
      <alignment horizontal="right" wrapText="1"/>
    </xf>
    <xf numFmtId="0" fontId="14" fillId="0" borderId="4" xfId="5" applyFont="1" applyBorder="1" applyAlignment="1">
      <alignment horizontal="left" vertical="center"/>
    </xf>
    <xf numFmtId="0" fontId="14" fillId="0" borderId="0" xfId="5" applyFont="1" applyAlignment="1">
      <alignment horizontal="left" vertical="center"/>
    </xf>
    <xf numFmtId="3" fontId="9" fillId="0" borderId="0" xfId="5" applyNumberFormat="1" applyFont="1" applyAlignment="1">
      <alignment horizontal="right" vertical="center" wrapText="1"/>
    </xf>
    <xf numFmtId="3" fontId="9" fillId="0" borderId="0" xfId="0" applyNumberFormat="1" applyFont="1" applyAlignment="1">
      <alignment vertical="center"/>
    </xf>
    <xf numFmtId="0" fontId="14" fillId="0" borderId="1" xfId="5" applyFont="1" applyBorder="1" applyAlignment="1">
      <alignment horizontal="left"/>
    </xf>
    <xf numFmtId="3" fontId="9" fillId="0" borderId="1" xfId="5" applyNumberFormat="1" applyFont="1" applyBorder="1" applyAlignment="1">
      <alignment horizontal="right" wrapText="1"/>
    </xf>
    <xf numFmtId="3" fontId="9" fillId="0" borderId="0" xfId="5" applyNumberFormat="1" applyFont="1" applyAlignment="1">
      <alignment horizontal="right" wrapText="1"/>
    </xf>
    <xf numFmtId="0" fontId="9" fillId="0" borderId="6" xfId="5" applyFont="1" applyBorder="1" applyAlignment="1">
      <alignment horizontal="left"/>
    </xf>
    <xf numFmtId="3" fontId="5" fillId="0" borderId="0" xfId="5" applyNumberFormat="1" applyFont="1" applyAlignment="1">
      <alignment horizontal="right" wrapText="1"/>
    </xf>
    <xf numFmtId="3" fontId="9" fillId="0" borderId="0" xfId="0" applyNumberFormat="1" applyFont="1"/>
    <xf numFmtId="0" fontId="9" fillId="0" borderId="0" xfId="5" applyFont="1" applyAlignment="1">
      <alignment horizontal="left"/>
    </xf>
    <xf numFmtId="164" fontId="5" fillId="0" borderId="0" xfId="6" applyNumberFormat="1"/>
    <xf numFmtId="164" fontId="5" fillId="0" borderId="0" xfId="0" applyNumberFormat="1" applyFont="1"/>
    <xf numFmtId="164" fontId="5" fillId="0" borderId="0" xfId="0" applyNumberFormat="1" applyFont="1" applyAlignment="1">
      <alignment horizontal="right"/>
    </xf>
    <xf numFmtId="0" fontId="9" fillId="0" borderId="4" xfId="5" applyFont="1" applyBorder="1" applyAlignment="1">
      <alignment horizontal="left" vertical="center"/>
    </xf>
    <xf numFmtId="3" fontId="9" fillId="0" borderId="4" xfId="5" applyNumberFormat="1" applyFont="1" applyBorder="1" applyAlignment="1">
      <alignment horizontal="right" vertical="center" wrapText="1"/>
    </xf>
    <xf numFmtId="0" fontId="14" fillId="0" borderId="0" xfId="5" applyFont="1" applyAlignment="1">
      <alignment horizontal="left" vertical="center" wrapText="1"/>
    </xf>
    <xf numFmtId="3" fontId="9" fillId="0" borderId="0" xfId="0" applyNumberFormat="1" applyFont="1" applyAlignment="1">
      <alignment horizontal="right" vertical="center"/>
    </xf>
    <xf numFmtId="164" fontId="5" fillId="0" borderId="2" xfId="6" applyNumberFormat="1" applyBorder="1"/>
    <xf numFmtId="49" fontId="9" fillId="0" borderId="0" xfId="5" applyNumberFormat="1" applyFont="1" applyAlignment="1">
      <alignment horizontal="left" vertical="center" wrapText="1"/>
    </xf>
    <xf numFmtId="0" fontId="9" fillId="0" borderId="4" xfId="5" applyFont="1" applyBorder="1" applyAlignment="1">
      <alignment horizontal="left" vertical="center" wrapText="1"/>
    </xf>
    <xf numFmtId="164" fontId="9" fillId="0" borderId="4" xfId="5" applyNumberFormat="1" applyFont="1" applyBorder="1" applyAlignment="1">
      <alignment horizontal="right" vertical="center" wrapText="1"/>
    </xf>
    <xf numFmtId="0" fontId="9" fillId="0" borderId="2" xfId="5" applyFont="1" applyBorder="1" applyAlignment="1">
      <alignment horizontal="left"/>
    </xf>
    <xf numFmtId="3" fontId="9" fillId="0" borderId="2" xfId="0" applyNumberFormat="1" applyFont="1" applyBorder="1"/>
    <xf numFmtId="3" fontId="9" fillId="0" borderId="0" xfId="0" applyNumberFormat="1" applyFont="1" applyAlignment="1">
      <alignment horizontal="right"/>
    </xf>
    <xf numFmtId="0" fontId="14" fillId="0" borderId="4" xfId="0" applyFont="1" applyBorder="1" applyAlignment="1">
      <alignment vertical="center"/>
    </xf>
    <xf numFmtId="3" fontId="14" fillId="0" borderId="4" xfId="0" applyNumberFormat="1" applyFont="1" applyBorder="1" applyAlignment="1">
      <alignment vertical="center"/>
    </xf>
    <xf numFmtId="3" fontId="9" fillId="0" borderId="0" xfId="5" applyNumberFormat="1" applyFont="1" applyAlignment="1">
      <alignment horizontal="center" vertical="center" wrapText="1"/>
    </xf>
    <xf numFmtId="170" fontId="5" fillId="0" borderId="0" xfId="6" applyNumberFormat="1"/>
    <xf numFmtId="170" fontId="9" fillId="0" borderId="0" xfId="0" applyNumberFormat="1" applyFont="1"/>
    <xf numFmtId="3" fontId="5" fillId="0" borderId="0" xfId="0" applyNumberFormat="1" applyFont="1"/>
    <xf numFmtId="164" fontId="9" fillId="0" borderId="0" xfId="0" applyNumberFormat="1" applyFont="1"/>
    <xf numFmtId="164" fontId="9" fillId="0" borderId="4" xfId="0" applyNumberFormat="1" applyFont="1" applyBorder="1" applyAlignment="1">
      <alignment horizontal="right" vertical="center"/>
    </xf>
    <xf numFmtId="164" fontId="9" fillId="0" borderId="0" xfId="0" applyNumberFormat="1" applyFont="1" applyAlignment="1">
      <alignment horizontal="right" vertical="center"/>
    </xf>
    <xf numFmtId="3" fontId="9" fillId="0" borderId="1" xfId="5" applyNumberFormat="1" applyFont="1" applyBorder="1" applyAlignment="1">
      <alignment horizontal="center" wrapText="1"/>
    </xf>
    <xf numFmtId="3" fontId="9" fillId="0" borderId="4" xfId="5" applyNumberFormat="1" applyFont="1" applyBorder="1" applyAlignment="1">
      <alignment horizontal="left" vertical="center"/>
    </xf>
    <xf numFmtId="164" fontId="9" fillId="0" borderId="0" xfId="0" applyNumberFormat="1" applyFont="1" applyAlignment="1">
      <alignment vertical="center"/>
    </xf>
    <xf numFmtId="3" fontId="9" fillId="0" borderId="1" xfId="5" applyNumberFormat="1" applyFont="1" applyBorder="1" applyAlignment="1">
      <alignment horizontal="center" vertical="center" wrapText="1"/>
    </xf>
    <xf numFmtId="3" fontId="14" fillId="0" borderId="4" xfId="0" applyNumberFormat="1" applyFont="1" applyBorder="1" applyAlignment="1">
      <alignment horizontal="left" vertical="center"/>
    </xf>
    <xf numFmtId="0" fontId="2" fillId="0" borderId="0" xfId="0" applyFont="1"/>
    <xf numFmtId="0" fontId="14" fillId="0" borderId="1" xfId="0" applyFont="1" applyBorder="1"/>
    <xf numFmtId="0" fontId="9" fillId="0" borderId="1" xfId="5" applyFont="1" applyBorder="1" applyAlignment="1">
      <alignment horizontal="right" wrapText="1"/>
    </xf>
    <xf numFmtId="0" fontId="14" fillId="0" borderId="3" xfId="5" applyFont="1" applyBorder="1" applyAlignment="1">
      <alignment horizontal="left"/>
    </xf>
    <xf numFmtId="0" fontId="9" fillId="0" borderId="2" xfId="5" applyFont="1" applyBorder="1" applyAlignment="1">
      <alignment horizontal="left" vertical="center"/>
    </xf>
    <xf numFmtId="0" fontId="9" fillId="0" borderId="0" xfId="5" applyFont="1" applyAlignment="1">
      <alignment horizontal="left" vertical="center"/>
    </xf>
    <xf numFmtId="0" fontId="14" fillId="0" borderId="0" xfId="0" applyFont="1" applyAlignment="1">
      <alignment vertical="top" wrapText="1"/>
    </xf>
    <xf numFmtId="0" fontId="9" fillId="0" borderId="1" xfId="5" applyFont="1" applyBorder="1" applyAlignment="1">
      <alignment horizontal="right" vertical="center" wrapText="1"/>
    </xf>
    <xf numFmtId="0" fontId="9" fillId="0" borderId="0" xfId="0" applyFont="1" applyAlignment="1">
      <alignment horizontal="right" vertical="center"/>
    </xf>
    <xf numFmtId="0" fontId="5" fillId="0" borderId="3" xfId="0" applyFont="1" applyBorder="1" applyAlignment="1">
      <alignment vertical="center"/>
    </xf>
    <xf numFmtId="0" fontId="9" fillId="0" borderId="1" xfId="0" applyFont="1" applyBorder="1" applyAlignment="1">
      <alignment horizontal="right" vertical="center"/>
    </xf>
    <xf numFmtId="1" fontId="9" fillId="0" borderId="0" xfId="5" applyNumberFormat="1" applyFont="1" applyAlignment="1">
      <alignment horizontal="right" vertical="center" wrapText="1"/>
    </xf>
    <xf numFmtId="0" fontId="5" fillId="0" borderId="0" xfId="5" applyFont="1" applyAlignment="1">
      <alignment horizontal="left"/>
    </xf>
    <xf numFmtId="3" fontId="9" fillId="0" borderId="3" xfId="0" applyNumberFormat="1" applyFont="1" applyBorder="1"/>
    <xf numFmtId="3" fontId="5" fillId="0" borderId="1" xfId="5" applyNumberFormat="1" applyFont="1" applyBorder="1" applyAlignment="1">
      <alignment horizontal="right" wrapText="1"/>
    </xf>
    <xf numFmtId="164" fontId="5" fillId="0" borderId="1" xfId="6" applyNumberFormat="1" applyBorder="1"/>
    <xf numFmtId="164" fontId="5" fillId="0" borderId="0" xfId="5" applyNumberFormat="1" applyFont="1" applyAlignment="1">
      <alignment horizontal="right" wrapText="1"/>
    </xf>
    <xf numFmtId="164" fontId="9" fillId="0" borderId="0" xfId="6" applyNumberFormat="1" applyFont="1"/>
    <xf numFmtId="0" fontId="5" fillId="0" borderId="0" xfId="0" applyFont="1" applyAlignment="1">
      <alignment vertical="top" wrapText="1"/>
    </xf>
    <xf numFmtId="3" fontId="8" fillId="0" borderId="0" xfId="0" applyNumberFormat="1" applyFont="1"/>
    <xf numFmtId="0" fontId="9" fillId="0" borderId="0" xfId="0" applyFont="1" applyAlignment="1">
      <alignment horizontal="right"/>
    </xf>
    <xf numFmtId="1" fontId="16" fillId="0" borderId="0" xfId="0" applyNumberFormat="1" applyFont="1" applyAlignment="1">
      <alignment vertical="center"/>
    </xf>
    <xf numFmtId="0" fontId="10" fillId="0" borderId="0" xfId="0" applyFont="1"/>
    <xf numFmtId="3" fontId="5" fillId="0" borderId="0" xfId="0" applyNumberFormat="1" applyFont="1" applyAlignment="1">
      <alignment horizontal="right"/>
    </xf>
    <xf numFmtId="9" fontId="10" fillId="0" borderId="0" xfId="2" applyFont="1" applyFill="1" applyBorder="1" applyAlignment="1">
      <alignment horizontal="right"/>
    </xf>
    <xf numFmtId="168" fontId="11" fillId="0" borderId="0" xfId="2" applyNumberFormat="1" applyFont="1" applyFill="1" applyBorder="1" applyAlignment="1">
      <alignment horizontal="right"/>
    </xf>
    <xf numFmtId="168" fontId="11" fillId="0" borderId="1" xfId="2" applyNumberFormat="1" applyFont="1" applyFill="1" applyBorder="1" applyAlignment="1">
      <alignment horizontal="right"/>
    </xf>
    <xf numFmtId="3" fontId="5" fillId="0" borderId="2" xfId="0" applyNumberFormat="1" applyFont="1" applyBorder="1"/>
    <xf numFmtId="0" fontId="8" fillId="2" borderId="1" xfId="8" applyFont="1" applyFill="1" applyBorder="1" applyAlignment="1">
      <alignment horizontal="left" vertical="top" wrapText="1"/>
    </xf>
    <xf numFmtId="0" fontId="10" fillId="2" borderId="1" xfId="8" applyFont="1" applyFill="1" applyBorder="1" applyAlignment="1">
      <alignment horizontal="right" wrapText="1"/>
    </xf>
    <xf numFmtId="0" fontId="9" fillId="2" borderId="0" xfId="0" applyFont="1" applyFill="1" applyAlignment="1">
      <alignment horizontal="right"/>
    </xf>
    <xf numFmtId="0" fontId="14" fillId="2" borderId="1" xfId="7" applyFont="1" applyFill="1" applyBorder="1"/>
    <xf numFmtId="3" fontId="9" fillId="2" borderId="1" xfId="0" applyNumberFormat="1" applyFont="1" applyFill="1" applyBorder="1" applyAlignment="1">
      <alignment horizontal="right"/>
    </xf>
    <xf numFmtId="0" fontId="9" fillId="2" borderId="1" xfId="0" applyFont="1" applyFill="1" applyBorder="1" applyAlignment="1">
      <alignment horizontal="right"/>
    </xf>
    <xf numFmtId="0" fontId="5" fillId="2" borderId="1" xfId="0" applyFont="1" applyFill="1" applyBorder="1"/>
    <xf numFmtId="0" fontId="9" fillId="2" borderId="0" xfId="7" applyFont="1" applyFill="1" applyAlignment="1">
      <alignment horizontal="left" indent="1"/>
    </xf>
    <xf numFmtId="0" fontId="5" fillId="2" borderId="0" xfId="7" applyFont="1" applyFill="1"/>
    <xf numFmtId="164" fontId="5" fillId="2" borderId="0" xfId="9" applyNumberFormat="1" applyFont="1" applyFill="1" applyAlignment="1">
      <alignment horizontal="right" wrapText="1"/>
    </xf>
    <xf numFmtId="168" fontId="11" fillId="2" borderId="0" xfId="2" quotePrefix="1" applyNumberFormat="1" applyFont="1" applyFill="1" applyBorder="1" applyAlignment="1">
      <alignment horizontal="right"/>
    </xf>
    <xf numFmtId="164" fontId="5" fillId="2" borderId="0" xfId="9" quotePrefix="1" applyNumberFormat="1" applyFont="1" applyFill="1" applyAlignment="1">
      <alignment horizontal="right" wrapText="1"/>
    </xf>
    <xf numFmtId="3" fontId="9" fillId="2" borderId="0" xfId="0" applyNumberFormat="1" applyFont="1" applyFill="1" applyAlignment="1">
      <alignment horizontal="right"/>
    </xf>
    <xf numFmtId="0" fontId="9" fillId="2" borderId="0" xfId="7" applyFont="1" applyFill="1" applyAlignment="1">
      <alignment horizontal="left"/>
    </xf>
    <xf numFmtId="0" fontId="9" fillId="2" borderId="4" xfId="7" applyFont="1" applyFill="1" applyBorder="1" applyAlignment="1">
      <alignment vertical="center" wrapText="1"/>
    </xf>
    <xf numFmtId="3" fontId="9" fillId="2" borderId="4" xfId="7" applyNumberFormat="1" applyFont="1" applyFill="1" applyBorder="1" applyAlignment="1">
      <alignment horizontal="right" vertical="center"/>
    </xf>
    <xf numFmtId="168" fontId="10" fillId="2" borderId="4" xfId="2" quotePrefix="1" applyNumberFormat="1" applyFont="1" applyFill="1" applyBorder="1" applyAlignment="1">
      <alignment horizontal="right" vertical="center"/>
    </xf>
    <xf numFmtId="3" fontId="5" fillId="2" borderId="0" xfId="7" applyNumberFormat="1" applyFont="1" applyFill="1" applyAlignment="1">
      <alignment horizontal="right"/>
    </xf>
    <xf numFmtId="3" fontId="5" fillId="2" borderId="0" xfId="0" applyNumberFormat="1" applyFont="1" applyFill="1" applyAlignment="1">
      <alignment horizontal="right"/>
    </xf>
    <xf numFmtId="1" fontId="11" fillId="2" borderId="0" xfId="7" quotePrefix="1" applyNumberFormat="1" applyFont="1" applyFill="1" applyAlignment="1">
      <alignment horizontal="right"/>
    </xf>
    <xf numFmtId="3" fontId="9" fillId="2" borderId="1" xfId="7" applyNumberFormat="1" applyFont="1" applyFill="1" applyBorder="1" applyAlignment="1">
      <alignment horizontal="right"/>
    </xf>
    <xf numFmtId="0" fontId="9" fillId="2" borderId="0" xfId="7" applyFont="1" applyFill="1"/>
    <xf numFmtId="1" fontId="10" fillId="2" borderId="1" xfId="7" quotePrefix="1" applyNumberFormat="1" applyFont="1" applyFill="1" applyBorder="1" applyAlignment="1">
      <alignment horizontal="right"/>
    </xf>
    <xf numFmtId="0" fontId="10" fillId="2" borderId="1" xfId="0" applyFont="1" applyFill="1" applyBorder="1" applyAlignment="1">
      <alignment horizontal="right"/>
    </xf>
    <xf numFmtId="0" fontId="9" fillId="2" borderId="4" xfId="7" applyFont="1" applyFill="1" applyBorder="1" applyAlignment="1">
      <alignment vertical="center"/>
    </xf>
    <xf numFmtId="0" fontId="14" fillId="2" borderId="1" xfId="0" applyFont="1" applyFill="1" applyBorder="1"/>
    <xf numFmtId="0" fontId="9" fillId="2" borderId="0" xfId="0" applyFont="1" applyFill="1"/>
    <xf numFmtId="3" fontId="9" fillId="2" borderId="0" xfId="7" applyNumberFormat="1" applyFont="1" applyFill="1" applyAlignment="1">
      <alignment horizontal="right"/>
    </xf>
    <xf numFmtId="0" fontId="9" fillId="2" borderId="0" xfId="7" applyFont="1" applyFill="1" applyAlignment="1">
      <alignment vertical="center"/>
    </xf>
    <xf numFmtId="3" fontId="9" fillId="2" borderId="0" xfId="7" applyNumberFormat="1" applyFont="1" applyFill="1" applyAlignment="1">
      <alignment horizontal="right" vertical="center"/>
    </xf>
    <xf numFmtId="3" fontId="9" fillId="2" borderId="0" xfId="0" applyNumberFormat="1" applyFont="1" applyFill="1" applyAlignment="1">
      <alignment horizontal="right" vertical="center"/>
    </xf>
    <xf numFmtId="9" fontId="10" fillId="2" borderId="0" xfId="2" quotePrefix="1" applyFont="1" applyFill="1" applyBorder="1" applyAlignment="1">
      <alignment horizontal="right" vertical="center"/>
    </xf>
    <xf numFmtId="0" fontId="14" fillId="2" borderId="4" xfId="0" applyFont="1" applyFill="1" applyBorder="1" applyAlignment="1">
      <alignment vertical="center"/>
    </xf>
    <xf numFmtId="3" fontId="9" fillId="2" borderId="4" xfId="0" applyNumberFormat="1" applyFont="1" applyFill="1" applyBorder="1" applyAlignment="1">
      <alignment vertical="center"/>
    </xf>
    <xf numFmtId="0" fontId="14" fillId="2" borderId="0" xfId="0" applyFont="1" applyFill="1"/>
    <xf numFmtId="3" fontId="9" fillId="2" borderId="0" xfId="0" applyNumberFormat="1" applyFont="1" applyFill="1" applyAlignment="1">
      <alignment vertical="center"/>
    </xf>
    <xf numFmtId="0" fontId="14" fillId="2" borderId="4" xfId="0" applyFont="1" applyFill="1" applyBorder="1" applyAlignment="1">
      <alignment vertical="center" wrapText="1"/>
    </xf>
    <xf numFmtId="0" fontId="5" fillId="2" borderId="0" xfId="0" applyFont="1" applyFill="1" applyAlignment="1">
      <alignment horizontal="right"/>
    </xf>
    <xf numFmtId="172" fontId="5" fillId="2" borderId="0" xfId="0" applyNumberFormat="1" applyFont="1" applyFill="1"/>
    <xf numFmtId="0" fontId="10" fillId="2" borderId="0" xfId="0" applyFont="1" applyFill="1" applyAlignment="1">
      <alignment horizontal="right"/>
    </xf>
    <xf numFmtId="0" fontId="9" fillId="2" borderId="5" xfId="0" applyFont="1" applyFill="1" applyBorder="1" applyAlignment="1">
      <alignment vertical="center"/>
    </xf>
    <xf numFmtId="0" fontId="9" fillId="2" borderId="5" xfId="10" applyFont="1" applyFill="1" applyBorder="1" applyAlignment="1">
      <alignment horizontal="right" vertical="center" wrapText="1"/>
    </xf>
    <xf numFmtId="0" fontId="5" fillId="2" borderId="0" xfId="0" applyFont="1" applyFill="1" applyAlignment="1">
      <alignment vertical="center"/>
    </xf>
    <xf numFmtId="166" fontId="5" fillId="2" borderId="0" xfId="1" applyNumberFormat="1" applyFont="1" applyFill="1" applyAlignment="1"/>
    <xf numFmtId="166" fontId="9" fillId="2" borderId="0" xfId="1" applyNumberFormat="1" applyFont="1" applyFill="1" applyBorder="1" applyAlignment="1"/>
    <xf numFmtId="168" fontId="11" fillId="2" borderId="0" xfId="2" quotePrefix="1" applyNumberFormat="1" applyFont="1" applyFill="1" applyBorder="1" applyAlignment="1"/>
    <xf numFmtId="0" fontId="9" fillId="2" borderId="4" xfId="0" applyFont="1" applyFill="1" applyBorder="1" applyAlignment="1">
      <alignment horizontal="left" vertical="center"/>
    </xf>
    <xf numFmtId="166" fontId="9" fillId="2" borderId="4" xfId="1" applyNumberFormat="1" applyFont="1" applyFill="1" applyBorder="1" applyAlignment="1">
      <alignment horizontal="right" vertical="center"/>
    </xf>
    <xf numFmtId="168" fontId="11" fillId="2" borderId="4" xfId="2" quotePrefix="1" applyNumberFormat="1" applyFont="1" applyFill="1" applyBorder="1" applyAlignment="1">
      <alignment horizontal="right" vertical="center"/>
    </xf>
    <xf numFmtId="0" fontId="9" fillId="0" borderId="1" xfId="7" applyFont="1" applyBorder="1" applyAlignment="1">
      <alignment horizontal="right" wrapText="1"/>
    </xf>
    <xf numFmtId="0" fontId="9" fillId="0" borderId="0" xfId="7" applyFont="1" applyAlignment="1">
      <alignment horizontal="left"/>
    </xf>
    <xf numFmtId="166" fontId="9" fillId="0" borderId="0" xfId="1" applyNumberFormat="1" applyFont="1" applyFill="1" applyBorder="1" applyAlignment="1">
      <alignment horizontal="right"/>
    </xf>
    <xf numFmtId="0" fontId="9" fillId="0" borderId="4" xfId="0" applyFont="1" applyBorder="1" applyAlignment="1">
      <alignment horizontal="left" vertical="center"/>
    </xf>
    <xf numFmtId="3" fontId="9" fillId="0" borderId="4" xfId="0" applyNumberFormat="1" applyFont="1" applyBorder="1" applyAlignment="1">
      <alignment vertical="center"/>
    </xf>
    <xf numFmtId="0" fontId="5" fillId="0" borderId="0" xfId="0" applyFont="1" applyAlignment="1">
      <alignment vertical="center" wrapText="1"/>
    </xf>
    <xf numFmtId="9" fontId="9" fillId="0" borderId="1" xfId="2" applyFont="1" applyFill="1" applyBorder="1" applyAlignment="1">
      <alignment horizontal="right" wrapText="1"/>
    </xf>
    <xf numFmtId="9" fontId="9" fillId="0" borderId="0" xfId="2" applyFont="1" applyFill="1" applyBorder="1" applyAlignment="1">
      <alignment horizontal="left"/>
    </xf>
    <xf numFmtId="168" fontId="5" fillId="0" borderId="0" xfId="2" applyNumberFormat="1" applyFont="1" applyFill="1" applyBorder="1" applyAlignment="1"/>
    <xf numFmtId="168" fontId="9" fillId="0" borderId="0" xfId="2" applyNumberFormat="1" applyFont="1" applyFill="1" applyBorder="1" applyAlignment="1"/>
    <xf numFmtId="9" fontId="9" fillId="0" borderId="0" xfId="2" applyFont="1" applyFill="1" applyBorder="1" applyAlignment="1">
      <alignment horizontal="left" wrapText="1"/>
    </xf>
    <xf numFmtId="9" fontId="9" fillId="0" borderId="4" xfId="2" applyFont="1" applyFill="1" applyBorder="1" applyAlignment="1">
      <alignment horizontal="left" vertical="center"/>
    </xf>
    <xf numFmtId="9" fontId="9" fillId="0" borderId="4" xfId="2" applyFont="1" applyFill="1" applyBorder="1" applyAlignment="1">
      <alignment vertical="center"/>
    </xf>
    <xf numFmtId="9" fontId="11" fillId="0" borderId="0" xfId="2" applyFont="1" applyFill="1" applyBorder="1" applyAlignment="1"/>
    <xf numFmtId="9" fontId="10" fillId="0" borderId="0" xfId="2" applyFont="1" applyFill="1" applyBorder="1" applyAlignment="1"/>
    <xf numFmtId="0" fontId="8" fillId="2" borderId="1" xfId="0" applyFont="1" applyFill="1" applyBorder="1" applyAlignment="1">
      <alignment horizontal="left" vertical="top" wrapText="1"/>
    </xf>
    <xf numFmtId="0" fontId="9" fillId="2" borderId="1" xfId="0" applyFont="1" applyFill="1" applyBorder="1" applyAlignment="1">
      <alignment horizontal="right" wrapText="1"/>
    </xf>
    <xf numFmtId="0" fontId="18" fillId="2" borderId="0" xfId="3" applyFont="1" applyFill="1" applyAlignment="1" applyProtection="1">
      <alignment vertical="top"/>
    </xf>
    <xf numFmtId="0" fontId="9" fillId="2" borderId="0" xfId="0" applyFont="1" applyFill="1" applyAlignment="1">
      <alignment wrapText="1"/>
    </xf>
    <xf numFmtId="0" fontId="9" fillId="2" borderId="1" xfId="0" applyFont="1" applyFill="1" applyBorder="1" applyAlignment="1">
      <alignment wrapText="1"/>
    </xf>
    <xf numFmtId="0" fontId="9" fillId="2" borderId="5" xfId="0" applyFont="1" applyFill="1" applyBorder="1" applyAlignment="1">
      <alignment horizontal="right" wrapText="1"/>
    </xf>
    <xf numFmtId="0" fontId="9" fillId="2" borderId="0" xfId="0" applyFont="1" applyFill="1" applyAlignment="1">
      <alignment horizontal="right" wrapText="1"/>
    </xf>
    <xf numFmtId="0" fontId="9" fillId="2" borderId="0" xfId="0" applyFont="1" applyFill="1" applyAlignment="1">
      <alignment horizontal="left"/>
    </xf>
    <xf numFmtId="172" fontId="11" fillId="2" borderId="0" xfId="0" applyNumberFormat="1" applyFont="1" applyFill="1" applyAlignment="1">
      <alignment horizontal="right"/>
    </xf>
    <xf numFmtId="1" fontId="11" fillId="2" borderId="0" xfId="0" applyNumberFormat="1" applyFont="1" applyFill="1" applyAlignment="1">
      <alignment horizontal="right"/>
    </xf>
    <xf numFmtId="172" fontId="10" fillId="2" borderId="0" xfId="0" applyNumberFormat="1" applyFont="1" applyFill="1" applyAlignment="1">
      <alignment horizontal="right"/>
    </xf>
    <xf numFmtId="172" fontId="10" fillId="2" borderId="0" xfId="0" applyNumberFormat="1" applyFont="1" applyFill="1"/>
    <xf numFmtId="0" fontId="5" fillId="2" borderId="0" xfId="4" applyFill="1"/>
    <xf numFmtId="0" fontId="8" fillId="2" borderId="1" xfId="0" applyFont="1" applyFill="1" applyBorder="1" applyAlignment="1">
      <alignment horizontal="left" vertical="center" wrapText="1"/>
    </xf>
    <xf numFmtId="0" fontId="9" fillId="2" borderId="1" xfId="0" applyFont="1" applyFill="1" applyBorder="1"/>
    <xf numFmtId="0" fontId="9" fillId="2" borderId="3" xfId="0" applyFont="1" applyFill="1" applyBorder="1" applyAlignment="1">
      <alignment horizontal="left"/>
    </xf>
    <xf numFmtId="0" fontId="9" fillId="2" borderId="0" xfId="0" applyFont="1" applyFill="1" applyAlignment="1">
      <alignment horizontal="left" vertical="center"/>
    </xf>
    <xf numFmtId="172" fontId="5" fillId="2" borderId="0" xfId="0" applyNumberFormat="1" applyFont="1" applyFill="1" applyAlignment="1">
      <alignment vertical="center"/>
    </xf>
    <xf numFmtId="0" fontId="6" fillId="2" borderId="0" xfId="0" applyFont="1" applyFill="1"/>
    <xf numFmtId="14" fontId="9" fillId="2" borderId="1" xfId="0" applyNumberFormat="1" applyFont="1" applyFill="1" applyBorder="1" applyAlignment="1" applyProtection="1">
      <alignment horizontal="right"/>
      <protection locked="0"/>
    </xf>
    <xf numFmtId="0" fontId="5" fillId="2" borderId="0" xfId="0" quotePrefix="1" applyFont="1" applyFill="1" applyAlignment="1">
      <alignment horizontal="right"/>
    </xf>
    <xf numFmtId="0" fontId="5" fillId="2" borderId="3" xfId="0" applyFont="1" applyFill="1" applyBorder="1" applyAlignment="1">
      <alignment horizontal="right"/>
    </xf>
    <xf numFmtId="1" fontId="11" fillId="2" borderId="3" xfId="0" applyNumberFormat="1" applyFont="1" applyFill="1" applyBorder="1" applyAlignment="1">
      <alignment horizontal="right"/>
    </xf>
    <xf numFmtId="0" fontId="5" fillId="0" borderId="0" xfId="0" applyFont="1" applyProtection="1">
      <protection locked="0"/>
    </xf>
    <xf numFmtId="0" fontId="5" fillId="0" borderId="1" xfId="0" applyFont="1" applyBorder="1" applyProtection="1">
      <protection locked="0"/>
    </xf>
    <xf numFmtId="164" fontId="9" fillId="0" borderId="2" xfId="0" applyNumberFormat="1" applyFont="1" applyBorder="1"/>
    <xf numFmtId="0" fontId="9" fillId="0" borderId="0" xfId="0" applyFont="1" applyProtection="1">
      <protection locked="0"/>
    </xf>
    <xf numFmtId="0" fontId="9" fillId="0" borderId="0" xfId="0" applyFont="1" applyAlignment="1" applyProtection="1">
      <alignment horizontal="right"/>
      <protection locked="0"/>
    </xf>
    <xf numFmtId="0" fontId="9" fillId="2" borderId="0" xfId="0" applyFont="1" applyFill="1" applyAlignment="1">
      <alignment horizontal="left" vertical="center" wrapText="1"/>
    </xf>
    <xf numFmtId="0" fontId="10" fillId="2" borderId="1" xfId="0" applyFont="1" applyFill="1" applyBorder="1"/>
    <xf numFmtId="0" fontId="14" fillId="2" borderId="1" xfId="0" applyFont="1" applyFill="1" applyBorder="1" applyAlignment="1">
      <alignment vertical="center"/>
    </xf>
    <xf numFmtId="0" fontId="19" fillId="2" borderId="1" xfId="0" applyFont="1" applyFill="1" applyBorder="1"/>
    <xf numFmtId="0" fontId="19" fillId="2" borderId="1" xfId="0" applyFont="1" applyFill="1" applyBorder="1" applyAlignment="1">
      <alignment horizontal="right" wrapText="1"/>
    </xf>
    <xf numFmtId="3" fontId="5" fillId="2" borderId="0" xfId="0" applyNumberFormat="1" applyFont="1" applyFill="1"/>
    <xf numFmtId="14" fontId="9" fillId="0" borderId="1" xfId="0" applyNumberFormat="1" applyFont="1" applyBorder="1" applyAlignment="1">
      <alignment horizontal="right" wrapText="1"/>
    </xf>
    <xf numFmtId="164" fontId="5" fillId="0" borderId="0" xfId="0" applyNumberFormat="1" applyFont="1" applyAlignment="1">
      <alignment horizontal="right" wrapText="1"/>
    </xf>
    <xf numFmtId="164" fontId="9" fillId="0" borderId="0" xfId="0" applyNumberFormat="1" applyFont="1" applyAlignment="1">
      <alignment horizontal="right" wrapText="1"/>
    </xf>
    <xf numFmtId="0" fontId="9" fillId="0" borderId="4" xfId="0" applyFont="1" applyBorder="1" applyAlignment="1">
      <alignment horizontal="left" vertical="center" wrapText="1"/>
    </xf>
    <xf numFmtId="0" fontId="9" fillId="0" borderId="0" xfId="0" applyFont="1" applyAlignment="1">
      <alignment horizontal="right" vertical="center" wrapText="1"/>
    </xf>
    <xf numFmtId="0" fontId="9" fillId="0" borderId="0" xfId="0" applyFont="1" applyAlignment="1">
      <alignment horizontal="center"/>
    </xf>
    <xf numFmtId="0" fontId="9" fillId="0" borderId="5" xfId="0" applyFont="1" applyBorder="1" applyAlignment="1">
      <alignment horizontal="right" wrapText="1"/>
    </xf>
    <xf numFmtId="164" fontId="9" fillId="0" borderId="0" xfId="0" applyNumberFormat="1" applyFont="1" applyAlignment="1">
      <alignment horizontal="right"/>
    </xf>
    <xf numFmtId="164" fontId="5" fillId="0" borderId="0" xfId="13" applyNumberFormat="1" applyFont="1" applyAlignment="1">
      <alignment horizontal="right"/>
    </xf>
    <xf numFmtId="0" fontId="5" fillId="0" borderId="2" xfId="0" applyFont="1" applyBorder="1"/>
    <xf numFmtId="0" fontId="10" fillId="0" borderId="0" xfId="0" applyFont="1" applyAlignment="1">
      <alignment horizontal="right"/>
    </xf>
    <xf numFmtId="0" fontId="12" fillId="2" borderId="0" xfId="0" applyFont="1" applyFill="1"/>
    <xf numFmtId="0" fontId="14" fillId="0" borderId="4" xfId="0" applyFont="1" applyBorder="1" applyAlignment="1">
      <alignment horizontal="left" vertical="center"/>
    </xf>
    <xf numFmtId="0" fontId="14" fillId="0" borderId="0" xfId="0" applyFont="1" applyAlignment="1">
      <alignment horizontal="left" vertical="center"/>
    </xf>
    <xf numFmtId="0" fontId="9" fillId="2" borderId="1" xfId="12" applyFont="1" applyFill="1" applyBorder="1" applyAlignment="1">
      <alignment horizontal="right" wrapText="1"/>
    </xf>
    <xf numFmtId="0" fontId="9" fillId="2" borderId="2" xfId="0" applyFont="1" applyFill="1" applyBorder="1" applyAlignment="1">
      <alignment horizontal="left"/>
    </xf>
    <xf numFmtId="0" fontId="10" fillId="2" borderId="2" xfId="0" applyFont="1" applyFill="1" applyBorder="1" applyAlignment="1">
      <alignment vertical="center" wrapText="1"/>
    </xf>
    <xf numFmtId="0" fontId="10" fillId="2" borderId="3" xfId="0" applyFont="1" applyFill="1" applyBorder="1" applyAlignment="1">
      <alignment vertical="center" wrapText="1"/>
    </xf>
    <xf numFmtId="3" fontId="11" fillId="2" borderId="0" xfId="0" applyNumberFormat="1" applyFont="1" applyFill="1"/>
    <xf numFmtId="0" fontId="22" fillId="2" borderId="1" xfId="0" applyFont="1" applyFill="1" applyBorder="1"/>
    <xf numFmtId="0" fontId="9" fillId="2" borderId="1" xfId="0" applyFont="1" applyFill="1" applyBorder="1" applyAlignment="1">
      <alignment horizontal="left" wrapText="1"/>
    </xf>
    <xf numFmtId="0" fontId="5" fillId="2" borderId="1" xfId="0" applyFont="1" applyFill="1" applyBorder="1" applyAlignment="1">
      <alignment horizontal="right"/>
    </xf>
    <xf numFmtId="3" fontId="9" fillId="2" borderId="5" xfId="0" applyNumberFormat="1" applyFont="1" applyFill="1" applyBorder="1" applyAlignment="1">
      <alignment horizontal="center" wrapText="1"/>
    </xf>
    <xf numFmtId="0" fontId="2" fillId="2" borderId="0" xfId="0" applyFont="1" applyFill="1"/>
    <xf numFmtId="3" fontId="9" fillId="0" borderId="1" xfId="0" applyNumberFormat="1" applyFont="1" applyBorder="1" applyAlignment="1">
      <alignment horizontal="right" wrapText="1"/>
    </xf>
    <xf numFmtId="0" fontId="10" fillId="0" borderId="1" xfId="0" applyFont="1" applyBorder="1"/>
    <xf numFmtId="0" fontId="22" fillId="0" borderId="1" xfId="0" applyFont="1" applyBorder="1" applyAlignment="1">
      <alignment horizontal="right"/>
    </xf>
    <xf numFmtId="172" fontId="9" fillId="0" borderId="0" xfId="0" applyNumberFormat="1" applyFont="1"/>
    <xf numFmtId="172" fontId="9" fillId="0" borderId="0" xfId="0" applyNumberFormat="1" applyFont="1" applyAlignment="1">
      <alignment horizontal="right"/>
    </xf>
    <xf numFmtId="0" fontId="8" fillId="0" borderId="0" xfId="0" applyFont="1" applyAlignment="1">
      <alignment horizontal="left" vertical="center" wrapText="1"/>
    </xf>
    <xf numFmtId="0" fontId="8" fillId="0" borderId="0" xfId="0" applyFont="1" applyAlignment="1">
      <alignment horizontal="left" vertical="top" wrapText="1"/>
    </xf>
    <xf numFmtId="0" fontId="8" fillId="2" borderId="0" xfId="0" applyFont="1" applyFill="1" applyAlignment="1">
      <alignment horizontal="left" vertical="center" wrapText="1"/>
    </xf>
    <xf numFmtId="0" fontId="9" fillId="0" borderId="1" xfId="0" applyFont="1" applyBorder="1" applyAlignment="1">
      <alignment horizontal="center" wrapText="1"/>
    </xf>
    <xf numFmtId="0" fontId="9" fillId="0" borderId="0" xfId="0" applyFont="1" applyAlignment="1">
      <alignment horizontal="center" wrapText="1"/>
    </xf>
    <xf numFmtId="0" fontId="9" fillId="2" borderId="0" xfId="0" applyFont="1" applyFill="1" applyAlignment="1">
      <alignment horizontal="left" wrapText="1"/>
    </xf>
    <xf numFmtId="0" fontId="9" fillId="2" borderId="4" xfId="18" applyFont="1" applyFill="1" applyBorder="1" applyAlignment="1">
      <alignment horizontal="left" vertical="center" wrapText="1"/>
    </xf>
    <xf numFmtId="174" fontId="9" fillId="2" borderId="4" xfId="0" applyNumberFormat="1" applyFont="1" applyFill="1" applyBorder="1" applyAlignment="1">
      <alignment vertical="center"/>
    </xf>
    <xf numFmtId="0" fontId="9" fillId="2" borderId="0" xfId="18" applyFont="1" applyFill="1" applyAlignment="1">
      <alignment horizontal="left" vertical="center" wrapText="1"/>
    </xf>
    <xf numFmtId="166" fontId="9" fillId="2" borderId="0" xfId="0" applyNumberFormat="1" applyFont="1" applyFill="1" applyAlignment="1">
      <alignment vertical="center"/>
    </xf>
    <xf numFmtId="0" fontId="14" fillId="0" borderId="1" xfId="0" applyFont="1" applyBorder="1" applyAlignment="1">
      <alignment wrapText="1"/>
    </xf>
    <xf numFmtId="0" fontId="14" fillId="0" borderId="1" xfId="0" applyFont="1" applyBorder="1" applyAlignment="1">
      <alignment horizontal="right" wrapText="1"/>
    </xf>
    <xf numFmtId="164" fontId="14" fillId="0" borderId="4" xfId="0" applyNumberFormat="1" applyFont="1" applyBorder="1" applyAlignment="1">
      <alignment vertical="center"/>
    </xf>
    <xf numFmtId="0" fontId="5" fillId="0" borderId="0" xfId="0" applyFont="1" applyAlignment="1">
      <alignment horizontal="left" vertical="top" wrapText="1"/>
    </xf>
    <xf numFmtId="0" fontId="9" fillId="0" borderId="1" xfId="4" applyFont="1" applyBorder="1" applyAlignment="1">
      <alignment horizontal="center" wrapText="1"/>
    </xf>
    <xf numFmtId="169" fontId="5" fillId="0" borderId="0" xfId="17" applyNumberFormat="1" applyFont="1" applyFill="1" applyBorder="1" applyAlignment="1">
      <alignment horizontal="right"/>
    </xf>
    <xf numFmtId="166" fontId="9" fillId="0" borderId="0" xfId="17" applyNumberFormat="1" applyFont="1" applyFill="1" applyBorder="1" applyAlignment="1">
      <alignment horizontal="right"/>
    </xf>
    <xf numFmtId="172" fontId="11" fillId="0" borderId="0" xfId="0" quotePrefix="1" applyNumberFormat="1" applyFont="1" applyAlignment="1">
      <alignment horizontal="right"/>
    </xf>
    <xf numFmtId="0" fontId="9" fillId="0" borderId="2" xfId="19" applyFont="1" applyBorder="1"/>
    <xf numFmtId="0" fontId="9" fillId="0" borderId="1" xfId="19" applyFont="1" applyBorder="1" applyAlignment="1">
      <alignment horizontal="left"/>
    </xf>
    <xf numFmtId="0" fontId="9" fillId="0" borderId="1" xfId="19" applyFont="1" applyBorder="1" applyAlignment="1">
      <alignment horizontal="right"/>
    </xf>
    <xf numFmtId="0" fontId="9" fillId="0" borderId="1" xfId="19" applyFont="1" applyBorder="1" applyAlignment="1">
      <alignment horizontal="right" wrapText="1"/>
    </xf>
    <xf numFmtId="0" fontId="9" fillId="0" borderId="0" xfId="19" applyFont="1"/>
    <xf numFmtId="166" fontId="9" fillId="0" borderId="0" xfId="17" applyNumberFormat="1" applyFont="1" applyFill="1" applyBorder="1" applyAlignment="1"/>
    <xf numFmtId="166" fontId="9" fillId="0" borderId="4" xfId="17" applyNumberFormat="1" applyFont="1" applyFill="1" applyBorder="1" applyAlignment="1">
      <alignment vertical="center"/>
    </xf>
    <xf numFmtId="166" fontId="9" fillId="0" borderId="0" xfId="17" applyNumberFormat="1" applyFont="1" applyFill="1" applyBorder="1" applyAlignment="1">
      <alignment vertical="center"/>
    </xf>
    <xf numFmtId="3" fontId="9" fillId="0" borderId="0" xfId="19" quotePrefix="1" applyNumberFormat="1" applyFont="1" applyAlignment="1">
      <alignment horizontal="right" vertical="center"/>
    </xf>
    <xf numFmtId="1" fontId="9" fillId="0" borderId="0" xfId="0" applyNumberFormat="1" applyFont="1" applyAlignment="1">
      <alignment vertical="center"/>
    </xf>
    <xf numFmtId="165" fontId="10" fillId="0" borderId="0" xfId="0" quotePrefix="1" applyNumberFormat="1" applyFont="1" applyAlignment="1">
      <alignment horizontal="right" vertical="center"/>
    </xf>
    <xf numFmtId="0" fontId="16" fillId="0" borderId="4" xfId="0" applyFont="1" applyBorder="1" applyAlignment="1">
      <alignment vertical="center"/>
    </xf>
    <xf numFmtId="0" fontId="16" fillId="0" borderId="0" xfId="0" applyFont="1" applyAlignment="1">
      <alignment vertical="center"/>
    </xf>
    <xf numFmtId="2" fontId="16" fillId="0" borderId="0" xfId="0" applyNumberFormat="1" applyFont="1" applyAlignment="1">
      <alignment vertical="center"/>
    </xf>
    <xf numFmtId="0" fontId="9" fillId="2" borderId="4" xfId="0" applyFont="1" applyFill="1" applyBorder="1" applyAlignment="1">
      <alignment vertical="center"/>
    </xf>
    <xf numFmtId="0" fontId="24" fillId="0" borderId="0" xfId="0" applyFont="1"/>
    <xf numFmtId="0" fontId="4" fillId="0" borderId="0" xfId="0" applyFont="1" applyAlignment="1">
      <alignment wrapText="1"/>
    </xf>
    <xf numFmtId="166" fontId="5" fillId="0" borderId="0" xfId="21" applyNumberFormat="1" applyFont="1" applyFill="1" applyBorder="1" applyAlignment="1">
      <alignment horizontal="right" wrapText="1"/>
    </xf>
    <xf numFmtId="166" fontId="9" fillId="0" borderId="0" xfId="21" applyNumberFormat="1" applyFont="1" applyFill="1" applyBorder="1" applyAlignment="1">
      <alignment horizontal="right" wrapText="1"/>
    </xf>
    <xf numFmtId="9" fontId="5" fillId="0" borderId="0" xfId="22" applyFont="1" applyFill="1" applyBorder="1"/>
    <xf numFmtId="166" fontId="9" fillId="0" borderId="0" xfId="21" applyNumberFormat="1" applyFont="1" applyFill="1" applyBorder="1" applyAlignment="1">
      <alignment horizontal="right" vertical="center" wrapText="1"/>
    </xf>
    <xf numFmtId="9" fontId="5" fillId="0" borderId="0" xfId="22" applyFont="1" applyFill="1" applyBorder="1" applyAlignment="1">
      <alignment vertical="center"/>
    </xf>
    <xf numFmtId="9" fontId="5" fillId="0" borderId="0" xfId="22" applyFont="1" applyFill="1" applyBorder="1" applyAlignment="1">
      <alignment horizontal="right" wrapText="1"/>
    </xf>
    <xf numFmtId="9" fontId="5" fillId="0" borderId="0" xfId="22" applyFont="1" applyFill="1" applyAlignment="1">
      <alignment horizontal="right" wrapText="1"/>
    </xf>
    <xf numFmtId="168" fontId="11" fillId="0" borderId="3" xfId="22" applyNumberFormat="1" applyFont="1" applyFill="1" applyBorder="1" applyAlignment="1">
      <alignment horizontal="right" wrapText="1"/>
    </xf>
    <xf numFmtId="9" fontId="11" fillId="0" borderId="0" xfId="22" applyFont="1" applyFill="1" applyBorder="1" applyAlignment="1">
      <alignment horizontal="right" wrapText="1"/>
    </xf>
    <xf numFmtId="9" fontId="11" fillId="0" borderId="0" xfId="22" applyFont="1" applyFill="1" applyBorder="1" applyAlignment="1">
      <alignment horizontal="right"/>
    </xf>
    <xf numFmtId="9" fontId="10" fillId="0" borderId="4" xfId="22" applyFont="1" applyFill="1" applyBorder="1" applyAlignment="1">
      <alignment horizontal="right" vertical="center"/>
    </xf>
    <xf numFmtId="9" fontId="10" fillId="0" borderId="0" xfId="22" applyFont="1" applyFill="1" applyBorder="1" applyAlignment="1" applyProtection="1">
      <alignment horizontal="right"/>
      <protection locked="0"/>
    </xf>
    <xf numFmtId="164" fontId="9" fillId="0" borderId="0" xfId="21" applyNumberFormat="1" applyFont="1" applyFill="1" applyBorder="1" applyAlignment="1">
      <alignment vertical="center"/>
    </xf>
    <xf numFmtId="10" fontId="9" fillId="0" borderId="0" xfId="22" applyNumberFormat="1" applyFont="1" applyFill="1" applyBorder="1" applyAlignment="1">
      <alignment vertical="center"/>
    </xf>
    <xf numFmtId="3" fontId="10" fillId="0" borderId="0" xfId="0" applyNumberFormat="1" applyFont="1"/>
    <xf numFmtId="9" fontId="5" fillId="0" borderId="0" xfId="22" applyFont="1" applyFill="1"/>
    <xf numFmtId="166" fontId="5" fillId="0" borderId="0" xfId="21" applyNumberFormat="1" applyFont="1" applyFill="1" applyBorder="1"/>
    <xf numFmtId="166" fontId="9" fillId="0" borderId="0" xfId="21" applyNumberFormat="1" applyFont="1" applyFill="1" applyBorder="1"/>
    <xf numFmtId="166" fontId="16" fillId="0" borderId="4" xfId="21" applyNumberFormat="1" applyFont="1" applyFill="1" applyBorder="1" applyAlignment="1">
      <alignment vertical="center"/>
    </xf>
    <xf numFmtId="166" fontId="16" fillId="0" borderId="0" xfId="21" applyNumberFormat="1" applyFont="1" applyFill="1" applyBorder="1" applyAlignment="1">
      <alignment vertical="center"/>
    </xf>
    <xf numFmtId="9" fontId="16" fillId="0" borderId="0" xfId="22" applyFont="1" applyFill="1" applyBorder="1" applyAlignment="1">
      <alignment vertical="center"/>
    </xf>
    <xf numFmtId="166" fontId="9" fillId="0" borderId="4" xfId="21" applyNumberFormat="1" applyFont="1" applyFill="1" applyBorder="1" applyAlignment="1">
      <alignment vertical="center"/>
    </xf>
    <xf numFmtId="166" fontId="9" fillId="0" borderId="3" xfId="21" applyNumberFormat="1" applyFont="1" applyFill="1" applyBorder="1"/>
    <xf numFmtId="166" fontId="9" fillId="0" borderId="1" xfId="21" applyNumberFormat="1" applyFont="1" applyFill="1" applyBorder="1" applyAlignment="1">
      <alignment horizontal="right" wrapText="1"/>
    </xf>
    <xf numFmtId="166" fontId="9" fillId="0" borderId="4" xfId="21" applyNumberFormat="1" applyFont="1" applyFill="1" applyBorder="1" applyAlignment="1">
      <alignment horizontal="right" vertical="center" wrapText="1"/>
    </xf>
    <xf numFmtId="9" fontId="10" fillId="0" borderId="2" xfId="22" applyFont="1" applyFill="1" applyBorder="1"/>
    <xf numFmtId="9" fontId="10" fillId="0" borderId="0" xfId="22" applyFont="1" applyFill="1" applyBorder="1"/>
    <xf numFmtId="166" fontId="9" fillId="0" borderId="3" xfId="21" applyNumberFormat="1" applyFont="1" applyFill="1" applyBorder="1" applyAlignment="1">
      <alignment vertical="center"/>
    </xf>
    <xf numFmtId="166" fontId="9" fillId="0" borderId="0" xfId="21" applyNumberFormat="1" applyFont="1" applyFill="1" applyBorder="1" applyAlignment="1">
      <alignment vertical="center"/>
    </xf>
    <xf numFmtId="9" fontId="10" fillId="0" borderId="4" xfId="22" applyFont="1" applyFill="1" applyBorder="1" applyAlignment="1">
      <alignment vertical="center"/>
    </xf>
    <xf numFmtId="9" fontId="9" fillId="0" borderId="0" xfId="22" applyFont="1" applyFill="1" applyBorder="1" applyAlignment="1">
      <alignment vertical="center"/>
    </xf>
    <xf numFmtId="168" fontId="11" fillId="0" borderId="1" xfId="22" applyNumberFormat="1" applyFont="1" applyFill="1" applyBorder="1"/>
    <xf numFmtId="9" fontId="11" fillId="0" borderId="1" xfId="22" applyFont="1" applyFill="1" applyBorder="1"/>
    <xf numFmtId="9" fontId="11" fillId="0" borderId="3" xfId="22" applyFont="1" applyFill="1" applyBorder="1"/>
    <xf numFmtId="166" fontId="11" fillId="0" borderId="0" xfId="0" applyNumberFormat="1" applyFont="1"/>
    <xf numFmtId="0" fontId="8" fillId="2" borderId="0" xfId="0" applyFont="1" applyFill="1" applyAlignment="1">
      <alignment horizontal="left" vertical="top" wrapText="1"/>
    </xf>
    <xf numFmtId="170" fontId="5" fillId="0" borderId="2" xfId="6" applyNumberFormat="1" applyBorder="1"/>
    <xf numFmtId="170" fontId="9" fillId="0" borderId="4" xfId="6" applyNumberFormat="1" applyFont="1" applyBorder="1"/>
    <xf numFmtId="0" fontId="0" fillId="0" borderId="1" xfId="0" applyBorder="1"/>
    <xf numFmtId="0" fontId="5" fillId="2" borderId="2" xfId="0" applyFont="1" applyFill="1" applyBorder="1"/>
    <xf numFmtId="168" fontId="11" fillId="2" borderId="2" xfId="2" quotePrefix="1" applyNumberFormat="1" applyFont="1" applyFill="1" applyBorder="1" applyAlignment="1">
      <alignment horizontal="right"/>
    </xf>
    <xf numFmtId="1" fontId="10" fillId="2" borderId="0" xfId="7" quotePrefix="1" applyNumberFormat="1" applyFont="1" applyFill="1" applyAlignment="1">
      <alignment horizontal="right"/>
    </xf>
    <xf numFmtId="3" fontId="9" fillId="2" borderId="2" xfId="0" applyNumberFormat="1" applyFont="1" applyFill="1" applyBorder="1" applyAlignment="1">
      <alignment horizontal="right"/>
    </xf>
    <xf numFmtId="3" fontId="5" fillId="2" borderId="2" xfId="7" applyNumberFormat="1" applyFont="1" applyFill="1" applyBorder="1" applyAlignment="1">
      <alignment horizontal="right"/>
    </xf>
    <xf numFmtId="3" fontId="9" fillId="2" borderId="2" xfId="0" quotePrefix="1" applyNumberFormat="1" applyFont="1" applyFill="1" applyBorder="1" applyAlignment="1">
      <alignment horizontal="right"/>
    </xf>
    <xf numFmtId="0" fontId="14" fillId="2" borderId="0" xfId="7" applyFont="1" applyFill="1"/>
    <xf numFmtId="0" fontId="9" fillId="2" borderId="2" xfId="7" applyFont="1" applyFill="1" applyBorder="1" applyAlignment="1">
      <alignment horizontal="left" indent="1"/>
    </xf>
    <xf numFmtId="164" fontId="5" fillId="2" borderId="2" xfId="9" applyNumberFormat="1" applyFont="1" applyFill="1" applyBorder="1" applyAlignment="1">
      <alignment horizontal="right" wrapText="1"/>
    </xf>
    <xf numFmtId="172" fontId="9" fillId="2" borderId="2" xfId="0" applyNumberFormat="1" applyFont="1" applyFill="1" applyBorder="1" applyAlignment="1">
      <alignment horizontal="right"/>
    </xf>
    <xf numFmtId="172" fontId="11" fillId="2" borderId="2" xfId="0" applyNumberFormat="1" applyFont="1" applyFill="1" applyBorder="1" applyAlignment="1">
      <alignment horizontal="right"/>
    </xf>
    <xf numFmtId="0" fontId="25" fillId="0" borderId="0" xfId="0" applyFont="1"/>
    <xf numFmtId="0" fontId="9" fillId="2" borderId="0" xfId="7" applyFont="1" applyFill="1" applyAlignment="1">
      <alignment horizontal="left" wrapText="1"/>
    </xf>
    <xf numFmtId="164" fontId="9" fillId="0" borderId="4" xfId="0" applyNumberFormat="1" applyFont="1" applyBorder="1"/>
    <xf numFmtId="1" fontId="5" fillId="0" borderId="3" xfId="0" applyNumberFormat="1" applyFont="1" applyBorder="1" applyAlignment="1">
      <alignment vertical="center"/>
    </xf>
    <xf numFmtId="3" fontId="8" fillId="0" borderId="4" xfId="0" applyNumberFormat="1" applyFont="1" applyBorder="1"/>
    <xf numFmtId="166" fontId="9" fillId="0" borderId="4" xfId="0" applyNumberFormat="1" applyFont="1" applyBorder="1" applyAlignment="1">
      <alignment vertical="center"/>
    </xf>
    <xf numFmtId="49" fontId="9" fillId="0" borderId="0" xfId="7" applyNumberFormat="1" applyFont="1" applyAlignment="1">
      <alignment horizontal="left" wrapText="1"/>
    </xf>
    <xf numFmtId="0" fontId="5" fillId="2" borderId="0" xfId="0" applyFont="1" applyFill="1" applyAlignment="1">
      <alignment horizontal="left" vertical="top" wrapText="1"/>
    </xf>
    <xf numFmtId="0" fontId="22" fillId="0" borderId="1" xfId="0" applyFont="1" applyBorder="1"/>
    <xf numFmtId="0" fontId="9" fillId="0" borderId="5" xfId="4" applyFont="1" applyBorder="1" applyAlignment="1">
      <alignment horizontal="center" wrapText="1"/>
    </xf>
    <xf numFmtId="164" fontId="16" fillId="0" borderId="4" xfId="0" applyNumberFormat="1" applyFont="1" applyBorder="1" applyAlignment="1">
      <alignment vertical="center"/>
    </xf>
    <xf numFmtId="0" fontId="27" fillId="2" borderId="1" xfId="0" applyFont="1" applyFill="1" applyBorder="1" applyAlignment="1">
      <alignment horizontal="center" wrapText="1"/>
    </xf>
    <xf numFmtId="164" fontId="9" fillId="0" borderId="4" xfId="0" applyNumberFormat="1" applyFont="1" applyBorder="1" applyAlignment="1">
      <alignment horizontal="right" vertical="center" wrapText="1"/>
    </xf>
    <xf numFmtId="0" fontId="0" fillId="0" borderId="3" xfId="0" applyBorder="1"/>
    <xf numFmtId="0" fontId="28" fillId="0" borderId="0" xfId="0" applyFont="1" applyAlignment="1">
      <alignment vertical="center" wrapText="1"/>
    </xf>
    <xf numFmtId="0" fontId="29" fillId="0" borderId="0" xfId="0" applyFont="1" applyAlignment="1">
      <alignment wrapText="1"/>
    </xf>
    <xf numFmtId="0" fontId="29" fillId="0" borderId="0" xfId="0" applyFont="1" applyAlignment="1">
      <alignment horizontal="center"/>
    </xf>
    <xf numFmtId="0" fontId="30" fillId="0" borderId="0" xfId="0" applyFont="1" applyAlignment="1">
      <alignment wrapText="1"/>
    </xf>
    <xf numFmtId="0" fontId="29" fillId="0" borderId="0" xfId="0" applyFont="1"/>
    <xf numFmtId="0" fontId="29" fillId="0" borderId="0" xfId="0" applyFont="1" applyAlignment="1">
      <alignment horizontal="left"/>
    </xf>
    <xf numFmtId="0" fontId="31" fillId="0" borderId="0" xfId="0" applyFont="1" applyAlignment="1">
      <alignment wrapText="1"/>
    </xf>
    <xf numFmtId="0" fontId="32" fillId="0" borderId="0" xfId="0" applyFont="1"/>
    <xf numFmtId="0" fontId="16" fillId="2" borderId="0" xfId="0" applyFont="1" applyFill="1"/>
    <xf numFmtId="0" fontId="16" fillId="2" borderId="0" xfId="0" applyFont="1" applyFill="1" applyAlignment="1">
      <alignment horizontal="left" vertical="center"/>
    </xf>
    <xf numFmtId="0" fontId="16" fillId="0" borderId="0" xfId="0" applyFont="1"/>
    <xf numFmtId="0" fontId="33" fillId="0" borderId="0" xfId="0" applyFont="1" applyAlignment="1">
      <alignment vertical="center"/>
    </xf>
    <xf numFmtId="0" fontId="33" fillId="0" borderId="0" xfId="0" applyFont="1"/>
    <xf numFmtId="0" fontId="33" fillId="2" borderId="0" xfId="0" applyFont="1" applyFill="1"/>
    <xf numFmtId="0" fontId="33" fillId="2" borderId="0" xfId="0" applyFont="1" applyFill="1" applyAlignment="1">
      <alignment horizontal="right"/>
    </xf>
    <xf numFmtId="172" fontId="33" fillId="2" borderId="0" xfId="0" applyNumberFormat="1" applyFont="1" applyFill="1"/>
    <xf numFmtId="0" fontId="16" fillId="0" borderId="0" xfId="5" applyFont="1" applyAlignment="1">
      <alignment horizontal="left"/>
    </xf>
    <xf numFmtId="1" fontId="16" fillId="0" borderId="0" xfId="5" applyNumberFormat="1" applyFont="1" applyAlignment="1">
      <alignment horizontal="right" wrapText="1"/>
    </xf>
    <xf numFmtId="0" fontId="16" fillId="0" borderId="0" xfId="5" applyFont="1" applyAlignment="1">
      <alignment horizontal="right" wrapText="1"/>
    </xf>
    <xf numFmtId="0" fontId="34" fillId="0" borderId="0" xfId="0" applyFont="1" applyAlignment="1">
      <alignment vertical="center"/>
    </xf>
    <xf numFmtId="0" fontId="34" fillId="0" borderId="0" xfId="0" applyFont="1"/>
    <xf numFmtId="0" fontId="33" fillId="0" borderId="0" xfId="0" applyFont="1" applyAlignment="1">
      <alignment horizontal="left" vertical="top" wrapText="1"/>
    </xf>
    <xf numFmtId="3" fontId="16" fillId="0" borderId="0" xfId="0" applyNumberFormat="1" applyFont="1"/>
    <xf numFmtId="3" fontId="33" fillId="0" borderId="0" xfId="0" applyNumberFormat="1" applyFont="1"/>
    <xf numFmtId="0" fontId="16" fillId="0" borderId="0" xfId="0" applyFont="1" applyAlignment="1">
      <alignment horizontal="left" vertical="top" wrapText="1"/>
    </xf>
    <xf numFmtId="0" fontId="1" fillId="0" borderId="0" xfId="0" applyFont="1"/>
    <xf numFmtId="0" fontId="35" fillId="0" borderId="0" xfId="3" applyFont="1" applyFill="1" applyAlignment="1" applyProtection="1"/>
    <xf numFmtId="0" fontId="16" fillId="0" borderId="0" xfId="3" applyFont="1" applyFill="1" applyAlignment="1" applyProtection="1">
      <protection locked="0"/>
    </xf>
    <xf numFmtId="0" fontId="16" fillId="0" borderId="0" xfId="0" applyFont="1" applyAlignment="1" applyProtection="1">
      <alignment horizontal="right"/>
      <protection locked="0"/>
    </xf>
    <xf numFmtId="0" fontId="33" fillId="0" borderId="0" xfId="0" applyFont="1" applyProtection="1">
      <protection locked="0"/>
    </xf>
    <xf numFmtId="9" fontId="36" fillId="0" borderId="0" xfId="22" applyFont="1" applyFill="1" applyBorder="1" applyAlignment="1" applyProtection="1">
      <alignment horizontal="right"/>
      <protection locked="0"/>
    </xf>
    <xf numFmtId="0" fontId="34" fillId="2" borderId="0" xfId="0" applyFont="1" applyFill="1" applyAlignment="1">
      <alignment vertical="center"/>
    </xf>
    <xf numFmtId="0" fontId="16" fillId="0" borderId="0" xfId="0" applyFont="1" applyAlignment="1">
      <alignment horizontal="left" vertical="center"/>
    </xf>
    <xf numFmtId="164" fontId="33" fillId="0" borderId="0" xfId="13" applyNumberFormat="1" applyFont="1" applyAlignment="1">
      <alignment horizontal="right"/>
    </xf>
    <xf numFmtId="164" fontId="33" fillId="0" borderId="0" xfId="0" applyNumberFormat="1" applyFont="1" applyAlignment="1">
      <alignment vertical="center"/>
    </xf>
    <xf numFmtId="164" fontId="16" fillId="0" borderId="0" xfId="0" applyNumberFormat="1" applyFont="1" applyAlignment="1">
      <alignment vertical="center"/>
    </xf>
    <xf numFmtId="164" fontId="16" fillId="0" borderId="0" xfId="21" applyNumberFormat="1" applyFont="1" applyFill="1" applyBorder="1" applyAlignment="1">
      <alignment vertical="center"/>
    </xf>
    <xf numFmtId="10" fontId="16" fillId="0" borderId="0" xfId="22" applyNumberFormat="1" applyFont="1" applyFill="1" applyBorder="1" applyAlignment="1">
      <alignment vertical="center"/>
    </xf>
    <xf numFmtId="0" fontId="33" fillId="2" borderId="0" xfId="0" applyFont="1" applyFill="1" applyAlignment="1">
      <alignment vertical="top"/>
    </xf>
    <xf numFmtId="0" fontId="34" fillId="2" borderId="0" xfId="0" applyFont="1" applyFill="1"/>
    <xf numFmtId="0" fontId="33" fillId="2" borderId="0" xfId="0" applyFont="1" applyFill="1" applyAlignment="1">
      <alignment vertical="top" wrapText="1"/>
    </xf>
    <xf numFmtId="0" fontId="9" fillId="0" borderId="0" xfId="18" applyFont="1" applyAlignment="1">
      <alignment horizontal="left" vertical="center" wrapText="1"/>
    </xf>
    <xf numFmtId="174" fontId="9" fillId="0" borderId="0" xfId="0" applyNumberFormat="1" applyFont="1" applyAlignment="1">
      <alignment vertical="center"/>
    </xf>
    <xf numFmtId="166" fontId="5" fillId="4" borderId="4" xfId="17" applyNumberFormat="1" applyFont="1" applyFill="1" applyBorder="1" applyAlignment="1">
      <alignment horizontal="right"/>
    </xf>
    <xf numFmtId="166" fontId="5" fillId="0" borderId="0" xfId="0" applyNumberFormat="1" applyFont="1"/>
    <xf numFmtId="164" fontId="0" fillId="0" borderId="0" xfId="0" applyNumberFormat="1"/>
    <xf numFmtId="0" fontId="38" fillId="0" borderId="0" xfId="0" applyFont="1" applyAlignment="1">
      <alignment vertical="center"/>
    </xf>
    <xf numFmtId="0" fontId="0" fillId="2" borderId="0" xfId="0" applyFill="1"/>
    <xf numFmtId="0" fontId="33" fillId="0" borderId="0" xfId="0" applyFont="1" applyAlignment="1">
      <alignment vertical="center" wrapText="1"/>
    </xf>
    <xf numFmtId="0" fontId="0" fillId="0" borderId="0" xfId="0" applyAlignment="1">
      <alignment vertical="center" wrapText="1"/>
    </xf>
    <xf numFmtId="0" fontId="16" fillId="0" borderId="0" xfId="5" applyFont="1" applyAlignment="1">
      <alignment horizontal="left" vertical="center"/>
    </xf>
    <xf numFmtId="0" fontId="9" fillId="2" borderId="1" xfId="8" applyFont="1" applyFill="1" applyBorder="1" applyAlignment="1">
      <alignment horizontal="right" wrapText="1"/>
    </xf>
    <xf numFmtId="0" fontId="9" fillId="0" borderId="1" xfId="0" applyFont="1" applyBorder="1" applyAlignment="1" applyProtection="1">
      <alignment horizontal="right"/>
      <protection locked="0"/>
    </xf>
    <xf numFmtId="0" fontId="33" fillId="0" borderId="0" xfId="0" applyFont="1" applyAlignment="1">
      <alignment horizontal="left" vertical="center"/>
    </xf>
    <xf numFmtId="0" fontId="10" fillId="2" borderId="0" xfId="0" applyFont="1" applyFill="1" applyAlignment="1">
      <alignment vertical="center" wrapText="1"/>
    </xf>
    <xf numFmtId="168" fontId="5" fillId="2" borderId="0" xfId="22" applyNumberFormat="1" applyFont="1" applyFill="1" applyBorder="1" applyAlignment="1">
      <alignment vertical="center"/>
    </xf>
    <xf numFmtId="168" fontId="9" fillId="2" borderId="0" xfId="22" applyNumberFormat="1" applyFont="1" applyFill="1" applyBorder="1" applyAlignment="1">
      <alignment vertical="center"/>
    </xf>
    <xf numFmtId="0" fontId="35" fillId="2" borderId="0" xfId="3" applyFont="1" applyFill="1" applyAlignment="1" applyProtection="1">
      <alignment vertical="center" wrapText="1"/>
    </xf>
    <xf numFmtId="0" fontId="39" fillId="0" borderId="0" xfId="3" applyFont="1" applyFill="1" applyBorder="1" applyAlignment="1" applyProtection="1"/>
    <xf numFmtId="0" fontId="39" fillId="0" borderId="0" xfId="3" applyFont="1" applyFill="1" applyBorder="1" applyAlignment="1" applyProtection="1">
      <alignment horizontal="center"/>
    </xf>
    <xf numFmtId="0" fontId="39" fillId="0" borderId="0" xfId="3" applyFont="1" applyAlignment="1" applyProtection="1"/>
    <xf numFmtId="0" fontId="40" fillId="0" borderId="0" xfId="0" applyFont="1" applyAlignment="1">
      <alignment vertical="center" wrapText="1"/>
    </xf>
    <xf numFmtId="0" fontId="40"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9" fillId="2" borderId="8" xfId="0" applyFont="1" applyFill="1" applyBorder="1" applyAlignment="1">
      <alignment horizontal="right"/>
    </xf>
    <xf numFmtId="0" fontId="5" fillId="0" borderId="6" xfId="5" applyFont="1" applyBorder="1" applyAlignment="1">
      <alignment horizontal="left"/>
    </xf>
    <xf numFmtId="0" fontId="5" fillId="0" borderId="2" xfId="5" applyFont="1" applyBorder="1" applyAlignment="1">
      <alignment horizontal="left" wrapText="1"/>
    </xf>
    <xf numFmtId="0" fontId="5" fillId="0" borderId="0" xfId="5" applyFont="1" applyAlignment="1">
      <alignment horizontal="left" vertical="center" wrapText="1"/>
    </xf>
    <xf numFmtId="4" fontId="5" fillId="2" borderId="0" xfId="0" applyNumberFormat="1" applyFont="1" applyFill="1" applyAlignment="1">
      <alignment horizontal="right"/>
    </xf>
    <xf numFmtId="4" fontId="9" fillId="2" borderId="0" xfId="0" applyNumberFormat="1" applyFont="1" applyFill="1" applyAlignment="1">
      <alignment horizontal="right"/>
    </xf>
    <xf numFmtId="0" fontId="41" fillId="0" borderId="0" xfId="0" applyFont="1"/>
    <xf numFmtId="164" fontId="9" fillId="2" borderId="2" xfId="9" applyNumberFormat="1" applyFont="1" applyFill="1" applyBorder="1" applyAlignment="1">
      <alignment horizontal="right" wrapText="1"/>
    </xf>
    <xf numFmtId="172" fontId="0" fillId="0" borderId="0" xfId="0" applyNumberFormat="1"/>
    <xf numFmtId="0" fontId="9" fillId="2" borderId="1" xfId="0" applyFont="1" applyFill="1" applyBorder="1" applyAlignment="1">
      <alignment horizontal="left"/>
    </xf>
    <xf numFmtId="1" fontId="10" fillId="2" borderId="9" xfId="0" applyNumberFormat="1" applyFont="1" applyFill="1" applyBorder="1" applyAlignment="1">
      <alignment horizontal="right"/>
    </xf>
    <xf numFmtId="1" fontId="10" fillId="2" borderId="12" xfId="0" applyNumberFormat="1" applyFont="1" applyFill="1" applyBorder="1" applyAlignment="1">
      <alignment horizontal="right"/>
    </xf>
    <xf numFmtId="0" fontId="14" fillId="0" borderId="10" xfId="0" applyFont="1" applyBorder="1" applyAlignment="1">
      <alignment horizontal="right" wrapText="1"/>
    </xf>
    <xf numFmtId="164" fontId="14" fillId="0" borderId="11" xfId="0" applyNumberFormat="1" applyFont="1" applyBorder="1" applyAlignment="1">
      <alignment vertical="center"/>
    </xf>
    <xf numFmtId="0" fontId="9" fillId="2" borderId="1" xfId="5" applyFont="1" applyFill="1" applyBorder="1" applyAlignment="1">
      <alignment horizontal="left"/>
    </xf>
    <xf numFmtId="0" fontId="9" fillId="2" borderId="1" xfId="5" applyFont="1" applyFill="1" applyBorder="1" applyAlignment="1">
      <alignment horizontal="right" wrapText="1"/>
    </xf>
    <xf numFmtId="0" fontId="9" fillId="2" borderId="1" xfId="18" applyFont="1" applyFill="1" applyBorder="1" applyAlignment="1">
      <alignment horizontal="right"/>
    </xf>
    <xf numFmtId="0" fontId="9" fillId="2" borderId="0" xfId="5" applyFont="1" applyFill="1"/>
    <xf numFmtId="171" fontId="5" fillId="2" borderId="0" xfId="21" quotePrefix="1" applyNumberFormat="1" applyFont="1" applyFill="1" applyBorder="1" applyAlignment="1">
      <alignment horizontal="right"/>
    </xf>
    <xf numFmtId="166" fontId="9" fillId="2" borderId="0" xfId="21" applyNumberFormat="1" applyFont="1" applyFill="1" applyBorder="1"/>
    <xf numFmtId="166" fontId="9" fillId="2" borderId="4" xfId="21" applyNumberFormat="1" applyFont="1" applyFill="1" applyBorder="1" applyAlignment="1">
      <alignment vertical="center"/>
    </xf>
    <xf numFmtId="0" fontId="33" fillId="2" borderId="0" xfId="18" applyFont="1" applyFill="1"/>
    <xf numFmtId="0" fontId="9" fillId="0" borderId="1" xfId="5" applyFont="1" applyBorder="1" applyAlignment="1">
      <alignment horizontal="left"/>
    </xf>
    <xf numFmtId="0" fontId="9" fillId="0" borderId="0" xfId="5" applyFont="1"/>
    <xf numFmtId="0" fontId="9" fillId="0" borderId="4" xfId="18" applyFont="1" applyBorder="1" applyAlignment="1">
      <alignment vertical="center"/>
    </xf>
    <xf numFmtId="3" fontId="9" fillId="0" borderId="14" xfId="0" applyNumberFormat="1" applyFont="1" applyBorder="1" applyAlignment="1">
      <alignment horizontal="right" wrapText="1"/>
    </xf>
    <xf numFmtId="0" fontId="0" fillId="0" borderId="0" xfId="0" applyAlignment="1">
      <alignment horizontal="left" wrapText="1"/>
    </xf>
    <xf numFmtId="0" fontId="19" fillId="2" borderId="8" xfId="0" applyFont="1" applyFill="1" applyBorder="1" applyAlignment="1">
      <alignment horizontal="right" wrapText="1"/>
    </xf>
    <xf numFmtId="0" fontId="19" fillId="2" borderId="15" xfId="0" applyFont="1" applyFill="1" applyBorder="1" applyAlignment="1">
      <alignment horizontal="right" wrapText="1"/>
    </xf>
    <xf numFmtId="0" fontId="19" fillId="2" borderId="0" xfId="0" applyFont="1" applyFill="1" applyAlignment="1">
      <alignment horizontal="right" vertical="center" wrapText="1"/>
    </xf>
    <xf numFmtId="0" fontId="35" fillId="2" borderId="0" xfId="3" applyFont="1" applyFill="1" applyAlignment="1" applyProtection="1">
      <alignment horizontal="left" vertical="center" wrapText="1"/>
    </xf>
    <xf numFmtId="168" fontId="0" fillId="0" borderId="0" xfId="0" applyNumberFormat="1"/>
    <xf numFmtId="0" fontId="8" fillId="0" borderId="0" xfId="0" applyFont="1" applyAlignment="1">
      <alignment horizontal="left" vertical="center"/>
    </xf>
    <xf numFmtId="0" fontId="33" fillId="0" borderId="0" xfId="0" applyFont="1" applyAlignment="1">
      <alignment horizontal="left" vertical="center" wrapText="1"/>
    </xf>
    <xf numFmtId="0" fontId="33" fillId="0" borderId="0" xfId="5" applyFont="1" applyAlignment="1">
      <alignment horizontal="left" vertical="top" wrapText="1"/>
    </xf>
    <xf numFmtId="0" fontId="9" fillId="0" borderId="5" xfId="0" applyFont="1" applyBorder="1" applyAlignment="1">
      <alignment horizontal="center" vertical="center" wrapText="1"/>
    </xf>
    <xf numFmtId="0" fontId="8" fillId="2" borderId="0" xfId="8" applyFont="1" applyFill="1" applyAlignment="1">
      <alignment horizontal="left" vertical="top" wrapText="1"/>
    </xf>
    <xf numFmtId="0" fontId="8" fillId="2" borderId="0" xfId="0" applyFont="1" applyFill="1" applyAlignment="1">
      <alignment horizontal="left" vertical="center"/>
    </xf>
    <xf numFmtId="0" fontId="9" fillId="2" borderId="0" xfId="0" applyFont="1" applyFill="1" applyAlignment="1">
      <alignment horizontal="center" wrapText="1"/>
    </xf>
    <xf numFmtId="0" fontId="9" fillId="2" borderId="1" xfId="0" applyFont="1" applyFill="1" applyBorder="1" applyAlignment="1">
      <alignment horizontal="center" wrapText="1"/>
    </xf>
    <xf numFmtId="0" fontId="10" fillId="0" borderId="0" xfId="0" applyFont="1" applyAlignment="1">
      <alignment wrapText="1"/>
    </xf>
    <xf numFmtId="168" fontId="11" fillId="0" borderId="0" xfId="22" applyNumberFormat="1" applyFont="1" applyFill="1" applyBorder="1" applyAlignment="1">
      <alignment horizontal="right" wrapText="1"/>
    </xf>
    <xf numFmtId="164" fontId="9" fillId="5" borderId="4" xfId="5" applyNumberFormat="1" applyFont="1" applyFill="1" applyBorder="1" applyAlignment="1">
      <alignment horizontal="right" vertical="center" wrapText="1"/>
    </xf>
    <xf numFmtId="164" fontId="5" fillId="5" borderId="0" xfId="6" applyNumberFormat="1" applyFill="1"/>
    <xf numFmtId="169" fontId="5" fillId="5" borderId="0" xfId="5" applyNumberFormat="1" applyFont="1" applyFill="1" applyAlignment="1">
      <alignment horizontal="right" wrapText="1"/>
    </xf>
    <xf numFmtId="169" fontId="5" fillId="5" borderId="2" xfId="5" applyNumberFormat="1" applyFont="1" applyFill="1" applyBorder="1" applyAlignment="1">
      <alignment horizontal="right" wrapText="1"/>
    </xf>
    <xf numFmtId="170" fontId="5" fillId="5" borderId="2" xfId="6" applyNumberFormat="1" applyFill="1" applyBorder="1"/>
    <xf numFmtId="170" fontId="5" fillId="5" borderId="0" xfId="6" applyNumberFormat="1" applyFill="1"/>
    <xf numFmtId="164" fontId="9" fillId="5" borderId="4" xfId="0" applyNumberFormat="1" applyFont="1" applyFill="1" applyBorder="1" applyAlignment="1">
      <alignment horizontal="right" vertical="center"/>
    </xf>
    <xf numFmtId="3" fontId="14" fillId="0" borderId="0" xfId="5" applyNumberFormat="1" applyFont="1" applyAlignment="1">
      <alignment horizontal="right" vertical="center" wrapText="1"/>
    </xf>
    <xf numFmtId="0" fontId="8" fillId="0" borderId="0" xfId="0" applyFont="1" applyAlignment="1">
      <alignment vertical="center"/>
    </xf>
    <xf numFmtId="0" fontId="14" fillId="0" borderId="0" xfId="5" applyFont="1" applyAlignment="1">
      <alignment horizontal="left" wrapText="1"/>
    </xf>
    <xf numFmtId="0" fontId="42" fillId="0" borderId="0" xfId="0" applyFont="1" applyAlignment="1">
      <alignment horizontal="left" vertical="center" wrapText="1"/>
    </xf>
    <xf numFmtId="0" fontId="8" fillId="0" borderId="1"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8" xfId="0" applyFont="1" applyBorder="1" applyAlignment="1">
      <alignment horizontal="center" vertical="center" wrapText="1"/>
    </xf>
    <xf numFmtId="9" fontId="10" fillId="0" borderId="3" xfId="0" applyNumberFormat="1" applyFont="1" applyBorder="1" applyAlignment="1">
      <alignment vertical="center"/>
    </xf>
    <xf numFmtId="166" fontId="9" fillId="0" borderId="1" xfId="21" applyNumberFormat="1" applyFont="1" applyFill="1" applyBorder="1"/>
    <xf numFmtId="9" fontId="10" fillId="0" borderId="1" xfId="22" applyFont="1" applyFill="1" applyBorder="1"/>
    <xf numFmtId="1" fontId="16" fillId="0" borderId="0" xfId="5" applyNumberFormat="1" applyFont="1" applyAlignment="1">
      <alignment horizontal="right"/>
    </xf>
    <xf numFmtId="0" fontId="16" fillId="0" borderId="0" xfId="5" applyFont="1" applyAlignment="1">
      <alignment horizontal="right"/>
    </xf>
    <xf numFmtId="1" fontId="16" fillId="0" borderId="0" xfId="0" applyNumberFormat="1" applyFont="1"/>
    <xf numFmtId="0" fontId="33" fillId="0" borderId="0" xfId="5" applyFont="1" applyAlignment="1">
      <alignment horizontal="left" vertical="top"/>
    </xf>
    <xf numFmtId="0" fontId="33" fillId="0" borderId="0" xfId="0" applyFont="1" applyAlignment="1">
      <alignment horizontal="left" vertical="top"/>
    </xf>
    <xf numFmtId="0" fontId="14" fillId="0" borderId="0" xfId="0" applyFont="1" applyAlignment="1">
      <alignment vertical="top"/>
    </xf>
    <xf numFmtId="164" fontId="5" fillId="0" borderId="1" xfId="0" applyNumberFormat="1" applyFont="1" applyBorder="1"/>
    <xf numFmtId="0" fontId="0" fillId="0" borderId="4" xfId="0" applyBorder="1"/>
    <xf numFmtId="171" fontId="9" fillId="5" borderId="4" xfId="0" applyNumberFormat="1" applyFont="1" applyFill="1" applyBorder="1" applyAlignment="1">
      <alignment vertical="center"/>
    </xf>
    <xf numFmtId="166" fontId="9" fillId="0" borderId="0" xfId="0" applyNumberFormat="1" applyFont="1" applyAlignment="1">
      <alignment vertical="center"/>
    </xf>
    <xf numFmtId="0" fontId="0" fillId="0" borderId="0" xfId="0" applyAlignment="1">
      <alignment horizontal="left" vertical="center"/>
    </xf>
    <xf numFmtId="0" fontId="8" fillId="0" borderId="0" xfId="0" applyFont="1" applyAlignment="1">
      <alignment horizontal="left" vertical="top"/>
    </xf>
    <xf numFmtId="0" fontId="0" fillId="0" borderId="0" xfId="0" applyAlignment="1">
      <alignment wrapText="1"/>
    </xf>
    <xf numFmtId="1" fontId="9" fillId="0" borderId="0" xfId="5" applyNumberFormat="1" applyFont="1" applyAlignment="1">
      <alignment horizontal="right"/>
    </xf>
    <xf numFmtId="0" fontId="9" fillId="0" borderId="0" xfId="5" applyFont="1" applyAlignment="1">
      <alignment horizontal="right"/>
    </xf>
    <xf numFmtId="1" fontId="9" fillId="0" borderId="0" xfId="0" applyNumberFormat="1" applyFont="1"/>
    <xf numFmtId="0" fontId="5" fillId="0" borderId="0" xfId="0" applyFont="1" applyAlignment="1">
      <alignment horizontal="left"/>
    </xf>
    <xf numFmtId="0" fontId="38" fillId="0" borderId="0" xfId="0" applyFont="1" applyAlignment="1">
      <alignment horizontal="left" vertical="center"/>
    </xf>
    <xf numFmtId="0" fontId="33" fillId="0" borderId="0" xfId="0" applyFont="1" applyAlignment="1">
      <alignment horizontal="left"/>
    </xf>
    <xf numFmtId="0" fontId="14" fillId="0" borderId="0" xfId="0" applyFont="1" applyAlignment="1">
      <alignment horizontal="left" vertical="top"/>
    </xf>
    <xf numFmtId="0" fontId="9" fillId="0" borderId="19" xfId="0" applyFont="1" applyBorder="1" applyAlignment="1">
      <alignment horizontal="right" vertical="center"/>
    </xf>
    <xf numFmtId="168" fontId="11" fillId="0" borderId="18" xfId="2" applyNumberFormat="1" applyFont="1" applyFill="1" applyBorder="1" applyAlignment="1">
      <alignment horizontal="right"/>
    </xf>
    <xf numFmtId="168" fontId="11" fillId="0" borderId="9" xfId="2" applyNumberFormat="1" applyFont="1" applyFill="1" applyBorder="1" applyAlignment="1">
      <alignment horizontal="right"/>
    </xf>
    <xf numFmtId="0" fontId="9" fillId="0" borderId="5" xfId="0" applyFont="1" applyBorder="1" applyAlignment="1">
      <alignment horizontal="center"/>
    </xf>
    <xf numFmtId="168" fontId="11" fillId="0" borderId="17" xfId="2" applyNumberFormat="1" applyFont="1" applyFill="1" applyBorder="1" applyAlignment="1">
      <alignment horizontal="right"/>
    </xf>
    <xf numFmtId="168" fontId="11" fillId="0" borderId="16" xfId="2" applyNumberFormat="1" applyFont="1" applyFill="1" applyBorder="1" applyAlignment="1">
      <alignment horizontal="right"/>
    </xf>
    <xf numFmtId="168" fontId="11" fillId="0" borderId="20" xfId="2" applyNumberFormat="1" applyFont="1" applyFill="1" applyBorder="1" applyAlignment="1">
      <alignment horizontal="right"/>
    </xf>
    <xf numFmtId="0" fontId="14" fillId="2" borderId="1" xfId="7" applyFont="1" applyFill="1" applyBorder="1" applyAlignment="1">
      <alignment horizontal="left"/>
    </xf>
    <xf numFmtId="1" fontId="25" fillId="2" borderId="0" xfId="0" applyNumberFormat="1" applyFont="1" applyFill="1"/>
    <xf numFmtId="1" fontId="25" fillId="2" borderId="2" xfId="0" applyNumberFormat="1" applyFont="1" applyFill="1" applyBorder="1"/>
    <xf numFmtId="0" fontId="9" fillId="2" borderId="5" xfId="0" applyFont="1" applyFill="1" applyBorder="1" applyAlignment="1">
      <alignment horizontal="right"/>
    </xf>
    <xf numFmtId="172" fontId="9" fillId="2" borderId="5" xfId="0" applyNumberFormat="1" applyFont="1" applyFill="1" applyBorder="1" applyAlignment="1">
      <alignment horizontal="right"/>
    </xf>
    <xf numFmtId="0" fontId="9" fillId="0" borderId="9" xfId="0" applyFont="1" applyBorder="1" applyAlignment="1">
      <alignment horizontal="right" vertical="center"/>
    </xf>
    <xf numFmtId="164" fontId="9" fillId="0" borderId="11" xfId="0" applyNumberFormat="1" applyFont="1" applyBorder="1"/>
    <xf numFmtId="164" fontId="5" fillId="0" borderId="2" xfId="0" applyNumberFormat="1" applyFont="1" applyBorder="1"/>
    <xf numFmtId="0" fontId="9" fillId="2" borderId="8" xfId="10" applyFont="1" applyFill="1" applyBorder="1" applyAlignment="1">
      <alignment horizontal="right" vertical="center" wrapText="1"/>
    </xf>
    <xf numFmtId="168" fontId="11" fillId="2" borderId="9" xfId="2" quotePrefix="1" applyNumberFormat="1" applyFont="1" applyFill="1" applyBorder="1" applyAlignment="1"/>
    <xf numFmtId="0" fontId="33" fillId="2" borderId="0" xfId="0" applyFont="1" applyFill="1" applyAlignment="1">
      <alignment vertical="center" wrapText="1"/>
    </xf>
    <xf numFmtId="0" fontId="9" fillId="2" borderId="8" xfId="0" applyFont="1" applyFill="1" applyBorder="1" applyAlignment="1">
      <alignment horizontal="right" wrapText="1"/>
    </xf>
    <xf numFmtId="0" fontId="9" fillId="2" borderId="15" xfId="0" applyFont="1" applyFill="1" applyBorder="1" applyAlignment="1">
      <alignment horizontal="right" wrapText="1"/>
    </xf>
    <xf numFmtId="172" fontId="11" fillId="2" borderId="2" xfId="0" applyNumberFormat="1" applyFont="1" applyFill="1" applyBorder="1"/>
    <xf numFmtId="172" fontId="11" fillId="2" borderId="17" xfId="0" applyNumberFormat="1" applyFont="1" applyFill="1" applyBorder="1"/>
    <xf numFmtId="172" fontId="11" fillId="2" borderId="16" xfId="0" applyNumberFormat="1" applyFont="1" applyFill="1" applyBorder="1"/>
    <xf numFmtId="172" fontId="11" fillId="2" borderId="17" xfId="0" applyNumberFormat="1" applyFont="1" applyFill="1" applyBorder="1" applyAlignment="1">
      <alignment horizontal="right"/>
    </xf>
    <xf numFmtId="172" fontId="11" fillId="2" borderId="16" xfId="0" applyNumberFormat="1" applyFont="1" applyFill="1" applyBorder="1" applyAlignment="1">
      <alignment horizontal="right"/>
    </xf>
    <xf numFmtId="172" fontId="10" fillId="2" borderId="17" xfId="0" applyNumberFormat="1" applyFont="1" applyFill="1" applyBorder="1"/>
    <xf numFmtId="172" fontId="10" fillId="2" borderId="16" xfId="0" applyNumberFormat="1" applyFont="1" applyFill="1" applyBorder="1"/>
    <xf numFmtId="0" fontId="25" fillId="0" borderId="4" xfId="0" applyFont="1" applyBorder="1"/>
    <xf numFmtId="0" fontId="25" fillId="0" borderId="1" xfId="0" applyFont="1" applyBorder="1" applyAlignment="1">
      <alignment wrapText="1"/>
    </xf>
    <xf numFmtId="0" fontId="44" fillId="0" borderId="0" xfId="0" applyFont="1"/>
    <xf numFmtId="172" fontId="11" fillId="2" borderId="1" xfId="0" applyNumberFormat="1" applyFont="1" applyFill="1" applyBorder="1" applyAlignment="1">
      <alignment horizontal="right"/>
    </xf>
    <xf numFmtId="0" fontId="3" fillId="0" borderId="0" xfId="3" applyAlignment="1" applyProtection="1"/>
    <xf numFmtId="0" fontId="8" fillId="0" borderId="0" xfId="11" applyFont="1" applyFill="1" applyAlignment="1">
      <alignment horizontal="left" vertical="center" wrapText="1"/>
    </xf>
    <xf numFmtId="0" fontId="5" fillId="0" borderId="2" xfId="5" applyFont="1" applyBorder="1" applyAlignment="1">
      <alignment horizontal="left"/>
    </xf>
    <xf numFmtId="0" fontId="22" fillId="2" borderId="1" xfId="0" applyFont="1" applyFill="1" applyBorder="1" applyAlignment="1">
      <alignment horizontal="right"/>
    </xf>
    <xf numFmtId="0" fontId="25" fillId="0" borderId="1" xfId="0" applyFont="1" applyBorder="1" applyAlignment="1">
      <alignment horizontal="center" wrapText="1"/>
    </xf>
    <xf numFmtId="0" fontId="9" fillId="2" borderId="0" xfId="7" applyFont="1" applyFill="1" applyAlignment="1">
      <alignment horizontal="center" wrapText="1"/>
    </xf>
    <xf numFmtId="0" fontId="5" fillId="2" borderId="3" xfId="0" quotePrefix="1" applyFont="1" applyFill="1" applyBorder="1" applyAlignment="1">
      <alignment horizontal="right"/>
    </xf>
    <xf numFmtId="0" fontId="9" fillId="2" borderId="3" xfId="0" applyFont="1" applyFill="1" applyBorder="1"/>
    <xf numFmtId="0" fontId="14" fillId="0" borderId="1" xfId="5" applyFont="1" applyBorder="1" applyAlignment="1">
      <alignment horizontal="left" wrapText="1"/>
    </xf>
    <xf numFmtId="14" fontId="9" fillId="0" borderId="5" xfId="0" applyNumberFormat="1" applyFont="1" applyBorder="1" applyAlignment="1">
      <alignment horizontal="right" wrapText="1"/>
    </xf>
    <xf numFmtId="0" fontId="10" fillId="0" borderId="1" xfId="0" applyFont="1" applyBorder="1" applyProtection="1">
      <protection locked="0"/>
    </xf>
    <xf numFmtId="14" fontId="9" fillId="0" borderId="8" xfId="0" applyNumberFormat="1" applyFont="1" applyBorder="1" applyAlignment="1">
      <alignment horizontal="right" wrapText="1"/>
    </xf>
    <xf numFmtId="9" fontId="11" fillId="0" borderId="9" xfId="22" applyFont="1" applyFill="1" applyBorder="1" applyAlignment="1">
      <alignment horizontal="right"/>
    </xf>
    <xf numFmtId="9" fontId="10" fillId="0" borderId="11" xfId="22" applyFont="1" applyFill="1" applyBorder="1" applyAlignment="1">
      <alignment horizontal="right" vertical="center"/>
    </xf>
    <xf numFmtId="0" fontId="26" fillId="0" borderId="0" xfId="0" applyFont="1"/>
    <xf numFmtId="0" fontId="42" fillId="0" borderId="0" xfId="0" applyFont="1" applyAlignment="1">
      <alignment vertical="center"/>
    </xf>
    <xf numFmtId="0" fontId="8" fillId="2" borderId="0" xfId="0" applyFont="1" applyFill="1" applyAlignment="1">
      <alignment vertical="center"/>
    </xf>
    <xf numFmtId="0" fontId="33" fillId="2" borderId="0" xfId="0" applyFont="1" applyFill="1" applyAlignment="1">
      <alignment horizontal="left" vertical="top"/>
    </xf>
    <xf numFmtId="3" fontId="10" fillId="2" borderId="0" xfId="0" applyNumberFormat="1" applyFont="1" applyFill="1"/>
    <xf numFmtId="173" fontId="11" fillId="2" borderId="0" xfId="0" applyNumberFormat="1" applyFont="1" applyFill="1"/>
    <xf numFmtId="0" fontId="0" fillId="0" borderId="1" xfId="0" applyBorder="1" applyAlignment="1">
      <alignment wrapText="1"/>
    </xf>
    <xf numFmtId="0" fontId="0" fillId="0" borderId="8" xfId="0" applyBorder="1" applyAlignment="1">
      <alignment wrapText="1"/>
    </xf>
    <xf numFmtId="0" fontId="0" fillId="0" borderId="5" xfId="0" applyBorder="1" applyAlignment="1">
      <alignment wrapText="1"/>
    </xf>
    <xf numFmtId="0" fontId="0" fillId="0" borderId="10" xfId="0" applyBorder="1" applyAlignment="1">
      <alignment wrapText="1"/>
    </xf>
    <xf numFmtId="0" fontId="8" fillId="0" borderId="0" xfId="11" applyFont="1" applyFill="1" applyAlignment="1">
      <alignment vertical="center"/>
    </xf>
    <xf numFmtId="0" fontId="45" fillId="0" borderId="0" xfId="0" applyFont="1"/>
    <xf numFmtId="0" fontId="25" fillId="0" borderId="3" xfId="0" applyFont="1" applyBorder="1"/>
    <xf numFmtId="0" fontId="25" fillId="0" borderId="1" xfId="0" applyFont="1" applyBorder="1"/>
    <xf numFmtId="0" fontId="25" fillId="0" borderId="1" xfId="0" applyFont="1" applyBorder="1" applyAlignment="1">
      <alignment horizontal="center"/>
    </xf>
    <xf numFmtId="0" fontId="25" fillId="0" borderId="0" xfId="0" applyFont="1" applyAlignment="1">
      <alignment horizontal="center"/>
    </xf>
    <xf numFmtId="0" fontId="45" fillId="0" borderId="0" xfId="0" applyFont="1" applyAlignment="1">
      <alignment horizontal="center"/>
    </xf>
    <xf numFmtId="3" fontId="9" fillId="0" borderId="18" xfId="0" applyNumberFormat="1" applyFont="1" applyBorder="1" applyAlignment="1">
      <alignment horizontal="right" wrapText="1"/>
    </xf>
    <xf numFmtId="3" fontId="9" fillId="0" borderId="8" xfId="0" applyNumberFormat="1" applyFont="1" applyBorder="1" applyAlignment="1">
      <alignment horizontal="right" wrapText="1"/>
    </xf>
    <xf numFmtId="3" fontId="9" fillId="0" borderId="22" xfId="0" applyNumberFormat="1" applyFont="1" applyBorder="1" applyAlignment="1">
      <alignment horizontal="right" wrapText="1"/>
    </xf>
    <xf numFmtId="3" fontId="9" fillId="0" borderId="10" xfId="0" applyNumberFormat="1" applyFont="1" applyBorder="1" applyAlignment="1">
      <alignment horizontal="right" wrapText="1"/>
    </xf>
    <xf numFmtId="164" fontId="5" fillId="4" borderId="9" xfId="0" applyNumberFormat="1" applyFont="1" applyFill="1" applyBorder="1" applyAlignment="1">
      <alignment horizontal="right"/>
    </xf>
    <xf numFmtId="4" fontId="5" fillId="2" borderId="9" xfId="0" applyNumberFormat="1" applyFont="1" applyFill="1" applyBorder="1"/>
    <xf numFmtId="0" fontId="14" fillId="0" borderId="10" xfId="0" applyFont="1" applyBorder="1" applyAlignment="1">
      <alignment horizontal="right"/>
    </xf>
    <xf numFmtId="3" fontId="9" fillId="0" borderId="9" xfId="0" applyNumberFormat="1" applyFont="1" applyBorder="1" applyAlignment="1">
      <alignment horizontal="right" wrapText="1"/>
    </xf>
    <xf numFmtId="3" fontId="9" fillId="0" borderId="19" xfId="0" applyNumberFormat="1" applyFont="1" applyBorder="1" applyAlignment="1">
      <alignment horizontal="right" wrapText="1"/>
    </xf>
    <xf numFmtId="0" fontId="14" fillId="0" borderId="3" xfId="0" applyFont="1" applyBorder="1" applyAlignment="1">
      <alignment horizontal="left" vertical="center"/>
    </xf>
    <xf numFmtId="0" fontId="25" fillId="0" borderId="0" xfId="0" applyFont="1" applyAlignment="1">
      <alignment horizontal="left"/>
    </xf>
    <xf numFmtId="0" fontId="25" fillId="0" borderId="1" xfId="0" applyFont="1" applyBorder="1" applyAlignment="1">
      <alignment horizontal="left"/>
    </xf>
    <xf numFmtId="0" fontId="9" fillId="0" borderId="8" xfId="4" applyFont="1" applyBorder="1" applyAlignment="1">
      <alignment horizontal="center" wrapText="1"/>
    </xf>
    <xf numFmtId="172" fontId="11" fillId="0" borderId="13" xfId="0" quotePrefix="1" applyNumberFormat="1" applyFont="1" applyBorder="1" applyAlignment="1">
      <alignment horizontal="right"/>
    </xf>
    <xf numFmtId="172" fontId="9" fillId="0" borderId="23" xfId="22" applyNumberFormat="1" applyFont="1" applyFill="1" applyBorder="1" applyAlignment="1">
      <alignment vertical="center"/>
    </xf>
    <xf numFmtId="0" fontId="9" fillId="0" borderId="10" xfId="19" applyFont="1" applyBorder="1" applyAlignment="1">
      <alignment horizontal="right"/>
    </xf>
    <xf numFmtId="169" fontId="5" fillId="0" borderId="9" xfId="17" applyNumberFormat="1" applyFont="1" applyFill="1" applyBorder="1" applyAlignment="1">
      <alignment horizontal="right"/>
    </xf>
    <xf numFmtId="166" fontId="9" fillId="0" borderId="11" xfId="17" applyNumberFormat="1" applyFont="1" applyFill="1" applyBorder="1" applyAlignment="1">
      <alignment vertical="center"/>
    </xf>
    <xf numFmtId="0" fontId="10" fillId="0" borderId="10" xfId="4" applyFont="1" applyBorder="1" applyAlignment="1">
      <alignment horizontal="center" wrapText="1"/>
    </xf>
    <xf numFmtId="0" fontId="9" fillId="0" borderId="1" xfId="4" applyFont="1" applyBorder="1"/>
    <xf numFmtId="0" fontId="10" fillId="0" borderId="25" xfId="4" applyFont="1" applyBorder="1" applyAlignment="1">
      <alignment horizontal="center" wrapText="1"/>
    </xf>
    <xf numFmtId="0" fontId="9" fillId="0" borderId="26" xfId="4" applyFont="1" applyBorder="1" applyAlignment="1">
      <alignment horizontal="center" wrapText="1"/>
    </xf>
    <xf numFmtId="0" fontId="14" fillId="2" borderId="0" xfId="0" applyFont="1" applyFill="1" applyAlignment="1">
      <alignment vertical="center"/>
    </xf>
    <xf numFmtId="0" fontId="19" fillId="2" borderId="1" xfId="0" applyFont="1" applyFill="1" applyBorder="1" applyAlignment="1">
      <alignment horizontal="left"/>
    </xf>
    <xf numFmtId="0" fontId="14" fillId="2" borderId="18" xfId="0" applyFont="1" applyFill="1" applyBorder="1" applyAlignment="1">
      <alignment vertical="center"/>
    </xf>
    <xf numFmtId="0" fontId="19" fillId="2" borderId="19" xfId="0" applyFont="1" applyFill="1" applyBorder="1" applyAlignment="1">
      <alignment horizontal="right" wrapText="1"/>
    </xf>
    <xf numFmtId="0" fontId="19" fillId="2" borderId="19" xfId="0" applyFont="1" applyFill="1" applyBorder="1" applyAlignment="1">
      <alignment horizontal="right" vertical="center" wrapText="1"/>
    </xf>
    <xf numFmtId="0" fontId="22" fillId="0" borderId="0" xfId="0" applyFont="1" applyAlignment="1">
      <alignment horizontal="right"/>
    </xf>
    <xf numFmtId="3" fontId="9" fillId="0" borderId="5" xfId="0" applyNumberFormat="1" applyFont="1" applyBorder="1" applyAlignment="1">
      <alignment horizontal="right" wrapText="1"/>
    </xf>
    <xf numFmtId="0" fontId="29" fillId="0" borderId="0" xfId="0" applyFont="1" applyAlignment="1">
      <alignment horizontal="left" vertical="center" wrapText="1"/>
    </xf>
    <xf numFmtId="0" fontId="33" fillId="2" borderId="0" xfId="0" applyFont="1" applyFill="1" applyAlignment="1">
      <alignment horizontal="left" vertical="top" wrapText="1"/>
    </xf>
    <xf numFmtId="0" fontId="33" fillId="2" borderId="0" xfId="0" applyFont="1" applyFill="1" applyAlignment="1">
      <alignment horizontal="left" wrapText="1"/>
    </xf>
    <xf numFmtId="0" fontId="29" fillId="0" borderId="0" xfId="0" applyFont="1" applyAlignment="1">
      <alignment horizontal="left" vertical="center"/>
    </xf>
    <xf numFmtId="0" fontId="43" fillId="0" borderId="0" xfId="0" applyFont="1"/>
    <xf numFmtId="0" fontId="34" fillId="0" borderId="0" xfId="0" quotePrefix="1" applyFont="1" applyAlignment="1">
      <alignment vertical="center"/>
    </xf>
    <xf numFmtId="0" fontId="33" fillId="0" borderId="0" xfId="5" applyFont="1" applyAlignment="1">
      <alignment horizontal="left"/>
    </xf>
    <xf numFmtId="0" fontId="3" fillId="0" borderId="0" xfId="3" applyAlignment="1" applyProtection="1">
      <alignment vertical="center"/>
    </xf>
    <xf numFmtId="0" fontId="30" fillId="0" borderId="0" xfId="0" quotePrefix="1" applyFont="1" applyAlignment="1">
      <alignment horizontal="center"/>
    </xf>
    <xf numFmtId="0" fontId="10" fillId="0" borderId="0" xfId="0" applyFont="1" applyAlignment="1">
      <alignment horizontal="left" wrapText="1"/>
    </xf>
    <xf numFmtId="164" fontId="8" fillId="0" borderId="0" xfId="11" applyNumberFormat="1" applyFont="1" applyFill="1" applyAlignment="1">
      <alignment horizontal="left" vertical="center" wrapText="1"/>
    </xf>
    <xf numFmtId="168" fontId="8" fillId="0" borderId="0" xfId="2" applyNumberFormat="1" applyFont="1" applyFill="1" applyBorder="1" applyAlignment="1">
      <alignment horizontal="left" vertical="center" wrapText="1"/>
    </xf>
    <xf numFmtId="0" fontId="33" fillId="0" borderId="0" xfId="0" applyFont="1" applyAlignment="1" applyProtection="1">
      <alignment horizontal="left" wrapText="1"/>
      <protection locked="0"/>
    </xf>
    <xf numFmtId="0" fontId="0" fillId="2" borderId="0" xfId="0" applyFill="1" applyAlignment="1">
      <alignment horizontal="left" wrapText="1"/>
    </xf>
    <xf numFmtId="0" fontId="33" fillId="0" borderId="0" xfId="0" applyFont="1" applyAlignment="1">
      <alignment horizontal="left" wrapText="1"/>
    </xf>
    <xf numFmtId="0" fontId="46" fillId="0" borderId="0" xfId="0" applyFont="1"/>
    <xf numFmtId="0" fontId="47" fillId="0" borderId="0" xfId="0" applyFont="1"/>
    <xf numFmtId="0" fontId="0" fillId="0" borderId="20" xfId="0" applyBorder="1" applyAlignment="1">
      <alignment wrapText="1"/>
    </xf>
    <xf numFmtId="0" fontId="0" fillId="0" borderId="19" xfId="0" applyBorder="1" applyAlignment="1">
      <alignment wrapText="1"/>
    </xf>
    <xf numFmtId="0" fontId="0" fillId="0" borderId="15" xfId="0" applyBorder="1" applyAlignment="1">
      <alignment wrapText="1"/>
    </xf>
    <xf numFmtId="0" fontId="0" fillId="0" borderId="9" xfId="0" applyBorder="1"/>
    <xf numFmtId="0" fontId="10" fillId="0" borderId="1" xfId="0" applyFont="1" applyBorder="1" applyAlignment="1">
      <alignment horizontal="right"/>
    </xf>
    <xf numFmtId="0" fontId="9" fillId="2" borderId="3" xfId="0" applyFont="1" applyFill="1" applyBorder="1" applyAlignment="1">
      <alignment horizontal="right"/>
    </xf>
    <xf numFmtId="0" fontId="0" fillId="0" borderId="0" xfId="0" applyAlignment="1">
      <alignment horizontal="right"/>
    </xf>
    <xf numFmtId="0" fontId="42" fillId="0" borderId="0" xfId="0" applyFont="1" applyAlignment="1">
      <alignment horizontal="right" vertical="center" wrapText="1"/>
    </xf>
    <xf numFmtId="0" fontId="25" fillId="0" borderId="0" xfId="0" applyFont="1" applyAlignment="1">
      <alignment horizontal="right"/>
    </xf>
    <xf numFmtId="0" fontId="48" fillId="0" borderId="0" xfId="0" applyFont="1"/>
    <xf numFmtId="0" fontId="23" fillId="0" borderId="0" xfId="0" applyFont="1" applyAlignment="1">
      <alignment horizontal="right"/>
    </xf>
    <xf numFmtId="0" fontId="48" fillId="0" borderId="0" xfId="0" applyFont="1" applyAlignment="1">
      <alignment horizontal="right"/>
    </xf>
    <xf numFmtId="0" fontId="48" fillId="0" borderId="20" xfId="0" applyFont="1" applyBorder="1"/>
    <xf numFmtId="0" fontId="48" fillId="0" borderId="8" xfId="0" applyFont="1" applyBorder="1" applyAlignment="1">
      <alignment horizontal="right"/>
    </xf>
    <xf numFmtId="0" fontId="48" fillId="0" borderId="5" xfId="0" applyFont="1" applyBorder="1" applyAlignment="1">
      <alignment horizontal="right"/>
    </xf>
    <xf numFmtId="0" fontId="48" fillId="0" borderId="15" xfId="0" applyFont="1" applyBorder="1" applyAlignment="1">
      <alignment horizontal="right"/>
    </xf>
    <xf numFmtId="0" fontId="25" fillId="0" borderId="19" xfId="0" applyFont="1" applyBorder="1" applyAlignment="1">
      <alignment wrapText="1"/>
    </xf>
    <xf numFmtId="0" fontId="3" fillId="0" borderId="0" xfId="3" applyFill="1" applyAlignment="1" applyProtection="1"/>
    <xf numFmtId="0" fontId="14" fillId="0" borderId="0" xfId="0" applyFont="1" applyAlignment="1">
      <alignment wrapText="1"/>
    </xf>
    <xf numFmtId="0" fontId="33" fillId="0" borderId="0" xfId="0" applyFont="1" applyAlignment="1">
      <alignment wrapText="1"/>
    </xf>
    <xf numFmtId="0" fontId="49" fillId="0" borderId="0" xfId="0" applyFont="1"/>
    <xf numFmtId="0" fontId="16" fillId="0" borderId="0" xfId="0" applyFont="1" applyAlignment="1">
      <alignment horizontal="center" vertical="top" wrapText="1"/>
    </xf>
    <xf numFmtId="0" fontId="25" fillId="2" borderId="0" xfId="0" applyFont="1" applyFill="1"/>
    <xf numFmtId="3" fontId="9" fillId="2" borderId="0" xfId="0" applyNumberFormat="1" applyFont="1" applyFill="1"/>
    <xf numFmtId="0" fontId="0" fillId="4" borderId="0" xfId="0" applyFill="1"/>
    <xf numFmtId="0" fontId="25" fillId="2" borderId="1" xfId="0" applyFont="1" applyFill="1" applyBorder="1" applyAlignment="1">
      <alignment wrapText="1"/>
    </xf>
    <xf numFmtId="3" fontId="5" fillId="0" borderId="2" xfId="16" applyNumberFormat="1" applyBorder="1"/>
    <xf numFmtId="174" fontId="9" fillId="4" borderId="4" xfId="0" applyNumberFormat="1" applyFont="1" applyFill="1" applyBorder="1" applyAlignment="1">
      <alignment vertical="center"/>
    </xf>
    <xf numFmtId="0" fontId="25" fillId="0" borderId="20" xfId="0" applyFont="1" applyBorder="1"/>
    <xf numFmtId="0" fontId="5" fillId="0" borderId="2" xfId="0" applyFont="1" applyBorder="1" applyAlignment="1">
      <alignment horizontal="right"/>
    </xf>
    <xf numFmtId="41" fontId="0" fillId="0" borderId="0" xfId="0" applyNumberFormat="1"/>
    <xf numFmtId="41" fontId="25" fillId="0" borderId="0" xfId="0" applyNumberFormat="1" applyFont="1"/>
    <xf numFmtId="0" fontId="9" fillId="0" borderId="5" xfId="19" applyFont="1" applyBorder="1" applyAlignment="1">
      <alignment horizontal="right"/>
    </xf>
    <xf numFmtId="0" fontId="9" fillId="0" borderId="5" xfId="19" applyFont="1" applyBorder="1" applyAlignment="1">
      <alignment horizontal="right" wrapText="1"/>
    </xf>
    <xf numFmtId="0" fontId="9" fillId="0" borderId="15" xfId="19" applyFont="1" applyBorder="1" applyAlignment="1">
      <alignment horizontal="right"/>
    </xf>
    <xf numFmtId="41" fontId="0" fillId="0" borderId="3" xfId="0" applyNumberFormat="1" applyBorder="1"/>
    <xf numFmtId="41" fontId="0" fillId="0" borderId="16" xfId="0" applyNumberFormat="1" applyBorder="1"/>
    <xf numFmtId="172" fontId="50" fillId="0" borderId="9" xfId="0" quotePrefix="1" applyNumberFormat="1" applyFont="1" applyBorder="1" applyAlignment="1">
      <alignment horizontal="right"/>
    </xf>
    <xf numFmtId="172" fontId="13" fillId="0" borderId="9" xfId="0" applyNumberFormat="1" applyFont="1" applyBorder="1"/>
    <xf numFmtId="41" fontId="0" fillId="0" borderId="0" xfId="0" applyNumberFormat="1" applyAlignment="1">
      <alignment horizontal="right"/>
    </xf>
    <xf numFmtId="41" fontId="25" fillId="0" borderId="0" xfId="0" applyNumberFormat="1" applyFont="1" applyAlignment="1">
      <alignment horizontal="right"/>
    </xf>
    <xf numFmtId="0" fontId="9" fillId="2" borderId="0" xfId="7" applyFont="1" applyFill="1" applyAlignment="1">
      <alignment vertical="center" wrapText="1"/>
    </xf>
    <xf numFmtId="168" fontId="10" fillId="2" borderId="0" xfId="2" quotePrefix="1" applyNumberFormat="1" applyFont="1" applyFill="1" applyBorder="1" applyAlignment="1">
      <alignment horizontal="right" vertical="center"/>
    </xf>
    <xf numFmtId="0" fontId="9" fillId="2" borderId="1" xfId="7" applyFont="1" applyFill="1" applyBorder="1" applyAlignment="1">
      <alignment vertical="center" wrapText="1"/>
    </xf>
    <xf numFmtId="3" fontId="9" fillId="2" borderId="1" xfId="7" applyNumberFormat="1" applyFont="1" applyFill="1" applyBorder="1" applyAlignment="1">
      <alignment horizontal="right" vertical="center"/>
    </xf>
    <xf numFmtId="168" fontId="10" fillId="2" borderId="1" xfId="2" quotePrefix="1" applyNumberFormat="1" applyFont="1" applyFill="1" applyBorder="1" applyAlignment="1">
      <alignment horizontal="right" vertical="center"/>
    </xf>
    <xf numFmtId="0" fontId="9" fillId="2" borderId="5" xfId="7" applyFont="1" applyFill="1" applyBorder="1" applyAlignment="1">
      <alignment vertical="center" wrapText="1"/>
    </xf>
    <xf numFmtId="3" fontId="5" fillId="2" borderId="5" xfId="7" applyNumberFormat="1" applyFont="1" applyFill="1" applyBorder="1" applyAlignment="1">
      <alignment horizontal="right" vertical="center"/>
    </xf>
    <xf numFmtId="168" fontId="11" fillId="2" borderId="5" xfId="2" quotePrefix="1" applyNumberFormat="1" applyFont="1" applyFill="1" applyBorder="1" applyAlignment="1">
      <alignment horizontal="right"/>
    </xf>
    <xf numFmtId="168" fontId="10" fillId="2" borderId="4" xfId="2" quotePrefix="1" applyNumberFormat="1" applyFont="1" applyFill="1" applyBorder="1" applyAlignment="1">
      <alignment horizontal="right"/>
    </xf>
    <xf numFmtId="0" fontId="9" fillId="0" borderId="21" xfId="0" applyFont="1" applyBorder="1" applyAlignment="1">
      <alignment horizontal="right" vertical="center"/>
    </xf>
    <xf numFmtId="0" fontId="5" fillId="0" borderId="0" xfId="0" applyFont="1" applyAlignment="1">
      <alignment horizontal="right" vertical="center" wrapText="1"/>
    </xf>
    <xf numFmtId="164" fontId="9" fillId="0" borderId="3" xfId="0" applyNumberFormat="1" applyFont="1" applyBorder="1" applyAlignment="1">
      <alignment horizontal="right" vertical="center"/>
    </xf>
    <xf numFmtId="0" fontId="9" fillId="0" borderId="3" xfId="5" applyFont="1" applyBorder="1" applyAlignment="1">
      <alignment horizontal="left" vertical="center"/>
    </xf>
    <xf numFmtId="170" fontId="5" fillId="0" borderId="1" xfId="6" applyNumberFormat="1" applyBorder="1"/>
    <xf numFmtId="0" fontId="14" fillId="0" borderId="1" xfId="5" applyFont="1" applyBorder="1" applyAlignment="1">
      <alignment horizontal="left" vertical="center" wrapText="1"/>
    </xf>
    <xf numFmtId="0" fontId="9" fillId="0" borderId="3" xfId="5" applyFont="1" applyBorder="1" applyAlignment="1">
      <alignment horizontal="left" vertical="center" wrapText="1"/>
    </xf>
    <xf numFmtId="49" fontId="9" fillId="0" borderId="1" xfId="5" applyNumberFormat="1" applyFont="1" applyBorder="1" applyAlignment="1">
      <alignment horizontal="left" vertical="center" wrapText="1"/>
    </xf>
    <xf numFmtId="41" fontId="0" fillId="0" borderId="1" xfId="0" applyNumberFormat="1" applyBorder="1"/>
    <xf numFmtId="164" fontId="9" fillId="2" borderId="4" xfId="0" applyNumberFormat="1" applyFont="1" applyFill="1" applyBorder="1" applyAlignment="1">
      <alignment horizontal="right" vertical="center"/>
    </xf>
    <xf numFmtId="3" fontId="8" fillId="0" borderId="28" xfId="0" applyNumberFormat="1" applyFont="1" applyBorder="1"/>
    <xf numFmtId="164" fontId="9" fillId="2" borderId="4" xfId="9" applyNumberFormat="1" applyFont="1" applyFill="1" applyBorder="1" applyAlignment="1">
      <alignment horizontal="right" wrapText="1"/>
    </xf>
    <xf numFmtId="164" fontId="9" fillId="2" borderId="0" xfId="9" applyNumberFormat="1" applyFont="1" applyFill="1" applyAlignment="1">
      <alignment horizontal="right" wrapText="1"/>
    </xf>
    <xf numFmtId="0" fontId="9" fillId="2" borderId="18" xfId="0" applyFont="1" applyFill="1" applyBorder="1" applyAlignment="1">
      <alignment horizontal="right" wrapText="1"/>
    </xf>
    <xf numFmtId="0" fontId="9" fillId="2" borderId="2" xfId="0" applyFont="1" applyFill="1" applyBorder="1" applyAlignment="1">
      <alignment horizontal="right" wrapText="1"/>
    </xf>
    <xf numFmtId="0" fontId="9" fillId="2" borderId="17" xfId="0" applyFont="1" applyFill="1" applyBorder="1" applyAlignment="1">
      <alignment horizontal="right" wrapText="1"/>
    </xf>
    <xf numFmtId="0" fontId="9" fillId="2" borderId="17" xfId="0" applyFont="1" applyFill="1" applyBorder="1" applyAlignment="1">
      <alignment horizontal="left"/>
    </xf>
    <xf numFmtId="0" fontId="9" fillId="2" borderId="16" xfId="0" applyFont="1" applyFill="1" applyBorder="1" applyAlignment="1">
      <alignment horizontal="left"/>
    </xf>
    <xf numFmtId="172" fontId="11" fillId="2" borderId="2" xfId="22" applyNumberFormat="1" applyFont="1" applyFill="1" applyBorder="1"/>
    <xf numFmtId="172" fontId="11" fillId="2" borderId="17" xfId="22" applyNumberFormat="1" applyFont="1" applyFill="1" applyBorder="1"/>
    <xf numFmtId="172" fontId="11" fillId="2" borderId="0" xfId="22" applyNumberFormat="1" applyFont="1" applyFill="1" applyBorder="1"/>
    <xf numFmtId="172" fontId="11" fillId="2" borderId="16" xfId="22" applyNumberFormat="1" applyFont="1" applyFill="1" applyBorder="1"/>
    <xf numFmtId="0" fontId="19" fillId="2" borderId="20" xfId="0" applyFont="1" applyFill="1" applyBorder="1" applyAlignment="1">
      <alignment horizontal="right" wrapText="1"/>
    </xf>
    <xf numFmtId="0" fontId="25" fillId="0" borderId="1" xfId="0" applyFont="1" applyBorder="1" applyAlignment="1">
      <alignment horizontal="right" wrapText="1"/>
    </xf>
    <xf numFmtId="0" fontId="25" fillId="6" borderId="30" xfId="0" applyFont="1" applyFill="1" applyBorder="1"/>
    <xf numFmtId="0" fontId="25" fillId="6" borderId="0" xfId="0" applyFont="1" applyFill="1"/>
    <xf numFmtId="164" fontId="9" fillId="0" borderId="0" xfId="13" applyNumberFormat="1" applyFont="1" applyAlignment="1">
      <alignment horizontal="left"/>
    </xf>
    <xf numFmtId="0" fontId="25" fillId="0" borderId="1" xfId="0" applyFont="1" applyBorder="1" applyAlignment="1">
      <alignment horizontal="right"/>
    </xf>
    <xf numFmtId="0" fontId="0" fillId="0" borderId="0" xfId="0" applyAlignment="1">
      <alignment horizontal="left" vertical="center" wrapText="1"/>
    </xf>
    <xf numFmtId="0" fontId="10" fillId="0" borderId="1" xfId="0" applyFont="1" applyBorder="1" applyAlignment="1">
      <alignment horizontal="left" wrapText="1"/>
    </xf>
    <xf numFmtId="41" fontId="5" fillId="2" borderId="0" xfId="0" applyNumberFormat="1" applyFont="1" applyFill="1" applyAlignment="1">
      <alignment horizontal="right"/>
    </xf>
    <xf numFmtId="41" fontId="9" fillId="2" borderId="9" xfId="0" applyNumberFormat="1" applyFont="1" applyFill="1" applyBorder="1"/>
    <xf numFmtId="41" fontId="9" fillId="0" borderId="9" xfId="0" applyNumberFormat="1" applyFont="1" applyBorder="1"/>
    <xf numFmtId="41" fontId="5" fillId="0" borderId="3" xfId="0" applyNumberFormat="1" applyFont="1" applyBorder="1" applyAlignment="1">
      <alignment horizontal="right"/>
    </xf>
    <xf numFmtId="41" fontId="5" fillId="2" borderId="3" xfId="0" applyNumberFormat="1" applyFont="1" applyFill="1" applyBorder="1" applyAlignment="1">
      <alignment horizontal="right"/>
    </xf>
    <xf numFmtId="41" fontId="9" fillId="0" borderId="12" xfId="0" applyNumberFormat="1" applyFont="1" applyBorder="1"/>
    <xf numFmtId="41" fontId="5" fillId="0" borderId="0" xfId="0" applyNumberFormat="1" applyFont="1" applyAlignment="1">
      <alignment horizontal="right"/>
    </xf>
    <xf numFmtId="41" fontId="9" fillId="0" borderId="0" xfId="0" applyNumberFormat="1" applyFont="1"/>
    <xf numFmtId="1" fontId="10" fillId="2" borderId="0" xfId="0" applyNumberFormat="1" applyFont="1" applyFill="1" applyAlignment="1">
      <alignment horizontal="right"/>
    </xf>
    <xf numFmtId="0" fontId="9" fillId="2" borderId="3" xfId="0" applyFont="1" applyFill="1" applyBorder="1" applyAlignment="1">
      <alignment wrapText="1"/>
    </xf>
    <xf numFmtId="176" fontId="33" fillId="0" borderId="0" xfId="0" applyNumberFormat="1" applyFont="1" applyAlignment="1">
      <alignment vertical="center"/>
    </xf>
    <xf numFmtId="0" fontId="9" fillId="2" borderId="0" xfId="0" applyFont="1" applyFill="1" applyAlignment="1">
      <alignment vertical="center" wrapText="1"/>
    </xf>
    <xf numFmtId="0" fontId="0" fillId="0" borderId="19" xfId="0" applyBorder="1"/>
    <xf numFmtId="0" fontId="25" fillId="0" borderId="5" xfId="0" applyFont="1" applyBorder="1"/>
    <xf numFmtId="0" fontId="0" fillId="0" borderId="5" xfId="0" applyBorder="1"/>
    <xf numFmtId="0" fontId="25" fillId="0" borderId="5" xfId="0" applyFont="1" applyBorder="1" applyAlignment="1">
      <alignment wrapText="1"/>
    </xf>
    <xf numFmtId="0" fontId="9" fillId="0" borderId="0" xfId="5" applyFont="1" applyAlignment="1">
      <alignment horizontal="left" wrapText="1"/>
    </xf>
    <xf numFmtId="0" fontId="9" fillId="0" borderId="0" xfId="5" applyFont="1" applyAlignment="1">
      <alignment horizontal="left" vertical="center" wrapText="1"/>
    </xf>
    <xf numFmtId="170" fontId="5" fillId="0" borderId="0" xfId="6" applyNumberFormat="1" applyAlignment="1">
      <alignment horizontal="right"/>
    </xf>
    <xf numFmtId="164" fontId="9" fillId="0" borderId="2" xfId="0" applyNumberFormat="1" applyFont="1" applyBorder="1" applyAlignment="1">
      <alignment horizontal="right" vertical="center"/>
    </xf>
    <xf numFmtId="0" fontId="9" fillId="0" borderId="2" xfId="5" applyFont="1" applyBorder="1" applyAlignment="1">
      <alignment horizontal="left" wrapText="1"/>
    </xf>
    <xf numFmtId="164" fontId="5" fillId="0" borderId="0" xfId="6" applyNumberFormat="1" applyAlignment="1">
      <alignment horizontal="right"/>
    </xf>
    <xf numFmtId="0" fontId="5" fillId="0" borderId="0" xfId="5" applyFont="1" applyAlignment="1">
      <alignment horizontal="left" wrapText="1"/>
    </xf>
    <xf numFmtId="164" fontId="5" fillId="0" borderId="2" xfId="6" applyNumberFormat="1" applyBorder="1" applyAlignment="1">
      <alignment horizontal="right"/>
    </xf>
    <xf numFmtId="169" fontId="5" fillId="0" borderId="0" xfId="5" applyNumberFormat="1" applyFont="1" applyAlignment="1">
      <alignment horizontal="right" wrapText="1"/>
    </xf>
    <xf numFmtId="169" fontId="5" fillId="4" borderId="0" xfId="5" applyNumberFormat="1" applyFont="1" applyFill="1" applyAlignment="1">
      <alignment horizontal="right" wrapText="1"/>
    </xf>
    <xf numFmtId="170" fontId="5" fillId="5" borderId="0" xfId="6" applyNumberFormat="1" applyFill="1" applyAlignment="1">
      <alignment horizontal="right"/>
    </xf>
    <xf numFmtId="0" fontId="51" fillId="0" borderId="0" xfId="0" applyFont="1"/>
    <xf numFmtId="170" fontId="5" fillId="5" borderId="2" xfId="6" applyNumberFormat="1" applyFill="1" applyBorder="1" applyAlignment="1">
      <alignment horizontal="right"/>
    </xf>
    <xf numFmtId="41" fontId="25" fillId="0" borderId="4" xfId="0" applyNumberFormat="1" applyFont="1" applyBorder="1"/>
    <xf numFmtId="0" fontId="9" fillId="2" borderId="16" xfId="0" applyFont="1" applyFill="1" applyBorder="1"/>
    <xf numFmtId="172" fontId="10" fillId="2" borderId="16" xfId="0" applyNumberFormat="1" applyFont="1" applyFill="1" applyBorder="1" applyAlignment="1">
      <alignment horizontal="right"/>
    </xf>
    <xf numFmtId="41" fontId="9" fillId="0" borderId="0" xfId="7" applyNumberFormat="1" applyFont="1" applyAlignment="1">
      <alignment horizontal="left"/>
    </xf>
    <xf numFmtId="41" fontId="9" fillId="0" borderId="0" xfId="7" applyNumberFormat="1" applyFont="1" applyAlignment="1">
      <alignment horizontal="left" wrapText="1"/>
    </xf>
    <xf numFmtId="164" fontId="9" fillId="0" borderId="4" xfId="0" applyNumberFormat="1" applyFont="1" applyBorder="1" applyAlignment="1">
      <alignment vertical="center"/>
    </xf>
    <xf numFmtId="0" fontId="9" fillId="2" borderId="3" xfId="0" applyFont="1" applyFill="1" applyBorder="1" applyAlignment="1">
      <alignment horizontal="left" wrapText="1"/>
    </xf>
    <xf numFmtId="164" fontId="5" fillId="4" borderId="21" xfId="0" applyNumberFormat="1" applyFont="1" applyFill="1" applyBorder="1" applyAlignment="1">
      <alignment horizontal="right"/>
    </xf>
    <xf numFmtId="4" fontId="5" fillId="2" borderId="13" xfId="0" applyNumberFormat="1" applyFont="1" applyFill="1" applyBorder="1"/>
    <xf numFmtId="4" fontId="5" fillId="4" borderId="0" xfId="0" applyNumberFormat="1" applyFont="1" applyFill="1" applyAlignment="1">
      <alignment horizontal="right"/>
    </xf>
    <xf numFmtId="0" fontId="25" fillId="0" borderId="8" xfId="0" applyFont="1" applyBorder="1" applyAlignment="1">
      <alignment wrapText="1"/>
    </xf>
    <xf numFmtId="168" fontId="43" fillId="0" borderId="16" xfId="0" applyNumberFormat="1" applyFont="1" applyBorder="1"/>
    <xf numFmtId="168" fontId="43" fillId="0" borderId="29" xfId="0" applyNumberFormat="1" applyFont="1" applyBorder="1"/>
    <xf numFmtId="0" fontId="25" fillId="0" borderId="19" xfId="0" applyFont="1" applyBorder="1"/>
    <xf numFmtId="0" fontId="25" fillId="0" borderId="15" xfId="0" applyFont="1" applyBorder="1"/>
    <xf numFmtId="168" fontId="43" fillId="0" borderId="0" xfId="0" applyNumberFormat="1" applyFont="1"/>
    <xf numFmtId="168" fontId="43" fillId="4" borderId="0" xfId="0" applyNumberFormat="1" applyFont="1" applyFill="1"/>
    <xf numFmtId="168" fontId="43" fillId="4" borderId="17" xfId="0" applyNumberFormat="1" applyFont="1" applyFill="1" applyBorder="1"/>
    <xf numFmtId="168" fontId="43" fillId="4" borderId="16" xfId="0" applyNumberFormat="1" applyFont="1" applyFill="1" applyBorder="1"/>
    <xf numFmtId="168" fontId="43" fillId="0" borderId="3" xfId="0" applyNumberFormat="1" applyFont="1" applyBorder="1"/>
    <xf numFmtId="168" fontId="43" fillId="4" borderId="3" xfId="0" applyNumberFormat="1" applyFont="1" applyFill="1" applyBorder="1"/>
    <xf numFmtId="168" fontId="43" fillId="4" borderId="29" xfId="0" applyNumberFormat="1" applyFont="1" applyFill="1" applyBorder="1"/>
    <xf numFmtId="0" fontId="33" fillId="0" borderId="0" xfId="3" applyFont="1" applyAlignment="1" applyProtection="1">
      <alignment vertical="center"/>
    </xf>
    <xf numFmtId="173" fontId="11" fillId="2" borderId="0" xfId="0" applyNumberFormat="1" applyFont="1" applyFill="1" applyAlignment="1">
      <alignment horizontal="right"/>
    </xf>
    <xf numFmtId="41" fontId="9" fillId="0" borderId="4" xfId="0" applyNumberFormat="1" applyFont="1" applyBorder="1" applyAlignment="1">
      <alignment vertical="center"/>
    </xf>
    <xf numFmtId="3" fontId="9" fillId="4" borderId="0" xfId="0" applyNumberFormat="1" applyFont="1" applyFill="1" applyAlignment="1">
      <alignment horizontal="right"/>
    </xf>
    <xf numFmtId="41" fontId="0" fillId="4" borderId="0" xfId="0" applyNumberFormat="1" applyFill="1"/>
    <xf numFmtId="169" fontId="5" fillId="0" borderId="18" xfId="17" applyNumberFormat="1" applyFont="1" applyFill="1" applyBorder="1" applyAlignment="1">
      <alignment horizontal="right"/>
    </xf>
    <xf numFmtId="41" fontId="9" fillId="0" borderId="0" xfId="21" applyNumberFormat="1" applyFont="1" applyFill="1" applyBorder="1" applyAlignment="1">
      <alignment horizontal="right" wrapText="1"/>
    </xf>
    <xf numFmtId="41" fontId="9" fillId="0" borderId="0" xfId="21" applyNumberFormat="1" applyFont="1" applyFill="1" applyBorder="1" applyAlignment="1">
      <alignment horizontal="right" vertical="center" wrapText="1"/>
    </xf>
    <xf numFmtId="41" fontId="9" fillId="0" borderId="0" xfId="22" applyNumberFormat="1" applyFont="1" applyFill="1" applyBorder="1" applyAlignment="1">
      <alignment horizontal="right" vertical="center" wrapText="1"/>
    </xf>
    <xf numFmtId="41" fontId="9" fillId="0" borderId="3" xfId="22" applyNumberFormat="1" applyFont="1" applyFill="1" applyBorder="1" applyAlignment="1">
      <alignment horizontal="right" vertical="center" wrapText="1"/>
    </xf>
    <xf numFmtId="41" fontId="5" fillId="2" borderId="0" xfId="0" applyNumberFormat="1" applyFont="1" applyFill="1"/>
    <xf numFmtId="41" fontId="5" fillId="2" borderId="17" xfId="0" applyNumberFormat="1" applyFont="1" applyFill="1" applyBorder="1"/>
    <xf numFmtId="41" fontId="0" fillId="3" borderId="21" xfId="0" applyNumberFormat="1" applyFill="1" applyBorder="1"/>
    <xf numFmtId="41" fontId="5" fillId="4" borderId="21" xfId="0" applyNumberFormat="1" applyFont="1" applyFill="1" applyBorder="1"/>
    <xf numFmtId="41" fontId="5" fillId="2" borderId="16" xfId="0" applyNumberFormat="1" applyFont="1" applyFill="1" applyBorder="1"/>
    <xf numFmtId="41" fontId="5" fillId="4" borderId="13" xfId="0" applyNumberFormat="1" applyFont="1" applyFill="1" applyBorder="1"/>
    <xf numFmtId="41" fontId="0" fillId="3" borderId="13" xfId="0" applyNumberFormat="1" applyFill="1" applyBorder="1"/>
    <xf numFmtId="41" fontId="5" fillId="4" borderId="16" xfId="0" applyNumberFormat="1" applyFont="1" applyFill="1" applyBorder="1"/>
    <xf numFmtId="41" fontId="5" fillId="2" borderId="3" xfId="0" applyNumberFormat="1" applyFont="1" applyFill="1" applyBorder="1"/>
    <xf numFmtId="41" fontId="5" fillId="2" borderId="29" xfId="0" applyNumberFormat="1" applyFont="1" applyFill="1" applyBorder="1"/>
    <xf numFmtId="41" fontId="0" fillId="4" borderId="0" xfId="0" applyNumberFormat="1" applyFill="1" applyAlignment="1">
      <alignment horizontal="right"/>
    </xf>
    <xf numFmtId="0" fontId="9" fillId="0" borderId="4" xfId="0" applyFont="1" applyBorder="1" applyAlignment="1">
      <alignment horizontal="left"/>
    </xf>
    <xf numFmtId="166" fontId="9" fillId="0" borderId="4" xfId="21" applyNumberFormat="1" applyFont="1" applyFill="1" applyBorder="1" applyAlignment="1">
      <alignment horizontal="right" wrapText="1"/>
    </xf>
    <xf numFmtId="168" fontId="11" fillId="2" borderId="11" xfId="2" quotePrefix="1" applyNumberFormat="1" applyFont="1" applyFill="1" applyBorder="1" applyAlignment="1">
      <alignment horizontal="right" vertical="center"/>
    </xf>
    <xf numFmtId="0" fontId="25" fillId="0" borderId="16" xfId="0" applyFont="1" applyBorder="1"/>
    <xf numFmtId="0" fontId="14" fillId="0" borderId="29" xfId="0" applyFont="1" applyBorder="1" applyAlignment="1">
      <alignment horizontal="left" vertical="center"/>
    </xf>
    <xf numFmtId="3" fontId="5" fillId="4" borderId="2" xfId="0" applyNumberFormat="1" applyFont="1" applyFill="1" applyBorder="1" applyAlignment="1">
      <alignment vertical="center"/>
    </xf>
    <xf numFmtId="168" fontId="11" fillId="4" borderId="3" xfId="22" applyNumberFormat="1" applyFont="1" applyFill="1" applyBorder="1" applyAlignment="1">
      <alignment vertical="center"/>
    </xf>
    <xf numFmtId="172" fontId="9" fillId="2" borderId="1" xfId="7" applyNumberFormat="1" applyFont="1" applyFill="1" applyBorder="1" applyAlignment="1">
      <alignment horizontal="center" wrapText="1"/>
    </xf>
    <xf numFmtId="172" fontId="43" fillId="0" borderId="0" xfId="0" applyNumberFormat="1" applyFont="1" applyAlignment="1">
      <alignment horizontal="right"/>
    </xf>
    <xf numFmtId="172" fontId="43" fillId="0" borderId="1" xfId="0" applyNumberFormat="1" applyFont="1" applyBorder="1" applyAlignment="1">
      <alignment horizontal="right"/>
    </xf>
    <xf numFmtId="172" fontId="0" fillId="0" borderId="9" xfId="0" applyNumberFormat="1" applyBorder="1" applyAlignment="1">
      <alignment horizontal="right"/>
    </xf>
    <xf numFmtId="172" fontId="5" fillId="0" borderId="0" xfId="0" applyNumberFormat="1" applyFont="1" applyAlignment="1">
      <alignment horizontal="right" vertical="center" wrapText="1"/>
    </xf>
    <xf numFmtId="172" fontId="0" fillId="0" borderId="10" xfId="0" applyNumberFormat="1" applyBorder="1" applyAlignment="1">
      <alignment horizontal="right"/>
    </xf>
    <xf numFmtId="164" fontId="9" fillId="0" borderId="3" xfId="0" applyNumberFormat="1" applyFont="1" applyBorder="1"/>
    <xf numFmtId="164" fontId="9" fillId="0" borderId="0" xfId="5" applyNumberFormat="1" applyFont="1" applyAlignment="1">
      <alignment horizontal="right" wrapText="1"/>
    </xf>
    <xf numFmtId="164" fontId="9" fillId="0" borderId="1" xfId="5" applyNumberFormat="1" applyFont="1" applyBorder="1" applyAlignment="1">
      <alignment horizontal="right" wrapText="1"/>
    </xf>
    <xf numFmtId="164" fontId="9" fillId="0" borderId="0" xfId="21" applyNumberFormat="1" applyFont="1" applyFill="1" applyBorder="1" applyAlignment="1">
      <alignment horizontal="right" wrapText="1"/>
    </xf>
    <xf numFmtId="168" fontId="10" fillId="2" borderId="0" xfId="2" quotePrefix="1" applyNumberFormat="1" applyFont="1" applyFill="1" applyBorder="1" applyAlignment="1">
      <alignment horizontal="right"/>
    </xf>
    <xf numFmtId="164" fontId="9" fillId="2" borderId="0" xfId="9" quotePrefix="1" applyNumberFormat="1" applyFont="1" applyFill="1" applyAlignment="1">
      <alignment horizontal="right" wrapText="1"/>
    </xf>
    <xf numFmtId="164" fontId="9" fillId="2" borderId="4" xfId="7" applyNumberFormat="1" applyFont="1" applyFill="1" applyBorder="1" applyAlignment="1">
      <alignment horizontal="right" vertical="center"/>
    </xf>
    <xf numFmtId="164" fontId="5" fillId="2" borderId="0" xfId="7" applyNumberFormat="1" applyFont="1" applyFill="1" applyAlignment="1">
      <alignment horizontal="right"/>
    </xf>
    <xf numFmtId="164" fontId="9" fillId="2" borderId="0" xfId="1" applyNumberFormat="1" applyFont="1" applyFill="1" applyBorder="1" applyAlignment="1">
      <alignment horizontal="right"/>
    </xf>
    <xf numFmtId="164" fontId="9" fillId="2" borderId="0" xfId="7" applyNumberFormat="1" applyFont="1" applyFill="1" applyAlignment="1">
      <alignment horizontal="right"/>
    </xf>
    <xf numFmtId="164" fontId="5" fillId="2" borderId="2" xfId="0" applyNumberFormat="1" applyFont="1" applyFill="1" applyBorder="1" applyAlignment="1">
      <alignment horizontal="right"/>
    </xf>
    <xf numFmtId="164" fontId="9" fillId="2" borderId="2" xfId="1" applyNumberFormat="1" applyFont="1" applyFill="1" applyBorder="1" applyAlignment="1">
      <alignment horizontal="right" wrapText="1"/>
    </xf>
    <xf numFmtId="164" fontId="5" fillId="2" borderId="0" xfId="0" applyNumberFormat="1" applyFont="1" applyFill="1" applyAlignment="1">
      <alignment horizontal="right"/>
    </xf>
    <xf numFmtId="164" fontId="9" fillId="2" borderId="0" xfId="1" applyNumberFormat="1" applyFont="1" applyFill="1" applyBorder="1" applyAlignment="1">
      <alignment horizontal="right" wrapText="1"/>
    </xf>
    <xf numFmtId="164" fontId="9" fillId="2" borderId="1" xfId="1" applyNumberFormat="1" applyFont="1" applyFill="1" applyBorder="1" applyAlignment="1">
      <alignment horizontal="right" wrapText="1"/>
    </xf>
    <xf numFmtId="164" fontId="9" fillId="2" borderId="0" xfId="7" applyNumberFormat="1" applyFont="1" applyFill="1" applyAlignment="1">
      <alignment horizontal="right" vertical="center"/>
    </xf>
    <xf numFmtId="164" fontId="9" fillId="2" borderId="1" xfId="7" applyNumberFormat="1" applyFont="1" applyFill="1" applyBorder="1" applyAlignment="1">
      <alignment horizontal="right" vertical="center"/>
    </xf>
    <xf numFmtId="164" fontId="5" fillId="2" borderId="0" xfId="7" applyNumberFormat="1" applyFont="1" applyFill="1" applyAlignment="1">
      <alignment horizontal="right" vertical="center"/>
    </xf>
    <xf numFmtId="164" fontId="9" fillId="2" borderId="0" xfId="0" applyNumberFormat="1" applyFont="1" applyFill="1" applyAlignment="1">
      <alignment horizontal="right"/>
    </xf>
    <xf numFmtId="41" fontId="5" fillId="2" borderId="16" xfId="0" applyNumberFormat="1" applyFont="1" applyFill="1" applyBorder="1" applyAlignment="1">
      <alignment horizontal="right"/>
    </xf>
    <xf numFmtId="1" fontId="11" fillId="2" borderId="16" xfId="0" applyNumberFormat="1" applyFont="1" applyFill="1" applyBorder="1" applyAlignment="1">
      <alignment horizontal="right"/>
    </xf>
    <xf numFmtId="41" fontId="9" fillId="2" borderId="13" xfId="0" applyNumberFormat="1" applyFont="1" applyFill="1" applyBorder="1"/>
    <xf numFmtId="41" fontId="9" fillId="2" borderId="24" xfId="0" applyNumberFormat="1" applyFont="1" applyFill="1" applyBorder="1"/>
    <xf numFmtId="164" fontId="25" fillId="0" borderId="0" xfId="0" applyNumberFormat="1" applyFont="1"/>
    <xf numFmtId="0" fontId="14" fillId="2" borderId="0" xfId="0" applyFont="1" applyFill="1" applyAlignment="1">
      <alignment horizontal="left" vertical="center" wrapText="1"/>
    </xf>
    <xf numFmtId="172" fontId="43" fillId="0" borderId="0" xfId="0" applyNumberFormat="1" applyFont="1"/>
    <xf numFmtId="172" fontId="52" fillId="0" borderId="0" xfId="0" applyNumberFormat="1" applyFont="1"/>
    <xf numFmtId="172" fontId="43" fillId="0" borderId="3" xfId="0" applyNumberFormat="1" applyFont="1" applyBorder="1"/>
    <xf numFmtId="172" fontId="52" fillId="0" borderId="3" xfId="0" applyNumberFormat="1" applyFont="1" applyBorder="1"/>
    <xf numFmtId="164" fontId="0" fillId="0" borderId="3" xfId="0" applyNumberFormat="1" applyBorder="1"/>
    <xf numFmtId="173" fontId="11" fillId="0" borderId="0" xfId="0" applyNumberFormat="1" applyFont="1" applyAlignment="1">
      <alignment horizontal="right" vertical="center"/>
    </xf>
    <xf numFmtId="172" fontId="11" fillId="0" borderId="2" xfId="0" applyNumberFormat="1" applyFont="1" applyBorder="1" applyAlignment="1">
      <alignment horizontal="right"/>
    </xf>
    <xf numFmtId="172" fontId="11" fillId="0" borderId="21" xfId="0" applyNumberFormat="1" applyFont="1" applyBorder="1" applyAlignment="1">
      <alignment horizontal="right"/>
    </xf>
    <xf numFmtId="172" fontId="11" fillId="0" borderId="0" xfId="0" applyNumberFormat="1" applyFont="1" applyAlignment="1">
      <alignment horizontal="right"/>
    </xf>
    <xf numFmtId="172" fontId="11" fillId="0" borderId="13" xfId="0" applyNumberFormat="1" applyFont="1" applyBorder="1" applyAlignment="1">
      <alignment horizontal="right"/>
    </xf>
    <xf numFmtId="172" fontId="10" fillId="0" borderId="4" xfId="0" applyNumberFormat="1" applyFont="1" applyBorder="1" applyAlignment="1">
      <alignment horizontal="right"/>
    </xf>
    <xf numFmtId="164" fontId="9" fillId="0" borderId="9" xfId="0" applyNumberFormat="1" applyFont="1" applyBorder="1"/>
    <xf numFmtId="172" fontId="11" fillId="0" borderId="27" xfId="22" applyNumberFormat="1" applyFont="1" applyFill="1" applyBorder="1" applyAlignment="1">
      <alignment horizontal="right"/>
    </xf>
    <xf numFmtId="172" fontId="11" fillId="0" borderId="13" xfId="22" applyNumberFormat="1" applyFont="1" applyFill="1" applyBorder="1" applyAlignment="1">
      <alignment horizontal="right"/>
    </xf>
    <xf numFmtId="172" fontId="10" fillId="0" borderId="23" xfId="22" applyNumberFormat="1" applyFont="1" applyFill="1" applyBorder="1" applyAlignment="1">
      <alignment horizontal="right"/>
    </xf>
    <xf numFmtId="1" fontId="11" fillId="0" borderId="0" xfId="22" quotePrefix="1" applyNumberFormat="1" applyFont="1" applyFill="1" applyBorder="1" applyAlignment="1">
      <alignment horizontal="right"/>
    </xf>
    <xf numFmtId="1" fontId="10" fillId="0" borderId="0" xfId="22" applyNumberFormat="1" applyFont="1" applyFill="1" applyBorder="1"/>
    <xf numFmtId="1" fontId="10" fillId="2" borderId="4" xfId="22" applyNumberFormat="1" applyFont="1" applyFill="1" applyBorder="1" applyAlignment="1">
      <alignment vertical="center"/>
    </xf>
    <xf numFmtId="1" fontId="10" fillId="0" borderId="4" xfId="22" quotePrefix="1" applyNumberFormat="1" applyFont="1" applyFill="1" applyBorder="1" applyAlignment="1">
      <alignment horizontal="right"/>
    </xf>
    <xf numFmtId="1" fontId="10" fillId="0" borderId="4" xfId="22" applyNumberFormat="1" applyFont="1" applyFill="1" applyBorder="1" applyAlignment="1">
      <alignment vertical="center"/>
    </xf>
    <xf numFmtId="0" fontId="10" fillId="2" borderId="0" xfId="0" applyFont="1" applyFill="1" applyAlignment="1">
      <alignment horizontal="left" wrapText="1"/>
    </xf>
    <xf numFmtId="4" fontId="5" fillId="4" borderId="0" xfId="0" applyNumberFormat="1" applyFont="1" applyFill="1"/>
    <xf numFmtId="4" fontId="5" fillId="4" borderId="13" xfId="0" applyNumberFormat="1" applyFont="1" applyFill="1" applyBorder="1"/>
    <xf numFmtId="4" fontId="9" fillId="4" borderId="0" xfId="0" applyNumberFormat="1" applyFont="1" applyFill="1" applyAlignment="1">
      <alignment horizontal="right"/>
    </xf>
    <xf numFmtId="4" fontId="5" fillId="0" borderId="0" xfId="0" applyNumberFormat="1" applyFont="1"/>
    <xf numFmtId="4" fontId="5" fillId="0" borderId="0" xfId="0" applyNumberFormat="1" applyFont="1" applyAlignment="1">
      <alignment horizontal="right"/>
    </xf>
    <xf numFmtId="4" fontId="9" fillId="0" borderId="0" xfId="0" applyNumberFormat="1" applyFont="1" applyAlignment="1">
      <alignment horizontal="right"/>
    </xf>
    <xf numFmtId="41" fontId="33" fillId="0" borderId="0" xfId="19" applyNumberFormat="1" applyFont="1" applyAlignment="1">
      <alignment horizontal="right"/>
    </xf>
    <xf numFmtId="41" fontId="16" fillId="0" borderId="0" xfId="19" applyNumberFormat="1" applyFont="1" applyAlignment="1">
      <alignment horizontal="right" wrapText="1"/>
    </xf>
    <xf numFmtId="41" fontId="16" fillId="0" borderId="0" xfId="0" applyNumberFormat="1" applyFont="1" applyAlignment="1">
      <alignment horizontal="right" wrapText="1"/>
    </xf>
    <xf numFmtId="41" fontId="33" fillId="0" borderId="16" xfId="19" applyNumberFormat="1" applyFont="1" applyBorder="1" applyAlignment="1">
      <alignment horizontal="right"/>
    </xf>
    <xf numFmtId="172" fontId="50" fillId="0" borderId="10" xfId="0" quotePrefix="1" applyNumberFormat="1" applyFont="1" applyBorder="1" applyAlignment="1">
      <alignment horizontal="right"/>
    </xf>
    <xf numFmtId="172" fontId="13" fillId="0" borderId="10" xfId="0" applyNumberFormat="1" applyFont="1" applyBorder="1"/>
    <xf numFmtId="172" fontId="13" fillId="0" borderId="1" xfId="0" applyNumberFormat="1" applyFont="1" applyBorder="1"/>
    <xf numFmtId="41" fontId="0" fillId="0" borderId="16" xfId="0" applyNumberFormat="1" applyBorder="1" applyAlignment="1">
      <alignment horizontal="right"/>
    </xf>
    <xf numFmtId="0" fontId="14" fillId="2" borderId="15" xfId="0" applyFont="1" applyFill="1" applyBorder="1" applyAlignment="1">
      <alignment vertical="center"/>
    </xf>
    <xf numFmtId="0" fontId="27" fillId="2" borderId="0" xfId="0" applyFont="1" applyFill="1" applyAlignment="1">
      <alignment horizontal="center" wrapText="1"/>
    </xf>
    <xf numFmtId="0" fontId="27" fillId="2" borderId="10" xfId="0" applyFont="1" applyFill="1" applyBorder="1" applyAlignment="1">
      <alignment horizontal="center" wrapText="1"/>
    </xf>
    <xf numFmtId="41" fontId="9" fillId="0" borderId="3" xfId="21" applyNumberFormat="1" applyFont="1" applyFill="1" applyBorder="1" applyAlignment="1">
      <alignment horizontal="right" wrapText="1"/>
    </xf>
    <xf numFmtId="0" fontId="25" fillId="0" borderId="29" xfId="0" applyFont="1" applyBorder="1"/>
    <xf numFmtId="0" fontId="25" fillId="0" borderId="3" xfId="0" applyFont="1" applyBorder="1" applyAlignment="1">
      <alignment wrapText="1"/>
    </xf>
    <xf numFmtId="0" fontId="25" fillId="0" borderId="2" xfId="0" applyFont="1" applyBorder="1"/>
    <xf numFmtId="41" fontId="8" fillId="0" borderId="0" xfId="11" applyNumberFormat="1" applyFont="1" applyFill="1" applyAlignment="1">
      <alignment horizontal="left" vertical="center" wrapText="1"/>
    </xf>
    <xf numFmtId="41" fontId="16" fillId="0" borderId="0" xfId="11" applyNumberFormat="1" applyFont="1" applyFill="1" applyAlignment="1">
      <alignment horizontal="right" vertical="center" wrapText="1"/>
    </xf>
    <xf numFmtId="41" fontId="33" fillId="0" borderId="0" xfId="11" applyNumberFormat="1" applyFont="1" applyFill="1" applyAlignment="1">
      <alignment horizontal="right" vertical="center" wrapText="1"/>
    </xf>
    <xf numFmtId="41" fontId="16" fillId="0" borderId="3" xfId="11" applyNumberFormat="1" applyFont="1" applyFill="1" applyBorder="1" applyAlignment="1">
      <alignment horizontal="right" vertical="center" wrapText="1"/>
    </xf>
    <xf numFmtId="0" fontId="33" fillId="2" borderId="0" xfId="0" applyFont="1" applyFill="1" applyAlignment="1">
      <alignment wrapText="1"/>
    </xf>
    <xf numFmtId="0" fontId="3" fillId="2" borderId="0" xfId="3" applyFill="1" applyAlignment="1" applyProtection="1"/>
    <xf numFmtId="0" fontId="38" fillId="2" borderId="0" xfId="0" applyFont="1" applyFill="1" applyAlignment="1">
      <alignment vertical="center"/>
    </xf>
    <xf numFmtId="168" fontId="5" fillId="0" borderId="0" xfId="2" applyNumberFormat="1" applyFont="1" applyFill="1" applyBorder="1" applyAlignment="1">
      <alignment horizontal="right"/>
    </xf>
    <xf numFmtId="41" fontId="9" fillId="0" borderId="0" xfId="2" applyNumberFormat="1" applyFont="1" applyFill="1" applyBorder="1" applyAlignment="1">
      <alignment horizontal="left"/>
    </xf>
    <xf numFmtId="41" fontId="5" fillId="0" borderId="0" xfId="0" applyNumberFormat="1" applyFont="1" applyAlignment="1">
      <alignment horizontal="right" vertical="center"/>
    </xf>
    <xf numFmtId="41" fontId="9" fillId="0" borderId="21" xfId="0" applyNumberFormat="1" applyFont="1" applyBorder="1" applyAlignment="1">
      <alignment horizontal="right" vertical="center"/>
    </xf>
    <xf numFmtId="41" fontId="9" fillId="0" borderId="13" xfId="0" applyNumberFormat="1" applyFont="1" applyBorder="1" applyAlignment="1">
      <alignment horizontal="right" vertical="center"/>
    </xf>
    <xf numFmtId="41" fontId="5" fillId="0" borderId="21" xfId="0" applyNumberFormat="1" applyFont="1" applyBorder="1" applyAlignment="1">
      <alignment horizontal="right" vertical="center"/>
    </xf>
    <xf numFmtId="41" fontId="5" fillId="0" borderId="13" xfId="0" applyNumberFormat="1" applyFont="1" applyBorder="1" applyAlignment="1">
      <alignment horizontal="right" vertical="center"/>
    </xf>
    <xf numFmtId="0" fontId="9" fillId="0" borderId="15" xfId="4" applyFont="1" applyBorder="1" applyAlignment="1">
      <alignment horizontal="center" wrapText="1"/>
    </xf>
    <xf numFmtId="172" fontId="13" fillId="0" borderId="17" xfId="0" applyNumberFormat="1" applyFont="1" applyBorder="1"/>
    <xf numFmtId="172" fontId="13" fillId="0" borderId="16" xfId="0" applyNumberFormat="1" applyFont="1" applyBorder="1"/>
    <xf numFmtId="172" fontId="13" fillId="0" borderId="20" xfId="0" applyNumberFormat="1" applyFont="1" applyBorder="1"/>
    <xf numFmtId="41" fontId="5" fillId="4" borderId="0" xfId="0" applyNumberFormat="1" applyFont="1" applyFill="1"/>
    <xf numFmtId="41" fontId="5" fillId="0" borderId="13" xfId="0" applyNumberFormat="1" applyFont="1" applyBorder="1"/>
    <xf numFmtId="41" fontId="5" fillId="0" borderId="24" xfId="0" applyNumberFormat="1" applyFont="1" applyBorder="1"/>
    <xf numFmtId="41" fontId="9" fillId="2" borderId="21" xfId="0" applyNumberFormat="1" applyFont="1" applyFill="1" applyBorder="1"/>
    <xf numFmtId="41" fontId="0" fillId="0" borderId="3" xfId="0" applyNumberFormat="1" applyBorder="1" applyAlignment="1">
      <alignment horizontal="right"/>
    </xf>
    <xf numFmtId="0" fontId="16" fillId="0" borderId="3" xfId="0" applyFont="1" applyBorder="1" applyAlignment="1">
      <alignment horizontal="left" vertical="center"/>
    </xf>
    <xf numFmtId="41" fontId="5" fillId="0" borderId="3" xfId="0" applyNumberFormat="1" applyFont="1" applyBorder="1" applyAlignment="1">
      <alignment horizontal="right" vertical="center" wrapText="1"/>
    </xf>
    <xf numFmtId="41" fontId="9" fillId="0" borderId="3" xfId="0" applyNumberFormat="1" applyFont="1" applyBorder="1" applyAlignment="1">
      <alignment horizontal="right" vertical="center" wrapText="1"/>
    </xf>
    <xf numFmtId="0" fontId="16" fillId="0" borderId="0" xfId="0" applyFont="1" applyAlignment="1">
      <alignment horizontal="left" wrapText="1"/>
    </xf>
    <xf numFmtId="172" fontId="13" fillId="0" borderId="0" xfId="0" applyNumberFormat="1" applyFont="1"/>
    <xf numFmtId="0" fontId="10" fillId="0" borderId="8" xfId="4" applyFont="1" applyBorder="1" applyAlignment="1">
      <alignment horizontal="center" wrapText="1"/>
    </xf>
    <xf numFmtId="172" fontId="50" fillId="0" borderId="0" xfId="0" quotePrefix="1" applyNumberFormat="1" applyFont="1" applyAlignment="1">
      <alignment horizontal="right"/>
    </xf>
    <xf numFmtId="41" fontId="0" fillId="0" borderId="17" xfId="0" applyNumberFormat="1" applyBorder="1"/>
    <xf numFmtId="0" fontId="54" fillId="0" borderId="1" xfId="0" applyFont="1" applyBorder="1"/>
    <xf numFmtId="41" fontId="25" fillId="4" borderId="0" xfId="0" applyNumberFormat="1" applyFont="1" applyFill="1"/>
    <xf numFmtId="172" fontId="13" fillId="4" borderId="9" xfId="0" applyNumberFormat="1" applyFont="1" applyFill="1" applyBorder="1"/>
    <xf numFmtId="172" fontId="13" fillId="4" borderId="0" xfId="0" applyNumberFormat="1" applyFont="1" applyFill="1"/>
    <xf numFmtId="172" fontId="13" fillId="4" borderId="16" xfId="0" applyNumberFormat="1" applyFont="1" applyFill="1" applyBorder="1"/>
    <xf numFmtId="41" fontId="0" fillId="4" borderId="16" xfId="0" applyNumberFormat="1" applyFill="1" applyBorder="1"/>
    <xf numFmtId="172" fontId="50" fillId="4" borderId="0" xfId="0" quotePrefix="1" applyNumberFormat="1" applyFont="1" applyFill="1" applyAlignment="1">
      <alignment horizontal="right"/>
    </xf>
    <xf numFmtId="0" fontId="33" fillId="4" borderId="0" xfId="0" applyFont="1" applyFill="1"/>
    <xf numFmtId="0" fontId="0" fillId="0" borderId="0" xfId="0" applyAlignment="1">
      <alignment vertical="center"/>
    </xf>
    <xf numFmtId="0" fontId="25" fillId="0" borderId="5" xfId="0" applyFont="1" applyBorder="1" applyAlignment="1">
      <alignment horizontal="center" vertical="center"/>
    </xf>
    <xf numFmtId="0" fontId="25" fillId="0" borderId="10" xfId="0" applyFont="1" applyBorder="1" applyAlignment="1">
      <alignment horizontal="right"/>
    </xf>
    <xf numFmtId="0" fontId="25" fillId="0" borderId="20" xfId="0" applyFont="1" applyBorder="1" applyAlignment="1">
      <alignment horizontal="right"/>
    </xf>
    <xf numFmtId="41" fontId="25" fillId="0" borderId="9" xfId="0" applyNumberFormat="1" applyFont="1" applyBorder="1" applyAlignment="1">
      <alignment horizontal="right"/>
    </xf>
    <xf numFmtId="41" fontId="0" fillId="0" borderId="1" xfId="0" applyNumberFormat="1" applyBorder="1" applyAlignment="1">
      <alignment horizontal="right"/>
    </xf>
    <xf numFmtId="41" fontId="25" fillId="0" borderId="10" xfId="0" applyNumberFormat="1" applyFont="1" applyBorder="1" applyAlignment="1">
      <alignment horizontal="right"/>
    </xf>
    <xf numFmtId="172" fontId="11" fillId="2" borderId="0" xfId="0" applyNumberFormat="1" applyFont="1" applyFill="1"/>
    <xf numFmtId="172" fontId="10" fillId="2" borderId="2" xfId="0" applyNumberFormat="1" applyFont="1" applyFill="1" applyBorder="1" applyAlignment="1">
      <alignment horizontal="right"/>
    </xf>
    <xf numFmtId="172" fontId="10" fillId="2" borderId="2" xfId="0" applyNumberFormat="1" applyFont="1" applyFill="1" applyBorder="1"/>
    <xf numFmtId="172" fontId="10" fillId="2" borderId="17" xfId="0" applyNumberFormat="1" applyFont="1" applyFill="1" applyBorder="1" applyAlignment="1">
      <alignment horizontal="right"/>
    </xf>
    <xf numFmtId="0" fontId="10" fillId="2" borderId="0" xfId="0" applyFont="1" applyFill="1" applyAlignment="1">
      <alignment horizontal="right" vertical="center" wrapText="1"/>
    </xf>
    <xf numFmtId="0" fontId="25" fillId="0" borderId="5" xfId="0" applyFont="1" applyBorder="1" applyAlignment="1">
      <alignment horizontal="right" wrapText="1"/>
    </xf>
    <xf numFmtId="0" fontId="25" fillId="0" borderId="15" xfId="0" applyFont="1" applyBorder="1" applyAlignment="1">
      <alignment horizontal="right"/>
    </xf>
    <xf numFmtId="0" fontId="25" fillId="0" borderId="13" xfId="0" applyFont="1" applyBorder="1"/>
    <xf numFmtId="0" fontId="25" fillId="0" borderId="14" xfId="0" applyFont="1" applyBorder="1"/>
    <xf numFmtId="41" fontId="25" fillId="0" borderId="16" xfId="0" applyNumberFormat="1" applyFont="1" applyBorder="1" applyAlignment="1">
      <alignment horizontal="right"/>
    </xf>
    <xf numFmtId="41" fontId="25" fillId="0" borderId="20" xfId="0" applyNumberFormat="1" applyFont="1" applyBorder="1" applyAlignment="1">
      <alignment horizontal="right"/>
    </xf>
    <xf numFmtId="0" fontId="9" fillId="0" borderId="2" xfId="0" applyFont="1" applyBorder="1" applyAlignment="1">
      <alignment wrapText="1"/>
    </xf>
    <xf numFmtId="0" fontId="9" fillId="2" borderId="20" xfId="0" applyFont="1" applyFill="1" applyBorder="1"/>
    <xf numFmtId="172" fontId="11" fillId="2" borderId="1" xfId="22" applyNumberFormat="1" applyFont="1" applyFill="1" applyBorder="1"/>
    <xf numFmtId="172" fontId="11" fillId="2" borderId="20" xfId="22" applyNumberFormat="1" applyFont="1" applyFill="1" applyBorder="1"/>
    <xf numFmtId="172" fontId="11" fillId="2" borderId="1" xfId="0" applyNumberFormat="1" applyFont="1" applyFill="1" applyBorder="1"/>
    <xf numFmtId="172" fontId="11" fillId="2" borderId="20" xfId="0" applyNumberFormat="1" applyFont="1" applyFill="1" applyBorder="1"/>
    <xf numFmtId="172" fontId="11" fillId="2" borderId="20" xfId="0" applyNumberFormat="1" applyFont="1" applyFill="1" applyBorder="1" applyAlignment="1">
      <alignment horizontal="right"/>
    </xf>
    <xf numFmtId="172" fontId="10" fillId="2" borderId="1" xfId="0" applyNumberFormat="1" applyFont="1" applyFill="1" applyBorder="1" applyAlignment="1">
      <alignment horizontal="right"/>
    </xf>
    <xf numFmtId="172" fontId="10" fillId="2" borderId="20" xfId="0" applyNumberFormat="1" applyFont="1" applyFill="1" applyBorder="1" applyAlignment="1">
      <alignment horizontal="right"/>
    </xf>
    <xf numFmtId="172" fontId="10" fillId="2" borderId="1" xfId="0" applyNumberFormat="1" applyFont="1" applyFill="1" applyBorder="1"/>
    <xf numFmtId="172" fontId="10" fillId="2" borderId="20" xfId="0" applyNumberFormat="1" applyFont="1" applyFill="1" applyBorder="1"/>
    <xf numFmtId="0" fontId="16" fillId="2" borderId="3" xfId="0" applyFont="1" applyFill="1" applyBorder="1"/>
    <xf numFmtId="0" fontId="9" fillId="2" borderId="3" xfId="0" applyFont="1" applyFill="1" applyBorder="1" applyAlignment="1">
      <alignment horizontal="left" vertical="center"/>
    </xf>
    <xf numFmtId="172" fontId="11" fillId="2" borderId="3" xfId="0" applyNumberFormat="1" applyFont="1" applyFill="1" applyBorder="1" applyAlignment="1">
      <alignment vertical="center"/>
    </xf>
    <xf numFmtId="172" fontId="10" fillId="2" borderId="3" xfId="0" applyNumberFormat="1" applyFont="1" applyFill="1" applyBorder="1" applyAlignment="1">
      <alignment vertical="center"/>
    </xf>
    <xf numFmtId="166" fontId="9" fillId="0" borderId="3" xfId="21" applyNumberFormat="1" applyFont="1" applyFill="1" applyBorder="1" applyAlignment="1">
      <alignment horizontal="right" vertical="center" wrapText="1"/>
    </xf>
    <xf numFmtId="164" fontId="5" fillId="2" borderId="1" xfId="7" applyNumberFormat="1" applyFont="1" applyFill="1" applyBorder="1" applyAlignment="1">
      <alignment horizontal="right" vertical="center"/>
    </xf>
    <xf numFmtId="164" fontId="0" fillId="0" borderId="0" xfId="0" applyNumberFormat="1" applyAlignment="1">
      <alignment horizontal="right"/>
    </xf>
    <xf numFmtId="164" fontId="25" fillId="0" borderId="4" xfId="0" applyNumberFormat="1" applyFont="1" applyBorder="1"/>
    <xf numFmtId="3" fontId="9" fillId="2" borderId="0" xfId="0" quotePrefix="1" applyNumberFormat="1" applyFont="1" applyFill="1" applyAlignment="1">
      <alignment horizontal="right"/>
    </xf>
    <xf numFmtId="1" fontId="0" fillId="2" borderId="5" xfId="0" applyNumberFormat="1" applyFill="1" applyBorder="1" applyAlignment="1">
      <alignment horizontal="right"/>
    </xf>
    <xf numFmtId="164" fontId="0" fillId="2" borderId="5" xfId="0" applyNumberFormat="1" applyFill="1" applyBorder="1" applyAlignment="1">
      <alignment horizontal="right"/>
    </xf>
    <xf numFmtId="1" fontId="25" fillId="2" borderId="0" xfId="0" applyNumberFormat="1" applyFont="1" applyFill="1" applyAlignment="1">
      <alignment horizontal="right"/>
    </xf>
    <xf numFmtId="0" fontId="16" fillId="0" borderId="20" xfId="0" applyFont="1" applyBorder="1"/>
    <xf numFmtId="41" fontId="0" fillId="0" borderId="20" xfId="0" applyNumberFormat="1" applyBorder="1"/>
    <xf numFmtId="0" fontId="16" fillId="0" borderId="14" xfId="0" applyFont="1" applyBorder="1"/>
    <xf numFmtId="41" fontId="0" fillId="0" borderId="10" xfId="0" applyNumberFormat="1" applyBorder="1"/>
    <xf numFmtId="0" fontId="16" fillId="2" borderId="0" xfId="0" applyFont="1" applyFill="1" applyAlignment="1">
      <alignment horizontal="left"/>
    </xf>
    <xf numFmtId="3" fontId="5" fillId="2" borderId="2" xfId="0" applyNumberFormat="1" applyFont="1" applyFill="1" applyBorder="1" applyAlignment="1">
      <alignment vertical="center"/>
    </xf>
    <xf numFmtId="168" fontId="11" fillId="2" borderId="3" xfId="22" applyNumberFormat="1" applyFont="1" applyFill="1" applyBorder="1" applyAlignment="1">
      <alignment vertical="center"/>
    </xf>
    <xf numFmtId="0" fontId="0" fillId="2" borderId="2" xfId="0" applyFill="1" applyBorder="1"/>
    <xf numFmtId="0" fontId="0" fillId="2" borderId="3" xfId="0" applyFill="1" applyBorder="1"/>
    <xf numFmtId="4" fontId="5" fillId="2" borderId="24" xfId="0" applyNumberFormat="1" applyFont="1" applyFill="1" applyBorder="1"/>
    <xf numFmtId="4" fontId="5" fillId="2" borderId="29" xfId="0" applyNumberFormat="1" applyFont="1" applyFill="1" applyBorder="1"/>
    <xf numFmtId="4" fontId="5" fillId="2" borderId="3" xfId="0" applyNumberFormat="1" applyFont="1" applyFill="1" applyBorder="1" applyAlignment="1">
      <alignment horizontal="right"/>
    </xf>
    <xf numFmtId="4" fontId="9" fillId="2" borderId="3" xfId="0" applyNumberFormat="1" applyFont="1" applyFill="1" applyBorder="1" applyAlignment="1">
      <alignment horizontal="right"/>
    </xf>
    <xf numFmtId="0" fontId="0" fillId="0" borderId="2" xfId="0" applyBorder="1"/>
    <xf numFmtId="164" fontId="0" fillId="4" borderId="0" xfId="0" applyNumberFormat="1" applyFill="1"/>
    <xf numFmtId="173" fontId="11" fillId="2" borderId="3" xfId="0" applyNumberFormat="1" applyFont="1" applyFill="1" applyBorder="1" applyAlignment="1">
      <alignment horizontal="right"/>
    </xf>
    <xf numFmtId="173" fontId="11" fillId="4" borderId="0" xfId="0" applyNumberFormat="1" applyFont="1" applyFill="1" applyAlignment="1">
      <alignment horizontal="right"/>
    </xf>
    <xf numFmtId="41" fontId="9" fillId="0" borderId="23" xfId="0" applyNumberFormat="1" applyFont="1" applyBorder="1" applyAlignment="1">
      <alignment vertical="center"/>
    </xf>
    <xf numFmtId="3" fontId="5" fillId="0" borderId="0" xfId="16" applyNumberFormat="1"/>
    <xf numFmtId="3" fontId="9" fillId="0" borderId="4" xfId="16" applyNumberFormat="1" applyFont="1" applyBorder="1" applyAlignment="1">
      <alignment vertical="center"/>
    </xf>
    <xf numFmtId="172" fontId="11" fillId="0" borderId="4" xfId="0" applyNumberFormat="1" applyFont="1" applyBorder="1" applyAlignment="1">
      <alignment horizontal="right"/>
    </xf>
    <xf numFmtId="172" fontId="11" fillId="0" borderId="23" xfId="0" applyNumberFormat="1" applyFont="1" applyBorder="1" applyAlignment="1">
      <alignment horizontal="right"/>
    </xf>
    <xf numFmtId="0" fontId="25" fillId="0" borderId="5" xfId="0" applyFont="1" applyBorder="1" applyAlignment="1">
      <alignment horizontal="right"/>
    </xf>
    <xf numFmtId="0" fontId="16" fillId="0" borderId="5" xfId="11" applyFont="1" applyFill="1" applyBorder="1" applyAlignment="1">
      <alignment horizontal="right" wrapText="1"/>
    </xf>
    <xf numFmtId="41" fontId="33" fillId="0" borderId="3" xfId="11" applyNumberFormat="1" applyFont="1" applyFill="1" applyBorder="1" applyAlignment="1">
      <alignment horizontal="right" vertical="center" wrapText="1"/>
    </xf>
    <xf numFmtId="0" fontId="16" fillId="0" borderId="3" xfId="18" applyFont="1" applyBorder="1" applyAlignment="1">
      <alignment horizontal="left" vertical="center" wrapText="1"/>
    </xf>
    <xf numFmtId="0" fontId="10" fillId="0" borderId="19" xfId="4" applyFont="1" applyBorder="1" applyAlignment="1">
      <alignment horizontal="center" wrapText="1"/>
    </xf>
    <xf numFmtId="175" fontId="9" fillId="0" borderId="11" xfId="17" applyNumberFormat="1" applyFont="1" applyFill="1" applyBorder="1" applyAlignment="1">
      <alignment horizontal="right"/>
    </xf>
    <xf numFmtId="175" fontId="9" fillId="0" borderId="4" xfId="17" applyNumberFormat="1" applyFont="1" applyFill="1" applyBorder="1" applyAlignment="1">
      <alignment horizontal="right"/>
    </xf>
    <xf numFmtId="175" fontId="11" fillId="0" borderId="9" xfId="17" applyNumberFormat="1" applyFont="1" applyFill="1" applyBorder="1" applyAlignment="1">
      <alignment horizontal="right"/>
    </xf>
    <xf numFmtId="175" fontId="11" fillId="0" borderId="0" xfId="17" applyNumberFormat="1" applyFont="1" applyFill="1" applyBorder="1" applyAlignment="1">
      <alignment horizontal="right"/>
    </xf>
    <xf numFmtId="172" fontId="43" fillId="4" borderId="0" xfId="0" applyNumberFormat="1" applyFont="1" applyFill="1"/>
    <xf numFmtId="164" fontId="25" fillId="0" borderId="3" xfId="0" applyNumberFormat="1" applyFont="1" applyBorder="1"/>
    <xf numFmtId="0" fontId="43" fillId="0" borderId="3" xfId="0" applyFont="1" applyBorder="1"/>
    <xf numFmtId="0" fontId="52" fillId="0" borderId="0" xfId="0" applyFont="1"/>
    <xf numFmtId="0" fontId="52" fillId="0" borderId="3" xfId="0" applyFont="1" applyBorder="1"/>
    <xf numFmtId="164" fontId="25" fillId="4" borderId="0" xfId="0" applyNumberFormat="1" applyFont="1" applyFill="1"/>
    <xf numFmtId="177" fontId="43" fillId="0" borderId="0" xfId="0" applyNumberFormat="1" applyFont="1"/>
    <xf numFmtId="164" fontId="43" fillId="4" borderId="0" xfId="0" applyNumberFormat="1" applyFont="1" applyFill="1"/>
    <xf numFmtId="177" fontId="43" fillId="0" borderId="3" xfId="0" applyNumberFormat="1" applyFont="1" applyBorder="1"/>
    <xf numFmtId="177" fontId="52" fillId="0" borderId="0" xfId="0" applyNumberFormat="1" applyFont="1"/>
    <xf numFmtId="164" fontId="52" fillId="4" borderId="0" xfId="0" applyNumberFormat="1" applyFont="1" applyFill="1"/>
    <xf numFmtId="177" fontId="52" fillId="0" borderId="3" xfId="0" applyNumberFormat="1" applyFont="1" applyBorder="1"/>
    <xf numFmtId="41" fontId="25" fillId="0" borderId="3" xfId="0" applyNumberFormat="1" applyFont="1" applyBorder="1"/>
    <xf numFmtId="0" fontId="43" fillId="0" borderId="0" xfId="0" applyFont="1" applyAlignment="1">
      <alignment horizontal="right"/>
    </xf>
    <xf numFmtId="177" fontId="43" fillId="0" borderId="0" xfId="0" applyNumberFormat="1" applyFont="1" applyAlignment="1">
      <alignment horizontal="right"/>
    </xf>
    <xf numFmtId="0" fontId="52" fillId="0" borderId="0" xfId="0" applyFont="1" applyAlignment="1">
      <alignment horizontal="right"/>
    </xf>
    <xf numFmtId="177" fontId="52" fillId="0" borderId="0" xfId="0" applyNumberFormat="1" applyFont="1" applyAlignment="1">
      <alignment horizontal="right"/>
    </xf>
    <xf numFmtId="173" fontId="10" fillId="0" borderId="4" xfId="0" applyNumberFormat="1" applyFont="1" applyBorder="1" applyAlignment="1">
      <alignment horizontal="right" vertical="center"/>
    </xf>
    <xf numFmtId="173" fontId="10" fillId="0" borderId="31" xfId="0" applyNumberFormat="1" applyFont="1" applyBorder="1" applyAlignment="1">
      <alignment horizontal="right" vertical="center"/>
    </xf>
    <xf numFmtId="172" fontId="25" fillId="0" borderId="12" xfId="0" applyNumberFormat="1" applyFont="1" applyBorder="1" applyAlignment="1">
      <alignment horizontal="right"/>
    </xf>
    <xf numFmtId="172" fontId="9" fillId="0" borderId="4" xfId="0" applyNumberFormat="1" applyFont="1" applyBorder="1" applyAlignment="1">
      <alignment horizontal="right" vertical="center" wrapText="1"/>
    </xf>
    <xf numFmtId="164" fontId="33" fillId="0" borderId="0" xfId="11" applyNumberFormat="1" applyFont="1" applyFill="1" applyAlignment="1">
      <alignment horizontal="right" vertical="center" wrapText="1"/>
    </xf>
    <xf numFmtId="164" fontId="8" fillId="4" borderId="0" xfId="11" applyNumberFormat="1" applyFont="1" applyFill="1" applyAlignment="1">
      <alignment horizontal="left" vertical="center" wrapText="1"/>
    </xf>
    <xf numFmtId="164" fontId="33" fillId="0" borderId="3" xfId="11" applyNumberFormat="1" applyFont="1" applyFill="1" applyBorder="1" applyAlignment="1">
      <alignment horizontal="right" vertical="center" wrapText="1"/>
    </xf>
    <xf numFmtId="0" fontId="16" fillId="0" borderId="15" xfId="11" applyFont="1" applyFill="1" applyBorder="1" applyAlignment="1">
      <alignment horizontal="left" vertical="center" wrapText="1"/>
    </xf>
    <xf numFmtId="0" fontId="16" fillId="0" borderId="19" xfId="11" applyFont="1" applyFill="1" applyBorder="1" applyAlignment="1">
      <alignment horizontal="left" vertical="center" wrapText="1"/>
    </xf>
    <xf numFmtId="164" fontId="8" fillId="4" borderId="17" xfId="11" applyNumberFormat="1" applyFont="1" applyFill="1" applyBorder="1" applyAlignment="1">
      <alignment horizontal="left" vertical="center" wrapText="1"/>
    </xf>
    <xf numFmtId="164" fontId="8" fillId="4" borderId="16" xfId="11" applyNumberFormat="1" applyFont="1" applyFill="1" applyBorder="1" applyAlignment="1">
      <alignment horizontal="left" vertical="center" wrapText="1"/>
    </xf>
    <xf numFmtId="164" fontId="33" fillId="0" borderId="16" xfId="11" applyNumberFormat="1" applyFont="1" applyFill="1" applyBorder="1" applyAlignment="1">
      <alignment horizontal="right" vertical="center" wrapText="1"/>
    </xf>
    <xf numFmtId="164" fontId="33" fillId="0" borderId="29" xfId="11" applyNumberFormat="1" applyFont="1" applyFill="1" applyBorder="1" applyAlignment="1">
      <alignment horizontal="right" vertical="center" wrapText="1"/>
    </xf>
    <xf numFmtId="0" fontId="25" fillId="0" borderId="17" xfId="0" applyFont="1" applyBorder="1"/>
    <xf numFmtId="0" fontId="8" fillId="4" borderId="0" xfId="11" applyFont="1" applyFill="1" applyAlignment="1">
      <alignment horizontal="left" vertical="center" wrapText="1"/>
    </xf>
    <xf numFmtId="168" fontId="37" fillId="0" borderId="16" xfId="11" applyNumberFormat="1" applyFont="1" applyFill="1" applyBorder="1" applyAlignment="1">
      <alignment horizontal="right" vertical="center" wrapText="1"/>
    </xf>
    <xf numFmtId="166" fontId="33" fillId="0" borderId="0" xfId="11" applyNumberFormat="1" applyFont="1" applyFill="1" applyAlignment="1">
      <alignment horizontal="right" vertical="center" wrapText="1"/>
    </xf>
    <xf numFmtId="0" fontId="8" fillId="4" borderId="17" xfId="11" applyFont="1" applyFill="1" applyBorder="1" applyAlignment="1">
      <alignment horizontal="left" vertical="center" wrapText="1"/>
    </xf>
    <xf numFmtId="0" fontId="8" fillId="4" borderId="16" xfId="11" applyFont="1" applyFill="1" applyBorder="1" applyAlignment="1">
      <alignment horizontal="left" vertical="center" wrapText="1"/>
    </xf>
    <xf numFmtId="166" fontId="33" fillId="0" borderId="12" xfId="11" applyNumberFormat="1" applyFont="1" applyFill="1" applyBorder="1" applyAlignment="1">
      <alignment horizontal="right" vertical="center" wrapText="1"/>
    </xf>
    <xf numFmtId="168" fontId="37" fillId="0" borderId="29" xfId="11" applyNumberFormat="1" applyFont="1" applyFill="1" applyBorder="1" applyAlignment="1">
      <alignment horizontal="right" vertical="center" wrapText="1"/>
    </xf>
    <xf numFmtId="173" fontId="11" fillId="4" borderId="16" xfId="0" applyNumberFormat="1" applyFont="1" applyFill="1" applyBorder="1" applyAlignment="1">
      <alignment horizontal="right"/>
    </xf>
    <xf numFmtId="173" fontId="11" fillId="2" borderId="29" xfId="0" applyNumberFormat="1" applyFont="1" applyFill="1" applyBorder="1" applyAlignment="1">
      <alignment horizontal="right"/>
    </xf>
    <xf numFmtId="0" fontId="25" fillId="2" borderId="3" xfId="0" applyFont="1" applyFill="1" applyBorder="1"/>
    <xf numFmtId="0" fontId="25" fillId="2" borderId="1" xfId="0" applyFont="1" applyFill="1" applyBorder="1"/>
    <xf numFmtId="0" fontId="0" fillId="2" borderId="1" xfId="0" applyFill="1" applyBorder="1"/>
    <xf numFmtId="0" fontId="16" fillId="2" borderId="5" xfId="0" applyFont="1" applyFill="1" applyBorder="1"/>
    <xf numFmtId="41" fontId="0" fillId="2" borderId="0" xfId="0" applyNumberFormat="1" applyFill="1"/>
    <xf numFmtId="41" fontId="0" fillId="2" borderId="3" xfId="0" applyNumberFormat="1" applyFill="1" applyBorder="1"/>
    <xf numFmtId="41" fontId="0" fillId="2" borderId="1" xfId="0" applyNumberFormat="1" applyFill="1" applyBorder="1"/>
    <xf numFmtId="41" fontId="11" fillId="0" borderId="0" xfId="22" applyNumberFormat="1" applyFont="1" applyFill="1" applyBorder="1"/>
    <xf numFmtId="41" fontId="10" fillId="0" borderId="0" xfId="22" applyNumberFormat="1" applyFont="1" applyFill="1" applyBorder="1"/>
    <xf numFmtId="41" fontId="0" fillId="4" borderId="3" xfId="0" applyNumberFormat="1" applyFill="1" applyBorder="1"/>
    <xf numFmtId="41" fontId="0" fillId="4" borderId="29" xfId="0" applyNumberFormat="1" applyFill="1" applyBorder="1"/>
    <xf numFmtId="164" fontId="5" fillId="0" borderId="0" xfId="9" quotePrefix="1" applyNumberFormat="1" applyFont="1" applyAlignment="1">
      <alignment horizontal="right" wrapText="1"/>
    </xf>
    <xf numFmtId="41" fontId="5" fillId="0" borderId="1" xfId="7" applyNumberFormat="1" applyFont="1" applyBorder="1" applyAlignment="1">
      <alignment horizontal="right" vertical="center"/>
    </xf>
    <xf numFmtId="3" fontId="5" fillId="0" borderId="1" xfId="7" applyNumberFormat="1" applyFont="1" applyBorder="1" applyAlignment="1">
      <alignment horizontal="right" vertical="center"/>
    </xf>
    <xf numFmtId="164" fontId="5" fillId="0" borderId="0" xfId="9" applyNumberFormat="1" applyFont="1" applyAlignment="1">
      <alignment horizontal="right" wrapText="1"/>
    </xf>
    <xf numFmtId="3" fontId="5" fillId="0" borderId="2" xfId="0" applyNumberFormat="1" applyFont="1" applyBorder="1" applyAlignment="1">
      <alignment horizontal="right"/>
    </xf>
    <xf numFmtId="3" fontId="5" fillId="0" borderId="0" xfId="7" applyNumberFormat="1" applyFont="1" applyAlignment="1">
      <alignment horizontal="right"/>
    </xf>
    <xf numFmtId="164" fontId="9" fillId="0" borderId="0" xfId="7" applyNumberFormat="1" applyFont="1" applyAlignment="1">
      <alignment horizontal="right" vertical="center"/>
    </xf>
    <xf numFmtId="164" fontId="5" fillId="0" borderId="0" xfId="7" applyNumberFormat="1" applyFont="1" applyAlignment="1">
      <alignment horizontal="right" vertical="center"/>
    </xf>
    <xf numFmtId="164" fontId="5" fillId="0" borderId="2" xfId="9" applyNumberFormat="1" applyFont="1" applyBorder="1" applyAlignment="1">
      <alignment horizontal="right" wrapText="1"/>
    </xf>
    <xf numFmtId="41" fontId="25" fillId="0" borderId="1" xfId="0" applyNumberFormat="1" applyFont="1" applyBorder="1" applyAlignment="1">
      <alignment horizontal="right"/>
    </xf>
    <xf numFmtId="0" fontId="3" fillId="0" borderId="0" xfId="3" applyFill="1" applyBorder="1" applyAlignment="1" applyProtection="1">
      <alignment horizontal="center"/>
    </xf>
    <xf numFmtId="0" fontId="29" fillId="0" borderId="0" xfId="0" applyFont="1" applyAlignment="1">
      <alignment horizontal="left" vertical="center" wrapText="1"/>
    </xf>
    <xf numFmtId="0" fontId="24" fillId="0" borderId="0" xfId="0" applyFont="1" applyAlignment="1">
      <alignment horizontal="left"/>
    </xf>
    <xf numFmtId="0" fontId="29" fillId="0" borderId="0" xfId="0" applyFont="1" applyAlignment="1">
      <alignment horizontal="left" wrapText="1"/>
    </xf>
    <xf numFmtId="0" fontId="0" fillId="0" borderId="0" xfId="0" applyAlignment="1">
      <alignment horizontal="left" wrapText="1"/>
    </xf>
    <xf numFmtId="0" fontId="42" fillId="0" borderId="0" xfId="0" applyFont="1" applyAlignment="1">
      <alignment horizontal="left" vertical="center" wrapText="1"/>
    </xf>
    <xf numFmtId="0" fontId="8" fillId="2" borderId="0" xfId="0" applyFont="1" applyFill="1" applyAlignment="1">
      <alignment horizontal="left" vertical="center" wrapText="1"/>
    </xf>
    <xf numFmtId="0" fontId="33" fillId="0" borderId="0" xfId="0" applyFont="1" applyAlignment="1" applyProtection="1">
      <alignment horizontal="left" wrapText="1"/>
      <protection locked="0"/>
    </xf>
    <xf numFmtId="0" fontId="33" fillId="2" borderId="0" xfId="0" applyFont="1" applyFill="1" applyAlignment="1">
      <alignment horizontal="left" wrapText="1"/>
    </xf>
    <xf numFmtId="0" fontId="25" fillId="0" borderId="17" xfId="0" applyFont="1" applyBorder="1" applyAlignment="1">
      <alignment horizontal="center"/>
    </xf>
    <xf numFmtId="0" fontId="25" fillId="0" borderId="20" xfId="0" applyFont="1" applyBorder="1" applyAlignment="1">
      <alignment horizontal="center"/>
    </xf>
    <xf numFmtId="0" fontId="0" fillId="0" borderId="8" xfId="0" applyBorder="1" applyAlignment="1">
      <alignment horizontal="center"/>
    </xf>
    <xf numFmtId="0" fontId="0" fillId="0" borderId="5" xfId="0" applyBorder="1" applyAlignment="1">
      <alignment horizontal="center"/>
    </xf>
    <xf numFmtId="0" fontId="0" fillId="0" borderId="15" xfId="0" applyBorder="1" applyAlignment="1">
      <alignment horizontal="center"/>
    </xf>
    <xf numFmtId="0" fontId="0" fillId="0" borderId="0" xfId="0" applyAlignment="1">
      <alignment horizontal="left" vertical="center" wrapText="1"/>
    </xf>
    <xf numFmtId="0" fontId="33" fillId="0" borderId="0" xfId="0" applyFont="1" applyAlignment="1">
      <alignment horizontal="left" wrapText="1"/>
    </xf>
    <xf numFmtId="0" fontId="8" fillId="0" borderId="0" xfId="0" applyFont="1" applyAlignment="1">
      <alignment horizontal="left" vertical="center" wrapText="1"/>
    </xf>
    <xf numFmtId="0" fontId="0" fillId="2" borderId="0" xfId="0" quotePrefix="1" applyFill="1" applyAlignment="1">
      <alignment horizontal="left" wrapText="1"/>
    </xf>
    <xf numFmtId="0" fontId="0" fillId="2" borderId="0" xfId="0" applyFill="1" applyAlignment="1">
      <alignment horizontal="left" vertical="center" wrapText="1"/>
    </xf>
    <xf numFmtId="0" fontId="42" fillId="2" borderId="0" xfId="0" applyFont="1" applyFill="1" applyAlignment="1">
      <alignment horizontal="left" wrapText="1"/>
    </xf>
    <xf numFmtId="0" fontId="8" fillId="2" borderId="0" xfId="0" applyFont="1" applyFill="1" applyAlignment="1">
      <alignment horizontal="left" wrapText="1"/>
    </xf>
    <xf numFmtId="0" fontId="34" fillId="0" borderId="0" xfId="0" applyFont="1" applyAlignment="1">
      <alignment horizontal="left" vertical="center" wrapText="1"/>
    </xf>
    <xf numFmtId="0" fontId="33" fillId="0" borderId="0" xfId="0" applyFont="1" applyAlignment="1">
      <alignment horizontal="left" vertical="center" wrapText="1"/>
    </xf>
    <xf numFmtId="0" fontId="25" fillId="0" borderId="8" xfId="0" applyFont="1" applyBorder="1" applyAlignment="1">
      <alignment horizontal="center" vertical="center"/>
    </xf>
    <xf numFmtId="0" fontId="25" fillId="0" borderId="5" xfId="0" applyFont="1" applyBorder="1" applyAlignment="1">
      <alignment horizontal="center" vertical="center"/>
    </xf>
    <xf numFmtId="0" fontId="25" fillId="0" borderId="8" xfId="0" applyFont="1" applyBorder="1" applyAlignment="1">
      <alignment horizontal="center" vertical="center" wrapText="1"/>
    </xf>
    <xf numFmtId="0" fontId="25" fillId="0" borderId="15" xfId="0" applyFont="1" applyBorder="1" applyAlignment="1">
      <alignment horizontal="center" vertical="center" wrapText="1"/>
    </xf>
    <xf numFmtId="0" fontId="9" fillId="0" borderId="19" xfId="7" applyFont="1" applyBorder="1" applyAlignment="1">
      <alignment horizontal="center" vertical="center" wrapText="1"/>
    </xf>
    <xf numFmtId="0" fontId="9" fillId="0" borderId="19"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5" xfId="0" applyFont="1" applyBorder="1" applyAlignment="1">
      <alignment horizontal="center" vertical="center" wrapText="1"/>
    </xf>
    <xf numFmtId="0" fontId="8" fillId="0" borderId="0" xfId="0" applyFont="1" applyAlignment="1">
      <alignment horizontal="left" vertical="center"/>
    </xf>
    <xf numFmtId="0" fontId="9" fillId="0" borderId="8" xfId="7" applyFont="1" applyBorder="1" applyAlignment="1">
      <alignment horizontal="center" vertical="center" wrapText="1"/>
    </xf>
    <xf numFmtId="0" fontId="9" fillId="0" borderId="15" xfId="7" applyFont="1" applyBorder="1" applyAlignment="1">
      <alignment horizontal="center" vertical="center" wrapText="1"/>
    </xf>
    <xf numFmtId="0" fontId="10" fillId="0" borderId="1" xfId="0" applyFont="1" applyBorder="1" applyAlignment="1">
      <alignment horizontal="left" wrapText="1"/>
    </xf>
    <xf numFmtId="0" fontId="10" fillId="0" borderId="0" xfId="0" applyFont="1" applyAlignment="1">
      <alignment horizontal="left" wrapText="1"/>
    </xf>
    <xf numFmtId="0" fontId="8" fillId="2" borderId="0" xfId="0" applyFont="1" applyFill="1" applyAlignment="1">
      <alignment horizontal="left" vertical="top" wrapText="1"/>
    </xf>
    <xf numFmtId="0" fontId="8" fillId="2" borderId="0" xfId="8" applyFont="1" applyFill="1" applyAlignment="1">
      <alignment horizontal="left" vertical="top" wrapText="1"/>
    </xf>
    <xf numFmtId="0" fontId="33" fillId="2" borderId="0" xfId="0" applyFont="1" applyFill="1" applyAlignment="1">
      <alignment horizontal="left" vertical="top" wrapText="1"/>
    </xf>
    <xf numFmtId="0" fontId="33" fillId="2" borderId="0" xfId="0" applyFont="1" applyFill="1" applyAlignment="1">
      <alignment horizontal="left" vertical="center" wrapText="1"/>
    </xf>
    <xf numFmtId="0" fontId="0" fillId="0" borderId="0" xfId="0" applyAlignment="1">
      <alignment wrapText="1"/>
    </xf>
    <xf numFmtId="0" fontId="8" fillId="2" borderId="0" xfId="0" applyFont="1" applyFill="1" applyAlignment="1">
      <alignment horizontal="left" vertical="center"/>
    </xf>
    <xf numFmtId="0" fontId="9" fillId="2" borderId="19" xfId="0" applyFont="1" applyFill="1" applyBorder="1" applyAlignment="1">
      <alignment horizontal="center" wrapText="1"/>
    </xf>
    <xf numFmtId="0" fontId="9" fillId="0" borderId="19" xfId="0" applyFont="1" applyBorder="1" applyAlignment="1">
      <alignment horizontal="center" wrapText="1"/>
    </xf>
    <xf numFmtId="0" fontId="0" fillId="2" borderId="0" xfId="0" applyFill="1" applyAlignment="1">
      <alignment horizontal="left" wrapText="1"/>
    </xf>
    <xf numFmtId="0" fontId="8" fillId="0" borderId="0" xfId="11" applyFont="1" applyFill="1" applyAlignment="1">
      <alignment horizontal="left" vertical="center" wrapText="1"/>
    </xf>
    <xf numFmtId="0" fontId="9" fillId="0" borderId="0" xfId="0" applyFont="1" applyAlignment="1">
      <alignment horizontal="left"/>
    </xf>
    <xf numFmtId="0" fontId="8" fillId="0" borderId="0" xfId="11" applyFont="1" applyFill="1" applyAlignment="1">
      <alignment horizontal="left" wrapText="1"/>
    </xf>
    <xf numFmtId="0" fontId="8" fillId="0" borderId="0" xfId="0" applyFont="1" applyAlignment="1">
      <alignment horizontal="left" vertical="top" wrapText="1"/>
    </xf>
    <xf numFmtId="0" fontId="9" fillId="2" borderId="0" xfId="0" applyFont="1" applyFill="1" applyAlignment="1">
      <alignment horizontal="left"/>
    </xf>
    <xf numFmtId="0" fontId="16" fillId="0" borderId="0" xfId="11" applyFont="1" applyFill="1" applyAlignment="1">
      <alignment horizontal="center" vertical="center" wrapText="1"/>
    </xf>
    <xf numFmtId="0" fontId="22" fillId="0" borderId="1" xfId="0" applyFont="1" applyBorder="1" applyAlignment="1">
      <alignment horizontal="right" wrapText="1"/>
    </xf>
    <xf numFmtId="0" fontId="16" fillId="0" borderId="0" xfId="18" applyFont="1" applyAlignment="1">
      <alignment horizontal="left" vertical="top" wrapText="1"/>
    </xf>
    <xf numFmtId="0" fontId="9" fillId="0" borderId="1" xfId="0" applyFont="1" applyBorder="1" applyAlignment="1">
      <alignment horizontal="center" wrapText="1"/>
    </xf>
    <xf numFmtId="0" fontId="9" fillId="0" borderId="1" xfId="0" applyFont="1" applyBorder="1" applyAlignment="1">
      <alignment horizontal="center"/>
    </xf>
    <xf numFmtId="0" fontId="33" fillId="0" borderId="0" xfId="0" applyFont="1" applyAlignment="1">
      <alignment horizontal="left" vertical="top" wrapText="1"/>
    </xf>
    <xf numFmtId="0" fontId="9" fillId="0" borderId="10" xfId="0" applyFont="1" applyBorder="1" applyAlignment="1">
      <alignment horizontal="center"/>
    </xf>
    <xf numFmtId="0" fontId="9" fillId="0" borderId="1" xfId="4" applyFont="1" applyBorder="1" applyAlignment="1">
      <alignment horizontal="right"/>
    </xf>
  </cellXfs>
  <cellStyles count="23">
    <cellStyle name="Comma" xfId="1" builtinId="3"/>
    <cellStyle name="Comma 2" xfId="21" xr:uid="{00000000-0005-0000-0000-000001000000}"/>
    <cellStyle name="Comma 2 3" xfId="17" xr:uid="{00000000-0005-0000-0000-000002000000}"/>
    <cellStyle name="Heading 1 2" xfId="11" xr:uid="{00000000-0005-0000-0000-000003000000}"/>
    <cellStyle name="Heading 2 2" xfId="14" xr:uid="{00000000-0005-0000-0000-000004000000}"/>
    <cellStyle name="Hyperlink" xfId="3" builtinId="8"/>
    <cellStyle name="Normal" xfId="0" builtinId="0"/>
    <cellStyle name="Normal 16" xfId="18" xr:uid="{00000000-0005-0000-0000-000007000000}"/>
    <cellStyle name="Normal 2" xfId="20" xr:uid="{00000000-0005-0000-0000-000008000000}"/>
    <cellStyle name="Normal 2 2 3" xfId="4" xr:uid="{00000000-0005-0000-0000-000009000000}"/>
    <cellStyle name="Normal 3 2" xfId="16" xr:uid="{00000000-0005-0000-0000-00000A000000}"/>
    <cellStyle name="Normal 4" xfId="6" xr:uid="{00000000-0005-0000-0000-00000B000000}"/>
    <cellStyle name="Normal_Attacks Scotland" xfId="13" xr:uid="{00000000-0005-0000-0000-00000C000000}"/>
    <cellStyle name="Normal_Ethnicity" xfId="10" xr:uid="{00000000-0005-0000-0000-00000D000000}"/>
    <cellStyle name="Normal_new attacks" xfId="12" xr:uid="{00000000-0005-0000-0000-00000E000000}"/>
    <cellStyle name="Normal_Sheet1" xfId="5" xr:uid="{00000000-0005-0000-0000-00000F000000}"/>
    <cellStyle name="Normal_Sheet2" xfId="7" xr:uid="{00000000-0005-0000-0000-000010000000}"/>
    <cellStyle name="Normal_Sheet7" xfId="19" xr:uid="{00000000-0005-0000-0000-000011000000}"/>
    <cellStyle name="Normal_Table 2a" xfId="9" xr:uid="{00000000-0005-0000-0000-000012000000}"/>
    <cellStyle name="Per cent" xfId="2" builtinId="5"/>
    <cellStyle name="Percent 2" xfId="15" xr:uid="{00000000-0005-0000-0000-000014000000}"/>
    <cellStyle name="Percent 3" xfId="22" xr:uid="{00000000-0005-0000-0000-000015000000}"/>
    <cellStyle name="Title 2" xfId="8" xr:uid="{00000000-0005-0000-0000-000016000000}"/>
  </cellStyles>
  <dxfs count="277">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3" formatCode="_-* #,##0_-;\-* #,##0_-;_-* &quot;-&quot;_-;_-@_-"/>
    </dxf>
    <dxf>
      <numFmt numFmtId="33" formatCode="_-* #,##0_-;\-* #,##0_-;_-* &quot;-&quot;_-;_-@_-"/>
    </dxf>
    <dxf>
      <numFmt numFmtId="33" formatCode="_-* #,##0_-;\-* #,##0_-;_-* &quot;-&quot;_-;_-@_-"/>
    </dxf>
    <dxf>
      <numFmt numFmtId="33" formatCode="_-* #,##0_-;\-* #,##0_-;_-* &quot;-&quot;_-;_-@_-"/>
      <alignment horizontal="right" vertical="bottom" textRotation="0" wrapText="0" indent="0" justifyLastLine="0" shrinkToFit="0" readingOrder="0"/>
    </dxf>
    <dxf>
      <font>
        <b/>
      </font>
      <numFmt numFmtId="33" formatCode="_-* #,##0_-;\-* #,##0_-;_-* &quot;-&quot;_-;_-@_-"/>
    </dxf>
    <dxf>
      <font>
        <b/>
      </font>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font>
        <b/>
      </font>
      <numFmt numFmtId="0" formatCode="General"/>
    </dxf>
    <dxf>
      <border>
        <bottom style="thin">
          <color indexed="64"/>
        </bottom>
      </border>
    </dxf>
    <dxf>
      <font>
        <b/>
      </font>
      <border diagonalUp="0" diagonalDown="0">
        <left/>
        <right/>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_(* #,##0_);_(* \(#,##0\);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fill>
        <patternFill patternType="solid">
          <fgColor indexed="64"/>
          <bgColor theme="0" tint="-0.14999847407452621"/>
        </patternFill>
      </fill>
    </dxf>
    <dxf>
      <numFmt numFmtId="33" formatCode="_-* #,##0_-;\-* #,##0_-;_-* &quot;-&quot;_-;_-@_-"/>
    </dxf>
    <dxf>
      <numFmt numFmtId="33" formatCode="_-* #,##0_-;\-* #,##0_-;_-* &quot;-&quot;_-;_-@_-"/>
    </dxf>
    <dxf>
      <numFmt numFmtId="33" formatCode="_-* #,##0_-;\-* #,##0_-;_-* &quot;-&quot;_-;_-@_-"/>
    </dxf>
    <dxf>
      <numFmt numFmtId="33" formatCode="_-* #,##0_-;\-* #,##0_-;_-* &quot;-&quot;_-;_-@_-"/>
    </dxf>
    <dxf>
      <font>
        <b/>
      </font>
      <numFmt numFmtId="0" formatCode="General"/>
    </dxf>
    <dxf>
      <border>
        <bottom style="medium">
          <color indexed="64"/>
        </bottom>
      </border>
    </dxf>
    <dxf>
      <font>
        <b/>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3" formatCode="_-* #,##0_-;\-* #,##0_-;_-* &quot;-&quot;_-;_-@_-"/>
    </dxf>
    <dxf>
      <numFmt numFmtId="33" formatCode="_-* #,##0_-;\-* #,##0_-;_-* &quot;-&quot;_-;_-@_-"/>
      <alignment horizontal="right" vertical="bottom" textRotation="0" wrapText="0" indent="0" justifyLastLine="0" shrinkToFit="0" readingOrder="0"/>
    </dxf>
    <dxf>
      <numFmt numFmtId="33" formatCode="_-* #,##0_-;\-* #,##0_-;_-* &quot;-&quot;_-;_-@_-"/>
    </dxf>
    <dxf>
      <font>
        <b/>
      </font>
      <numFmt numFmtId="33" formatCode="_-* #,##0_-;\-* #,##0_-;_-* &quot;-&quot;_-;_-@_-"/>
    </dxf>
    <dxf>
      <numFmt numFmtId="33" formatCode="_-* #,##0_-;\-* #,##0_-;_-* &quot;-&quot;_-;_-@_-"/>
    </dxf>
    <dxf>
      <numFmt numFmtId="33" formatCode="_-* #,##0_-;\-* #,##0_-;_-* &quot;-&quot;_-;_-@_-"/>
    </dxf>
    <dxf>
      <font>
        <b/>
      </font>
      <fill>
        <patternFill patternType="solid">
          <fgColor indexed="64"/>
          <bgColor theme="0"/>
        </patternFill>
      </fill>
    </dxf>
    <dxf>
      <border outline="0">
        <bottom style="thin">
          <color indexed="64"/>
        </bottom>
      </border>
    </dxf>
    <dxf>
      <border>
        <bottom style="thin">
          <color indexed="64"/>
        </bottom>
      </border>
    </dxf>
    <dxf>
      <font>
        <b/>
      </font>
      <alignmen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font>
      <numFmt numFmtId="172" formatCode="0.0"/>
      <border diagonalUp="0" diagonalDown="0" outline="0">
        <left/>
        <right/>
        <top/>
        <bottom style="thin">
          <color indexed="64"/>
        </bottom>
      </border>
    </dxf>
    <dxf>
      <font>
        <b/>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i/>
      </font>
      <numFmt numFmtId="172" formatCode="0.0"/>
      <border diagonalUp="0" diagonalDown="0" outline="0">
        <left/>
        <right/>
        <top/>
        <bottom style="thin">
          <color indexed="64"/>
        </bottom>
      </border>
    </dxf>
    <dxf>
      <font>
        <b/>
      </font>
    </dxf>
    <dxf>
      <border>
        <bottom style="thin">
          <color indexed="64"/>
        </bottom>
      </border>
    </dxf>
    <dxf>
      <font>
        <b/>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solid">
          <fgColor indexed="64"/>
          <bgColor theme="2"/>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3" formatCode="_-* #,##0_-;\-* #,##0_-;_-* &quot;-&quot;_-;_-@_-"/>
      <fill>
        <patternFill>
          <fgColor indexed="64"/>
          <bgColor theme="0"/>
        </patternFill>
      </fill>
    </dxf>
    <dxf>
      <numFmt numFmtId="33" formatCode="_-* #,##0_-;\-* #,##0_-;_-* &quot;-&quot;_-;_-@_-"/>
      <fill>
        <patternFill>
          <fgColor indexed="64"/>
          <bgColor theme="0"/>
        </patternFill>
      </fill>
    </dxf>
    <dxf>
      <numFmt numFmtId="33" formatCode="_-* #,##0_-;\-* #,##0_-;_-* &quot;-&quot;_-;_-@_-"/>
      <fill>
        <patternFill>
          <fgColor indexed="64"/>
          <bgColor theme="0"/>
        </patternFill>
      </fill>
    </dxf>
    <dxf>
      <numFmt numFmtId="33" formatCode="_-* #,##0_-;\-* #,##0_-;_-* &quot;-&quot;_-;_-@_-"/>
      <fill>
        <patternFill>
          <fgColor indexed="64"/>
          <bgColor theme="0"/>
        </patternFill>
      </fill>
    </dxf>
    <dxf>
      <numFmt numFmtId="33" formatCode="_-* #,##0_-;\-* #,##0_-;_-* &quot;-&quot;_-;_-@_-"/>
      <fill>
        <patternFill>
          <fgColor indexed="64"/>
          <bgColor theme="0"/>
        </patternFill>
      </fill>
    </dxf>
    <dxf>
      <numFmt numFmtId="33" formatCode="_-* #,##0_-;\-* #,##0_-;_-* &quot;-&quot;_-;_-@_-"/>
      <fill>
        <patternFill>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dxf>
    <dxf>
      <font>
        <b/>
      </font>
      <numFmt numFmtId="0" formatCode="General"/>
      <fill>
        <patternFill patternType="solid">
          <fgColor indexed="64"/>
          <bgColor theme="0"/>
        </patternFill>
      </fill>
    </dxf>
    <dxf>
      <fill>
        <patternFill>
          <fgColor indexed="64"/>
          <bgColor theme="0"/>
        </patternFill>
      </fill>
    </dxf>
    <dxf>
      <border>
        <bottom style="thin">
          <color indexed="64"/>
        </bottom>
      </border>
    </dxf>
    <dxf>
      <font>
        <b/>
        <strike val="0"/>
        <outline val="0"/>
        <shadow val="0"/>
        <u val="none"/>
        <vertAlign val="baseline"/>
        <sz val="11"/>
        <color auto="1"/>
        <name val="Calibri"/>
        <family val="2"/>
        <scheme val="minor"/>
      </font>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0" formatCode="General"/>
      <fill>
        <patternFill patternType="solid">
          <fgColor indexed="64"/>
          <bgColor theme="0"/>
        </patternFill>
      </fill>
    </dxf>
    <dxf>
      <numFmt numFmtId="0" formatCode="General"/>
      <fill>
        <patternFill patternType="solid">
          <fgColor indexed="64"/>
          <bgColor theme="0"/>
        </patternFill>
      </fill>
    </dxf>
    <dxf>
      <font>
        <b/>
      </font>
      <numFmt numFmtId="0" formatCode="General"/>
      <fill>
        <patternFill patternType="solid">
          <fgColor indexed="64"/>
          <bgColor theme="0"/>
        </patternFill>
      </fill>
    </dxf>
    <dxf>
      <fill>
        <patternFill patternType="solid">
          <fgColor indexed="64"/>
          <bgColor theme="0"/>
        </patternFill>
      </fill>
    </dxf>
    <dxf>
      <border>
        <bottom style="thin">
          <color indexed="64"/>
        </bottom>
      </border>
    </dxf>
    <dxf>
      <font>
        <b/>
        <strike val="0"/>
        <outline val="0"/>
        <shadow val="0"/>
        <u val="none"/>
        <vertAlign val="baseline"/>
        <sz val="11"/>
        <color auto="1"/>
        <name val="Calibri"/>
        <family val="2"/>
        <scheme val="minor"/>
      </font>
      <fill>
        <patternFill patternType="solid">
          <fgColor indexed="64"/>
          <bgColor theme="0"/>
        </patternFill>
      </fill>
    </dxf>
    <dxf>
      <numFmt numFmtId="0" formatCode="General"/>
    </dxf>
    <dxf>
      <numFmt numFmtId="0" formatCode="General"/>
    </dxf>
    <dxf>
      <numFmt numFmtId="0" formatCode="General"/>
    </dxf>
    <dxf>
      <numFmt numFmtId="0" formatCode="General"/>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font>
        <b/>
      </font>
      <numFmt numFmtId="0" formatCode="General"/>
      <border diagonalUp="0" diagonalDown="0">
        <left/>
        <right/>
        <top/>
        <bottom style="thin">
          <color indexed="64"/>
        </bottom>
        <vertical/>
        <horizontal/>
      </border>
    </dxf>
    <dxf>
      <border>
        <bottom style="thin">
          <color indexed="64"/>
        </bottom>
      </border>
    </dxf>
    <dxf>
      <font>
        <b/>
      </font>
    </dxf>
    <dxf>
      <numFmt numFmtId="0" formatCode="General"/>
    </dxf>
    <dxf>
      <numFmt numFmtId="33" formatCode="_-* #,##0_-;\-* #,##0_-;_-* &quot;-&quot;_-;_-@_-"/>
      <border diagonalUp="0" diagonalDown="0">
        <left/>
        <right/>
        <top/>
        <bottom style="medium">
          <color indexed="64"/>
        </bottom>
        <vertical/>
        <horizontal/>
      </border>
    </dxf>
    <dxf>
      <numFmt numFmtId="33" formatCode="_-* #,##0_-;\-* #,##0_-;_-* &quot;-&quot;_-;_-@_-"/>
      <border diagonalUp="0" diagonalDown="0">
        <left/>
        <right/>
        <top/>
        <bottom style="medium">
          <color indexed="64"/>
        </bottom>
        <vertical/>
        <horizontal/>
      </border>
    </dxf>
    <dxf>
      <numFmt numFmtId="33" formatCode="_-* #,##0_-;\-* #,##0_-;_-* &quot;-&quot;_-;_-@_-"/>
      <border diagonalUp="0" diagonalDown="0">
        <left/>
        <right/>
        <top/>
        <bottom style="medium">
          <color indexed="64"/>
        </bottom>
        <vertical/>
        <horizontal/>
      </border>
    </dxf>
    <dxf>
      <numFmt numFmtId="33" formatCode="_-* #,##0_-;\-* #,##0_-;_-* &quot;-&quot;_-;_-@_-"/>
      <border diagonalUp="0" diagonalDown="0">
        <left/>
        <right/>
        <top/>
        <bottom style="medium">
          <color indexed="64"/>
        </bottom>
        <vertical/>
        <horizontal/>
      </border>
    </dxf>
    <dxf>
      <numFmt numFmtId="33" formatCode="_-* #,##0_-;\-* #,##0_-;_-* &quot;-&quot;_-;_-@_-"/>
      <border diagonalUp="0" diagonalDown="0">
        <left/>
        <right/>
        <top/>
        <bottom style="medium">
          <color indexed="64"/>
        </bottom>
        <vertical/>
        <horizontal/>
      </border>
    </dxf>
    <dxf>
      <numFmt numFmtId="33" formatCode="_-* #,##0_-;\-* #,##0_-;_-* &quot;-&quot;_-;_-@_-"/>
      <border diagonalUp="0" diagonalDown="0">
        <left/>
        <right/>
        <top/>
        <bottom style="medium">
          <color indexed="64"/>
        </bottom>
        <vertical/>
        <horizontal/>
      </border>
    </dxf>
    <dxf>
      <font>
        <b/>
      </font>
      <numFmt numFmtId="0" formatCode="General"/>
      <border diagonalUp="0" diagonalDown="0">
        <left/>
        <right/>
        <top/>
        <bottom style="medium">
          <color indexed="64"/>
        </bottom>
        <vertical/>
        <horizontal/>
      </border>
    </dxf>
    <dxf>
      <border>
        <bottom style="thin">
          <color indexed="64"/>
        </bottom>
      </border>
    </dxf>
    <dxf>
      <font>
        <b/>
      </font>
    </dxf>
    <dxf>
      <font>
        <b/>
      </font>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numFmt numFmtId="33" formatCode="_-* #,##0_-;\-* #,##0_-;_-* &quot;-&quot;_-;_-@_-"/>
      <border diagonalUp="0" diagonalDown="0">
        <left/>
        <right/>
        <top/>
        <bottom style="thin">
          <color indexed="64"/>
        </bottom>
        <vertical/>
        <horizontal/>
      </border>
    </dxf>
    <dxf>
      <font>
        <b/>
      </font>
      <numFmt numFmtId="0" formatCode="General"/>
      <border diagonalUp="0" diagonalDown="0">
        <left/>
        <right/>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righ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font>
      <numFmt numFmtId="0" formatCode="General"/>
    </dxf>
    <dxf>
      <border>
        <bottom style="thin">
          <color indexed="64"/>
        </bottom>
      </border>
    </dxf>
    <dxf>
      <font>
        <b/>
      </font>
    </dxf>
  </dxfs>
  <tableStyles count="0" defaultTableStyle="TableStyleMedium2" defaultPivotStyle="PivotStyleLight16"/>
  <colors>
    <mruColors>
      <color rgb="FF86C45C"/>
      <color rgb="FFD06800"/>
      <color rgb="FFEE9F00"/>
      <color rgb="FF74B943"/>
      <color rgb="FF81C1B0"/>
      <color rgb="FF4E7AB0"/>
      <color rgb="FF8486B4"/>
      <color rgb="FF99252E"/>
      <color rgb="FFFFAFF0"/>
      <color rgb="FFCF9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customXml" Target="../customXml/item3.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pivotCacheDefinition" Target="pivotCache/pivotCacheDefinition38.xml"/><Relationship Id="rId268" Type="http://schemas.microsoft.com/office/2007/relationships/slicerCache" Target="slicerCaches/slicerCache13.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pivotCacheDefinition" Target="pivotCache/pivotCacheDefinition49.xml"/><Relationship Id="rId279" Type="http://schemas.microsoft.com/office/2007/relationships/slicerCache" Target="slicerCaches/slicerCache2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microsoft.com/office/2007/relationships/slicerCache" Target="slicerCaches/slicerCache35.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pivotCacheDefinition" Target="pivotCache/pivotCacheDefinition4.xml"/><Relationship Id="rId206" Type="http://schemas.openxmlformats.org/officeDocument/2006/relationships/pivotCacheDefinition" Target="pivotCache/pivotCacheDefinition18.xml"/><Relationship Id="rId248" Type="http://schemas.openxmlformats.org/officeDocument/2006/relationships/pivotCacheDefinition" Target="pivotCache/pivotCacheDefinition60.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pivotCacheDefinition" Target="pivotCache/pivotCacheDefinition29.xml"/><Relationship Id="rId6" Type="http://schemas.openxmlformats.org/officeDocument/2006/relationships/worksheet" Target="worksheets/sheet6.xml"/><Relationship Id="rId238" Type="http://schemas.openxmlformats.org/officeDocument/2006/relationships/pivotCacheDefinition" Target="pivotCache/pivotCacheDefinition50.xml"/><Relationship Id="rId259" Type="http://schemas.microsoft.com/office/2007/relationships/slicerCache" Target="slicerCaches/slicerCache4.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microsoft.com/office/2007/relationships/slicerCache" Target="slicerCaches/slicerCache15.xml"/><Relationship Id="rId291" Type="http://schemas.microsoft.com/office/2007/relationships/slicerCache" Target="slicerCaches/slicerCache36.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pivotCacheDefinition" Target="pivotCache/pivotCacheDefinition5.xml"/><Relationship Id="rId207" Type="http://schemas.openxmlformats.org/officeDocument/2006/relationships/pivotCacheDefinition" Target="pivotCache/pivotCacheDefinition19.xml"/><Relationship Id="rId228" Type="http://schemas.openxmlformats.org/officeDocument/2006/relationships/pivotCacheDefinition" Target="pivotCache/pivotCacheDefinition40.xml"/><Relationship Id="rId249" Type="http://schemas.openxmlformats.org/officeDocument/2006/relationships/pivotCacheDefinition" Target="pivotCache/pivotCacheDefinition61.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microsoft.com/office/2007/relationships/slicerCache" Target="slicerCaches/slicerCache5.xml"/><Relationship Id="rId281" Type="http://schemas.microsoft.com/office/2007/relationships/slicerCache" Target="slicerCaches/slicerCache2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pivotCacheDefinition" Target="pivotCache/pivotCacheDefinition30.xml"/><Relationship Id="rId239" Type="http://schemas.openxmlformats.org/officeDocument/2006/relationships/pivotCacheDefinition" Target="pivotCache/pivotCacheDefinition51.xml"/><Relationship Id="rId250" Type="http://schemas.openxmlformats.org/officeDocument/2006/relationships/pivotCacheDefinition" Target="pivotCache/pivotCacheDefinition62.xml"/><Relationship Id="rId271" Type="http://schemas.microsoft.com/office/2007/relationships/slicerCache" Target="slicerCaches/slicerCache16.xml"/><Relationship Id="rId292" Type="http://schemas.openxmlformats.org/officeDocument/2006/relationships/theme" Target="theme/theme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pivotCacheDefinition" Target="pivotCache/pivotCacheDefinition6.xml"/><Relationship Id="rId208" Type="http://schemas.openxmlformats.org/officeDocument/2006/relationships/pivotCacheDefinition" Target="pivotCache/pivotCacheDefinition20.xml"/><Relationship Id="rId229" Type="http://schemas.openxmlformats.org/officeDocument/2006/relationships/pivotCacheDefinition" Target="pivotCache/pivotCacheDefinition41.xml"/><Relationship Id="rId240" Type="http://schemas.openxmlformats.org/officeDocument/2006/relationships/pivotCacheDefinition" Target="pivotCache/pivotCacheDefinition52.xml"/><Relationship Id="rId261" Type="http://schemas.microsoft.com/office/2007/relationships/slicerCache" Target="slicerCaches/slicerCache6.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microsoft.com/office/2007/relationships/slicerCache" Target="slicerCaches/slicerCache27.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pivotCacheDefinition" Target="pivotCache/pivotCacheDefinition31.xml"/><Relationship Id="rId230" Type="http://schemas.openxmlformats.org/officeDocument/2006/relationships/pivotCacheDefinition" Target="pivotCache/pivotCacheDefinition42.xml"/><Relationship Id="rId251" Type="http://schemas.openxmlformats.org/officeDocument/2006/relationships/pivotCacheDefinition" Target="pivotCache/pivotCacheDefinition6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microsoft.com/office/2007/relationships/slicerCache" Target="slicerCaches/slicerCache17.xml"/><Relationship Id="rId293" Type="http://schemas.openxmlformats.org/officeDocument/2006/relationships/connections" Target="connections.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pivotCacheDefinition" Target="pivotCache/pivotCacheDefinition7.xml"/><Relationship Id="rId209" Type="http://schemas.openxmlformats.org/officeDocument/2006/relationships/pivotCacheDefinition" Target="pivotCache/pivotCacheDefinition21.xml"/><Relationship Id="rId220" Type="http://schemas.openxmlformats.org/officeDocument/2006/relationships/pivotCacheDefinition" Target="pivotCache/pivotCacheDefinition32.xml"/><Relationship Id="rId241" Type="http://schemas.openxmlformats.org/officeDocument/2006/relationships/pivotCacheDefinition" Target="pivotCache/pivotCacheDefinition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microsoft.com/office/2007/relationships/slicerCache" Target="slicerCaches/slicerCache7.xml"/><Relationship Id="rId283" Type="http://schemas.microsoft.com/office/2007/relationships/slicerCache" Target="slicerCaches/slicerCache28.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pivotCacheDefinition" Target="pivotCache/pivotCacheDefinition22.xml"/><Relationship Id="rId26" Type="http://schemas.openxmlformats.org/officeDocument/2006/relationships/worksheet" Target="worksheets/sheet26.xml"/><Relationship Id="rId231" Type="http://schemas.openxmlformats.org/officeDocument/2006/relationships/pivotCacheDefinition" Target="pivotCache/pivotCacheDefinition43.xml"/><Relationship Id="rId252" Type="http://schemas.openxmlformats.org/officeDocument/2006/relationships/pivotCacheDefinition" Target="pivotCache/pivotCacheDefinition64.xml"/><Relationship Id="rId273" Type="http://schemas.microsoft.com/office/2007/relationships/slicerCache" Target="slicerCaches/slicerCache18.xml"/><Relationship Id="rId294" Type="http://schemas.openxmlformats.org/officeDocument/2006/relationships/styles" Target="style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pivotCacheDefinition" Target="pivotCache/pivotCacheDefinition8.xml"/><Relationship Id="rId200" Type="http://schemas.openxmlformats.org/officeDocument/2006/relationships/pivotCacheDefinition" Target="pivotCache/pivotCacheDefinition12.xml"/><Relationship Id="rId16" Type="http://schemas.openxmlformats.org/officeDocument/2006/relationships/worksheet" Target="worksheets/sheet16.xml"/><Relationship Id="rId221" Type="http://schemas.openxmlformats.org/officeDocument/2006/relationships/pivotCacheDefinition" Target="pivotCache/pivotCacheDefinition33.xml"/><Relationship Id="rId242" Type="http://schemas.openxmlformats.org/officeDocument/2006/relationships/pivotCacheDefinition" Target="pivotCache/pivotCacheDefinition54.xml"/><Relationship Id="rId263" Type="http://schemas.microsoft.com/office/2007/relationships/slicerCache" Target="slicerCaches/slicerCache8.xml"/><Relationship Id="rId284" Type="http://schemas.microsoft.com/office/2007/relationships/slicerCache" Target="slicerCaches/slicerCache2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pivotCacheDefinition" Target="pivotCache/pivotCacheDefinition23.xml"/><Relationship Id="rId232" Type="http://schemas.openxmlformats.org/officeDocument/2006/relationships/pivotCacheDefinition" Target="pivotCache/pivotCacheDefinition44.xml"/><Relationship Id="rId253" Type="http://schemas.openxmlformats.org/officeDocument/2006/relationships/pivotCacheDefinition" Target="pivotCache/pivotCacheDefinition65.xml"/><Relationship Id="rId274" Type="http://schemas.microsoft.com/office/2007/relationships/slicerCache" Target="slicerCaches/slicerCache19.xml"/><Relationship Id="rId29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pivotCacheDefinition" Target="pivotCache/pivotCacheDefinition9.xml"/><Relationship Id="rId201" Type="http://schemas.openxmlformats.org/officeDocument/2006/relationships/pivotCacheDefinition" Target="pivotCache/pivotCacheDefinition13.xml"/><Relationship Id="rId222" Type="http://schemas.openxmlformats.org/officeDocument/2006/relationships/pivotCacheDefinition" Target="pivotCache/pivotCacheDefinition34.xml"/><Relationship Id="rId243" Type="http://schemas.openxmlformats.org/officeDocument/2006/relationships/pivotCacheDefinition" Target="pivotCache/pivotCacheDefinition55.xml"/><Relationship Id="rId264" Type="http://schemas.microsoft.com/office/2007/relationships/slicerCache" Target="slicerCaches/slicerCache9.xml"/><Relationship Id="rId285" Type="http://schemas.microsoft.com/office/2007/relationships/slicerCache" Target="slicerCaches/slicerCache3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pivotCacheDefinition" Target="pivotCache/pivotCacheDefinition24.xml"/><Relationship Id="rId233" Type="http://schemas.openxmlformats.org/officeDocument/2006/relationships/pivotCacheDefinition" Target="pivotCache/pivotCacheDefinition45.xml"/><Relationship Id="rId254" Type="http://schemas.openxmlformats.org/officeDocument/2006/relationships/pivotCacheDefinition" Target="pivotCache/pivotCacheDefinition66.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microsoft.com/office/2007/relationships/slicerCache" Target="slicerCaches/slicerCache20.xml"/><Relationship Id="rId296" Type="http://schemas.openxmlformats.org/officeDocument/2006/relationships/calcChain" Target="calcChain.xml"/><Relationship Id="rId300" Type="http://schemas.openxmlformats.org/officeDocument/2006/relationships/customXml" Target="../customXml/item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pivotCacheDefinition" Target="pivotCache/pivotCacheDefinition10.xml"/><Relationship Id="rId202" Type="http://schemas.openxmlformats.org/officeDocument/2006/relationships/pivotCacheDefinition" Target="pivotCache/pivotCacheDefinition14.xml"/><Relationship Id="rId223" Type="http://schemas.openxmlformats.org/officeDocument/2006/relationships/pivotCacheDefinition" Target="pivotCache/pivotCacheDefinition35.xml"/><Relationship Id="rId244" Type="http://schemas.openxmlformats.org/officeDocument/2006/relationships/pivotCacheDefinition" Target="pivotCache/pivotCacheDefinition56.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microsoft.com/office/2007/relationships/slicerCache" Target="slicerCaches/slicerCache10.xml"/><Relationship Id="rId286" Type="http://schemas.microsoft.com/office/2007/relationships/slicerCache" Target="slicerCaches/slicerCache31.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pivotCacheDefinition" Target="pivotCache/pivotCacheDefinition25.xml"/><Relationship Id="rId234" Type="http://schemas.openxmlformats.org/officeDocument/2006/relationships/pivotCacheDefinition" Target="pivotCache/pivotCacheDefinition46.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pivotCacheDefinition" Target="pivotCache/pivotCacheDefinition67.xml"/><Relationship Id="rId276" Type="http://schemas.microsoft.com/office/2007/relationships/slicerCache" Target="slicerCaches/slicerCache21.xml"/><Relationship Id="rId297" Type="http://schemas.openxmlformats.org/officeDocument/2006/relationships/customXml" Target="../customXml/item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customXml" Target="../customXml/item5.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pivotCacheDefinition" Target="pivotCache/pivotCacheDefinition11.xml"/><Relationship Id="rId203" Type="http://schemas.openxmlformats.org/officeDocument/2006/relationships/pivotCacheDefinition" Target="pivotCache/pivotCacheDefinition15.xml"/><Relationship Id="rId19" Type="http://schemas.openxmlformats.org/officeDocument/2006/relationships/worksheet" Target="worksheets/sheet19.xml"/><Relationship Id="rId224" Type="http://schemas.openxmlformats.org/officeDocument/2006/relationships/pivotCacheDefinition" Target="pivotCache/pivotCacheDefinition36.xml"/><Relationship Id="rId245" Type="http://schemas.openxmlformats.org/officeDocument/2006/relationships/pivotCacheDefinition" Target="pivotCache/pivotCacheDefinition57.xml"/><Relationship Id="rId266" Type="http://schemas.microsoft.com/office/2007/relationships/slicerCache" Target="slicerCaches/slicerCache11.xml"/><Relationship Id="rId287" Type="http://schemas.microsoft.com/office/2007/relationships/slicerCache" Target="slicerCaches/slicerCache32.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pivotCacheDefinition" Target="pivotCache/pivotCacheDefinition1.xml"/><Relationship Id="rId3" Type="http://schemas.openxmlformats.org/officeDocument/2006/relationships/worksheet" Target="worksheets/sheet3.xml"/><Relationship Id="rId214" Type="http://schemas.openxmlformats.org/officeDocument/2006/relationships/pivotCacheDefinition" Target="pivotCache/pivotCacheDefinition26.xml"/><Relationship Id="rId235" Type="http://schemas.openxmlformats.org/officeDocument/2006/relationships/pivotCacheDefinition" Target="pivotCache/pivotCacheDefinition47.xml"/><Relationship Id="rId256" Type="http://schemas.microsoft.com/office/2007/relationships/slicerCache" Target="slicerCaches/slicerCache1.xml"/><Relationship Id="rId277" Type="http://schemas.microsoft.com/office/2007/relationships/slicerCache" Target="slicerCaches/slicerCache22.xml"/><Relationship Id="rId298" Type="http://schemas.openxmlformats.org/officeDocument/2006/relationships/customXml" Target="../customXml/item2.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pivotCacheDefinition" Target="pivotCache/pivotCacheDefinition2.xml"/><Relationship Id="rId204" Type="http://schemas.openxmlformats.org/officeDocument/2006/relationships/pivotCacheDefinition" Target="pivotCache/pivotCacheDefinition16.xml"/><Relationship Id="rId225" Type="http://schemas.openxmlformats.org/officeDocument/2006/relationships/pivotCacheDefinition" Target="pivotCache/pivotCacheDefinition37.xml"/><Relationship Id="rId246" Type="http://schemas.openxmlformats.org/officeDocument/2006/relationships/pivotCacheDefinition" Target="pivotCache/pivotCacheDefinition58.xml"/><Relationship Id="rId267" Type="http://schemas.microsoft.com/office/2007/relationships/slicerCache" Target="slicerCaches/slicerCache12.xml"/><Relationship Id="rId288" Type="http://schemas.microsoft.com/office/2007/relationships/slicerCache" Target="slicerCaches/slicerCache33.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pivotCacheDefinition" Target="pivotCache/pivotCacheDefinition27.xml"/><Relationship Id="rId236" Type="http://schemas.openxmlformats.org/officeDocument/2006/relationships/pivotCacheDefinition" Target="pivotCache/pivotCacheDefinition48.xml"/><Relationship Id="rId257" Type="http://schemas.microsoft.com/office/2007/relationships/slicerCache" Target="slicerCaches/slicerCache2.xml"/><Relationship Id="rId278" Type="http://schemas.microsoft.com/office/2007/relationships/slicerCache" Target="slicerCaches/slicerCache2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pivotCacheDefinition" Target="pivotCache/pivotCacheDefinition3.xml"/><Relationship Id="rId205" Type="http://schemas.openxmlformats.org/officeDocument/2006/relationships/pivotCacheDefinition" Target="pivotCache/pivotCacheDefinition17.xml"/><Relationship Id="rId247" Type="http://schemas.openxmlformats.org/officeDocument/2006/relationships/pivotCacheDefinition" Target="pivotCache/pivotCacheDefinition59.xml"/><Relationship Id="rId107" Type="http://schemas.openxmlformats.org/officeDocument/2006/relationships/worksheet" Target="worksheets/sheet107.xml"/><Relationship Id="rId289" Type="http://schemas.microsoft.com/office/2007/relationships/slicerCache" Target="slicerCaches/slicerCache3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pivotCacheDefinition" Target="pivotCache/pivotCacheDefinition28.xml"/><Relationship Id="rId258" Type="http://schemas.microsoft.com/office/2007/relationships/slicerCache" Target="slicerCaches/slicerCache3.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pivotCacheDefinition" Target="pivotCache/pivotCacheDefinition39.xml"/><Relationship Id="rId269" Type="http://schemas.microsoft.com/office/2007/relationships/slicerCache" Target="slicerCaches/slicerCache1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microsoft.com/office/2007/relationships/slicerCache" Target="slicerCaches/slicerCache25.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s>
</file>

<file path=xl/drawings/_rels/drawing5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71.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7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7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74.xml.rels><?xml version="1.0" encoding="UTF-8" standalone="yes"?>
<Relationships xmlns="http://schemas.openxmlformats.org/package/2006/relationships"><Relationship Id="rId1" Type="http://schemas.openxmlformats.org/officeDocument/2006/relationships/image" Target="../media/image29.png"/></Relationships>
</file>

<file path=xl/drawings/_rels/drawing7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6.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78.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8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89.xml.rels><?xml version="1.0" encoding="UTF-8" standalone="yes"?>
<Relationships xmlns="http://schemas.openxmlformats.org/package/2006/relationships"><Relationship Id="rId1" Type="http://schemas.openxmlformats.org/officeDocument/2006/relationships/image" Target="../media/image39.png"/></Relationships>
</file>

<file path=xl/drawings/drawing1.xml><?xml version="1.0" encoding="utf-8"?>
<xdr:wsDr xmlns:xdr="http://schemas.openxmlformats.org/drawingml/2006/spreadsheetDrawing" xmlns:a="http://schemas.openxmlformats.org/drawingml/2006/main">
  <xdr:twoCellAnchor editAs="absolute">
    <xdr:from>
      <xdr:col>3</xdr:col>
      <xdr:colOff>617713</xdr:colOff>
      <xdr:row>2</xdr:row>
      <xdr:rowOff>87312</xdr:rowOff>
    </xdr:from>
    <xdr:to>
      <xdr:col>5</xdr:col>
      <xdr:colOff>931333</xdr:colOff>
      <xdr:row>4</xdr:row>
      <xdr:rowOff>146050</xdr:rowOff>
    </xdr:to>
    <mc:AlternateContent xmlns:mc="http://schemas.openxmlformats.org/markup-compatibility/2006" xmlns:sle15="http://schemas.microsoft.com/office/drawing/2012/slicer">
      <mc:Choice Requires="sle15">
        <xdr:graphicFrame macro="">
          <xdr:nvGraphicFramePr>
            <xdr:cNvPr id="3" name="FisYr 16">
              <a:extLst>
                <a:ext uri="{FF2B5EF4-FFF2-40B4-BE49-F238E27FC236}">
                  <a16:creationId xmlns:a16="http://schemas.microsoft.com/office/drawing/2014/main" id="{27CA9CFA-6B65-45A8-8A64-5B4327D76BB1}"/>
                </a:ext>
              </a:extLst>
            </xdr:cNvPr>
            <xdr:cNvGraphicFramePr/>
          </xdr:nvGraphicFramePr>
          <xdr:xfrm>
            <a:off x="0" y="0"/>
            <a:ext cx="0" cy="0"/>
          </xdr:xfrm>
          <a:graphic>
            <a:graphicData uri="http://schemas.microsoft.com/office/drawing/2010/slicer">
              <sle:slicer xmlns:sle="http://schemas.microsoft.com/office/drawing/2010/slicer" name="FisYr 16"/>
            </a:graphicData>
          </a:graphic>
        </xdr:graphicFrame>
      </mc:Choice>
      <mc:Fallback xmlns="">
        <xdr:sp macro="" textlink="">
          <xdr:nvSpPr>
            <xdr:cNvPr id="0" name=""/>
            <xdr:cNvSpPr>
              <a:spLocks noTextEdit="1"/>
            </xdr:cNvSpPr>
          </xdr:nvSpPr>
          <xdr:spPr>
            <a:xfrm>
              <a:off x="4151841" y="461962"/>
              <a:ext cx="3543476" cy="481719"/>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266701</xdr:colOff>
      <xdr:row>3</xdr:row>
      <xdr:rowOff>66675</xdr:rowOff>
    </xdr:from>
    <xdr:to>
      <xdr:col>7</xdr:col>
      <xdr:colOff>552451</xdr:colOff>
      <xdr:row>5</xdr:row>
      <xdr:rowOff>133350</xdr:rowOff>
    </xdr:to>
    <mc:AlternateContent xmlns:mc="http://schemas.openxmlformats.org/markup-compatibility/2006" xmlns:a14="http://schemas.microsoft.com/office/drawing/2010/main">
      <mc:Choice Requires="a14">
        <xdr:graphicFrame macro="">
          <xdr:nvGraphicFramePr>
            <xdr:cNvPr id="5" name="Year 62">
              <a:extLst>
                <a:ext uri="{FF2B5EF4-FFF2-40B4-BE49-F238E27FC236}">
                  <a16:creationId xmlns:a16="http://schemas.microsoft.com/office/drawing/2014/main" id="{D667FAEB-EE5F-4368-A4DD-95E874F1B8C0}"/>
                </a:ext>
              </a:extLst>
            </xdr:cNvPr>
            <xdr:cNvGraphicFramePr/>
          </xdr:nvGraphicFramePr>
          <xdr:xfrm>
            <a:off x="0" y="0"/>
            <a:ext cx="0" cy="0"/>
          </xdr:xfrm>
          <a:graphic>
            <a:graphicData uri="http://schemas.microsoft.com/office/drawing/2010/slicer">
              <sle:slicer xmlns:sle="http://schemas.microsoft.com/office/drawing/2010/slicer" name="Year 62"/>
            </a:graphicData>
          </a:graphic>
        </xdr:graphicFrame>
      </mc:Choice>
      <mc:Fallback xmlns="">
        <xdr:sp macro="" textlink="">
          <xdr:nvSpPr>
            <xdr:cNvPr id="0" name=""/>
            <xdr:cNvSpPr>
              <a:spLocks noTextEdit="1"/>
            </xdr:cNvSpPr>
          </xdr:nvSpPr>
          <xdr:spPr>
            <a:xfrm>
              <a:off x="4559300" y="704850"/>
              <a:ext cx="2997200" cy="692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3892550</xdr:colOff>
      <xdr:row>7</xdr:row>
      <xdr:rowOff>50801</xdr:rowOff>
    </xdr:from>
    <xdr:to>
      <xdr:col>2</xdr:col>
      <xdr:colOff>996950</xdr:colOff>
      <xdr:row>11</xdr:row>
      <xdr:rowOff>44450</xdr:rowOff>
    </xdr:to>
    <mc:AlternateContent xmlns:mc="http://schemas.openxmlformats.org/markup-compatibility/2006" xmlns:a14="http://schemas.microsoft.com/office/drawing/2010/main">
      <mc:Choice Requires="a14">
        <xdr:graphicFrame macro="">
          <xdr:nvGraphicFramePr>
            <xdr:cNvPr id="2" name="Year 25">
              <a:extLst>
                <a:ext uri="{FF2B5EF4-FFF2-40B4-BE49-F238E27FC236}">
                  <a16:creationId xmlns:a16="http://schemas.microsoft.com/office/drawing/2014/main" id="{B78E8EFF-9C9D-4ADC-BAB5-FD3E7AEDFE86}"/>
                </a:ext>
              </a:extLst>
            </xdr:cNvPr>
            <xdr:cNvGraphicFramePr/>
          </xdr:nvGraphicFramePr>
          <xdr:xfrm>
            <a:off x="0" y="0"/>
            <a:ext cx="0" cy="0"/>
          </xdr:xfrm>
          <a:graphic>
            <a:graphicData uri="http://schemas.microsoft.com/office/drawing/2010/slicer">
              <sle:slicer xmlns:sle="http://schemas.microsoft.com/office/drawing/2010/slicer" name="Year 25"/>
            </a:graphicData>
          </a:graphic>
        </xdr:graphicFrame>
      </mc:Choice>
      <mc:Fallback xmlns="">
        <xdr:sp macro="" textlink="">
          <xdr:nvSpPr>
            <xdr:cNvPr id="0" name=""/>
            <xdr:cNvSpPr>
              <a:spLocks noTextEdit="1"/>
            </xdr:cNvSpPr>
          </xdr:nvSpPr>
          <xdr:spPr>
            <a:xfrm>
              <a:off x="3892550" y="1339851"/>
              <a:ext cx="3028950" cy="736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2085975</xdr:colOff>
      <xdr:row>0</xdr:row>
      <xdr:rowOff>85726</xdr:rowOff>
    </xdr:from>
    <xdr:to>
      <xdr:col>4</xdr:col>
      <xdr:colOff>333375</xdr:colOff>
      <xdr:row>1</xdr:row>
      <xdr:rowOff>123825</xdr:rowOff>
    </xdr:to>
    <mc:AlternateContent xmlns:mc="http://schemas.openxmlformats.org/markup-compatibility/2006" xmlns:a14="http://schemas.microsoft.com/office/drawing/2010/main">
      <mc:Choice Requires="a14">
        <xdr:graphicFrame macro="">
          <xdr:nvGraphicFramePr>
            <xdr:cNvPr id="3" name="Year 26">
              <a:extLst>
                <a:ext uri="{FF2B5EF4-FFF2-40B4-BE49-F238E27FC236}">
                  <a16:creationId xmlns:a16="http://schemas.microsoft.com/office/drawing/2014/main" id="{31E336FB-4C37-4BAE-9AF8-497FCEE5DEFF}"/>
                </a:ext>
              </a:extLst>
            </xdr:cNvPr>
            <xdr:cNvGraphicFramePr/>
          </xdr:nvGraphicFramePr>
          <xdr:xfrm>
            <a:off x="0" y="0"/>
            <a:ext cx="0" cy="0"/>
          </xdr:xfrm>
          <a:graphic>
            <a:graphicData uri="http://schemas.microsoft.com/office/drawing/2010/slicer">
              <sle:slicer xmlns:sle="http://schemas.microsoft.com/office/drawing/2010/slicer" name="Year 26"/>
            </a:graphicData>
          </a:graphic>
        </xdr:graphicFrame>
      </mc:Choice>
      <mc:Fallback xmlns="">
        <xdr:sp macro="" textlink="">
          <xdr:nvSpPr>
            <xdr:cNvPr id="0" name=""/>
            <xdr:cNvSpPr>
              <a:spLocks noTextEdit="1"/>
            </xdr:cNvSpPr>
          </xdr:nvSpPr>
          <xdr:spPr>
            <a:xfrm>
              <a:off x="3282950" y="82551"/>
              <a:ext cx="3467100" cy="4190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2989263</xdr:colOff>
      <xdr:row>2</xdr:row>
      <xdr:rowOff>44451</xdr:rowOff>
    </xdr:from>
    <xdr:to>
      <xdr:col>6</xdr:col>
      <xdr:colOff>464343</xdr:colOff>
      <xdr:row>4</xdr:row>
      <xdr:rowOff>95250</xdr:rowOff>
    </xdr:to>
    <mc:AlternateContent xmlns:mc="http://schemas.openxmlformats.org/markup-compatibility/2006" xmlns:sle15="http://schemas.microsoft.com/office/drawing/2012/slicer">
      <mc:Choice Requires="sle15">
        <xdr:graphicFrame macro="">
          <xdr:nvGraphicFramePr>
            <xdr:cNvPr id="4" name="Year">
              <a:extLst>
                <a:ext uri="{FF2B5EF4-FFF2-40B4-BE49-F238E27FC236}">
                  <a16:creationId xmlns:a16="http://schemas.microsoft.com/office/drawing/2014/main" id="{2EA6DA28-9B13-C7E9-2380-FD84E1F955CA}"/>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4264025" y="469901"/>
              <a:ext cx="8328025" cy="463549"/>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273051</xdr:colOff>
      <xdr:row>115</xdr:row>
      <xdr:rowOff>122237</xdr:rowOff>
    </xdr:from>
    <xdr:to>
      <xdr:col>4</xdr:col>
      <xdr:colOff>675480</xdr:colOff>
      <xdr:row>118</xdr:row>
      <xdr:rowOff>87312</xdr:rowOff>
    </xdr:to>
    <mc:AlternateContent xmlns:mc="http://schemas.openxmlformats.org/markup-compatibility/2006" xmlns:sle15="http://schemas.microsoft.com/office/drawing/2012/slicer">
      <mc:Choice Requires="sle15">
        <xdr:graphicFrame macro="">
          <xdr:nvGraphicFramePr>
            <xdr:cNvPr id="6" name="Year 23">
              <a:extLst>
                <a:ext uri="{FF2B5EF4-FFF2-40B4-BE49-F238E27FC236}">
                  <a16:creationId xmlns:a16="http://schemas.microsoft.com/office/drawing/2014/main" id="{B87F4090-B844-7A7E-CF00-1AD19046F756}"/>
                </a:ext>
              </a:extLst>
            </xdr:cNvPr>
            <xdr:cNvGraphicFramePr/>
          </xdr:nvGraphicFramePr>
          <xdr:xfrm>
            <a:off x="0" y="0"/>
            <a:ext cx="0" cy="0"/>
          </xdr:xfrm>
          <a:graphic>
            <a:graphicData uri="http://schemas.microsoft.com/office/drawing/2010/slicer">
              <sle:slicer xmlns:sle="http://schemas.microsoft.com/office/drawing/2010/slicer" name="Year 23"/>
            </a:graphicData>
          </a:graphic>
        </xdr:graphicFrame>
      </mc:Choice>
      <mc:Fallback xmlns="">
        <xdr:sp macro="" textlink="">
          <xdr:nvSpPr>
            <xdr:cNvPr id="0" name=""/>
            <xdr:cNvSpPr>
              <a:spLocks noTextEdit="1"/>
            </xdr:cNvSpPr>
          </xdr:nvSpPr>
          <xdr:spPr>
            <a:xfrm>
              <a:off x="4602164" y="7575550"/>
              <a:ext cx="5232398" cy="524668"/>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1466850</xdr:colOff>
      <xdr:row>11</xdr:row>
      <xdr:rowOff>12701</xdr:rowOff>
    </xdr:from>
    <xdr:to>
      <xdr:col>8</xdr:col>
      <xdr:colOff>257175</xdr:colOff>
      <xdr:row>14</xdr:row>
      <xdr:rowOff>139700</xdr:rowOff>
    </xdr:to>
    <mc:AlternateContent xmlns:mc="http://schemas.openxmlformats.org/markup-compatibility/2006" xmlns:a14="http://schemas.microsoft.com/office/drawing/2010/main">
      <mc:Choice Requires="a14">
        <xdr:graphicFrame macro="">
          <xdr:nvGraphicFramePr>
            <xdr:cNvPr id="2" name="Year 27">
              <a:extLst>
                <a:ext uri="{FF2B5EF4-FFF2-40B4-BE49-F238E27FC236}">
                  <a16:creationId xmlns:a16="http://schemas.microsoft.com/office/drawing/2014/main" id="{0256CCD3-4E2B-42DF-ADE8-6AC2220426F1}"/>
                </a:ext>
              </a:extLst>
            </xdr:cNvPr>
            <xdr:cNvGraphicFramePr/>
          </xdr:nvGraphicFramePr>
          <xdr:xfrm>
            <a:off x="0" y="0"/>
            <a:ext cx="0" cy="0"/>
          </xdr:xfrm>
          <a:graphic>
            <a:graphicData uri="http://schemas.microsoft.com/office/drawing/2010/slicer">
              <sle:slicer xmlns:sle="http://schemas.microsoft.com/office/drawing/2010/slicer" name="Year 27"/>
            </a:graphicData>
          </a:graphic>
        </xdr:graphicFrame>
      </mc:Choice>
      <mc:Fallback xmlns="">
        <xdr:sp macro="" textlink="">
          <xdr:nvSpPr>
            <xdr:cNvPr id="0" name=""/>
            <xdr:cNvSpPr>
              <a:spLocks noTextEdit="1"/>
            </xdr:cNvSpPr>
          </xdr:nvSpPr>
          <xdr:spPr>
            <a:xfrm>
              <a:off x="2330450" y="2038351"/>
              <a:ext cx="6419850" cy="6857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304801</xdr:colOff>
      <xdr:row>3</xdr:row>
      <xdr:rowOff>428626</xdr:rowOff>
    </xdr:from>
    <xdr:to>
      <xdr:col>15</xdr:col>
      <xdr:colOff>295276</xdr:colOff>
      <xdr:row>6</xdr:row>
      <xdr:rowOff>19049</xdr:rowOff>
    </xdr:to>
    <mc:AlternateContent xmlns:mc="http://schemas.openxmlformats.org/markup-compatibility/2006" xmlns:a14="http://schemas.microsoft.com/office/drawing/2010/main">
      <mc:Choice Requires="a14">
        <xdr:graphicFrame macro="">
          <xdr:nvGraphicFramePr>
            <xdr:cNvPr id="3" name="Year 28">
              <a:extLst>
                <a:ext uri="{FF2B5EF4-FFF2-40B4-BE49-F238E27FC236}">
                  <a16:creationId xmlns:a16="http://schemas.microsoft.com/office/drawing/2014/main" id="{218F95D5-927D-4497-8D22-81B7AEEC770E}"/>
                </a:ext>
              </a:extLst>
            </xdr:cNvPr>
            <xdr:cNvGraphicFramePr/>
          </xdr:nvGraphicFramePr>
          <xdr:xfrm>
            <a:off x="0" y="0"/>
            <a:ext cx="0" cy="0"/>
          </xdr:xfrm>
          <a:graphic>
            <a:graphicData uri="http://schemas.microsoft.com/office/drawing/2010/slicer">
              <sle:slicer xmlns:sle="http://schemas.microsoft.com/office/drawing/2010/slicer" name="Year 28"/>
            </a:graphicData>
          </a:graphic>
        </xdr:graphicFrame>
      </mc:Choice>
      <mc:Fallback xmlns="">
        <xdr:sp macro="" textlink="">
          <xdr:nvSpPr>
            <xdr:cNvPr id="0" name=""/>
            <xdr:cNvSpPr>
              <a:spLocks noTextEdit="1"/>
            </xdr:cNvSpPr>
          </xdr:nvSpPr>
          <xdr:spPr>
            <a:xfrm>
              <a:off x="4527550" y="1066801"/>
              <a:ext cx="6635750" cy="4698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848784</xdr:colOff>
      <xdr:row>9</xdr:row>
      <xdr:rowOff>73025</xdr:rowOff>
    </xdr:from>
    <xdr:to>
      <xdr:col>4</xdr:col>
      <xdr:colOff>430740</xdr:colOff>
      <xdr:row>23</xdr:row>
      <xdr:rowOff>29634</xdr:rowOff>
    </xdr:to>
    <mc:AlternateContent xmlns:mc="http://schemas.openxmlformats.org/markup-compatibility/2006" xmlns:a14="http://schemas.microsoft.com/office/drawing/2010/main">
      <mc:Choice Requires="a14">
        <xdr:graphicFrame macro="">
          <xdr:nvGraphicFramePr>
            <xdr:cNvPr id="2" name="Year 2">
              <a:extLst>
                <a:ext uri="{FF2B5EF4-FFF2-40B4-BE49-F238E27FC236}">
                  <a16:creationId xmlns:a16="http://schemas.microsoft.com/office/drawing/2014/main" id="{956EC97D-C43B-4B90-B3F9-03A2EAAE3DF7}"/>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5936192" y="1692275"/>
              <a:ext cx="1835502" cy="247226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1360484</xdr:colOff>
      <xdr:row>0</xdr:row>
      <xdr:rowOff>134938</xdr:rowOff>
    </xdr:from>
    <xdr:to>
      <xdr:col>6</xdr:col>
      <xdr:colOff>178592</xdr:colOff>
      <xdr:row>1</xdr:row>
      <xdr:rowOff>257174</xdr:rowOff>
    </xdr:to>
    <mc:AlternateContent xmlns:mc="http://schemas.openxmlformats.org/markup-compatibility/2006" xmlns:a14="http://schemas.microsoft.com/office/drawing/2010/main">
      <mc:Choice Requires="a14">
        <xdr:graphicFrame macro="">
          <xdr:nvGraphicFramePr>
            <xdr:cNvPr id="4" name="Year 3">
              <a:extLst>
                <a:ext uri="{FF2B5EF4-FFF2-40B4-BE49-F238E27FC236}">
                  <a16:creationId xmlns:a16="http://schemas.microsoft.com/office/drawing/2014/main" id="{7954B893-2E36-47AC-B515-2846839472DD}"/>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555873" y="134938"/>
              <a:ext cx="6731001" cy="4127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749300</xdr:colOff>
      <xdr:row>11</xdr:row>
      <xdr:rowOff>12701</xdr:rowOff>
    </xdr:from>
    <xdr:to>
      <xdr:col>7</xdr:col>
      <xdr:colOff>1040607</xdr:colOff>
      <xdr:row>15</xdr:row>
      <xdr:rowOff>6351</xdr:rowOff>
    </xdr:to>
    <mc:AlternateContent xmlns:mc="http://schemas.openxmlformats.org/markup-compatibility/2006" xmlns:a14="http://schemas.microsoft.com/office/drawing/2010/main">
      <mc:Choice Requires="a14">
        <xdr:graphicFrame macro="">
          <xdr:nvGraphicFramePr>
            <xdr:cNvPr id="2" name="Year 1">
              <a:extLst>
                <a:ext uri="{FF2B5EF4-FFF2-40B4-BE49-F238E27FC236}">
                  <a16:creationId xmlns:a16="http://schemas.microsoft.com/office/drawing/2014/main" id="{662A27CC-4AAF-44D7-BE3F-FE7C3D0D08F7}"/>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3117850" y="2038351"/>
              <a:ext cx="7677150" cy="730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177800</xdr:colOff>
      <xdr:row>2</xdr:row>
      <xdr:rowOff>101600</xdr:rowOff>
    </xdr:from>
    <xdr:to>
      <xdr:col>12</xdr:col>
      <xdr:colOff>161925</xdr:colOff>
      <xdr:row>3</xdr:row>
      <xdr:rowOff>314325</xdr:rowOff>
    </xdr:to>
    <mc:AlternateContent xmlns:mc="http://schemas.openxmlformats.org/markup-compatibility/2006" xmlns:a14="http://schemas.microsoft.com/office/drawing/2010/main">
      <mc:Choice Requires="a14">
        <xdr:graphicFrame macro="">
          <xdr:nvGraphicFramePr>
            <xdr:cNvPr id="3" name="Year 29">
              <a:extLst>
                <a:ext uri="{FF2B5EF4-FFF2-40B4-BE49-F238E27FC236}">
                  <a16:creationId xmlns:a16="http://schemas.microsoft.com/office/drawing/2014/main" id="{87616990-656F-4BE7-9FCB-436389F5B6E1}"/>
                </a:ext>
              </a:extLst>
            </xdr:cNvPr>
            <xdr:cNvGraphicFramePr/>
          </xdr:nvGraphicFramePr>
          <xdr:xfrm>
            <a:off x="0" y="0"/>
            <a:ext cx="0" cy="0"/>
          </xdr:xfrm>
          <a:graphic>
            <a:graphicData uri="http://schemas.microsoft.com/office/drawing/2010/slicer">
              <sle:slicer xmlns:sle="http://schemas.microsoft.com/office/drawing/2010/slicer" name="Year 29"/>
            </a:graphicData>
          </a:graphic>
        </xdr:graphicFrame>
      </mc:Choice>
      <mc:Fallback xmlns="">
        <xdr:sp macro="" textlink="">
          <xdr:nvSpPr>
            <xdr:cNvPr id="0" name=""/>
            <xdr:cNvSpPr>
              <a:spLocks noTextEdit="1"/>
            </xdr:cNvSpPr>
          </xdr:nvSpPr>
          <xdr:spPr>
            <a:xfrm>
              <a:off x="3232150" y="520700"/>
              <a:ext cx="7677150" cy="730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457200</xdr:colOff>
      <xdr:row>3</xdr:row>
      <xdr:rowOff>142875</xdr:rowOff>
    </xdr:from>
    <xdr:to>
      <xdr:col>10</xdr:col>
      <xdr:colOff>88900</xdr:colOff>
      <xdr:row>5</xdr:row>
      <xdr:rowOff>180269</xdr:rowOff>
    </xdr:to>
    <mc:AlternateContent xmlns:mc="http://schemas.openxmlformats.org/markup-compatibility/2006" xmlns:a14="http://schemas.microsoft.com/office/drawing/2010/main">
      <mc:Choice Requires="a14">
        <xdr:graphicFrame macro="">
          <xdr:nvGraphicFramePr>
            <xdr:cNvPr id="4" name="Year 59">
              <a:extLst>
                <a:ext uri="{FF2B5EF4-FFF2-40B4-BE49-F238E27FC236}">
                  <a16:creationId xmlns:a16="http://schemas.microsoft.com/office/drawing/2014/main" id="{7A79FE86-2504-45BC-AC8B-58702A8E4ACF}"/>
                </a:ext>
              </a:extLst>
            </xdr:cNvPr>
            <xdr:cNvGraphicFramePr/>
          </xdr:nvGraphicFramePr>
          <xdr:xfrm>
            <a:off x="0" y="0"/>
            <a:ext cx="0" cy="0"/>
          </xdr:xfrm>
          <a:graphic>
            <a:graphicData uri="http://schemas.microsoft.com/office/drawing/2010/slicer">
              <sle:slicer xmlns:sle="http://schemas.microsoft.com/office/drawing/2010/slicer" name="Year 59"/>
            </a:graphicData>
          </a:graphic>
        </xdr:graphicFrame>
      </mc:Choice>
      <mc:Fallback xmlns="">
        <xdr:sp macro="" textlink="">
          <xdr:nvSpPr>
            <xdr:cNvPr id="0" name=""/>
            <xdr:cNvSpPr>
              <a:spLocks noTextEdit="1"/>
            </xdr:cNvSpPr>
          </xdr:nvSpPr>
          <xdr:spPr>
            <a:xfrm>
              <a:off x="4438650" y="736600"/>
              <a:ext cx="3187700" cy="635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1454150</xdr:colOff>
      <xdr:row>11</xdr:row>
      <xdr:rowOff>12701</xdr:rowOff>
    </xdr:from>
    <xdr:to>
      <xdr:col>3</xdr:col>
      <xdr:colOff>1028700</xdr:colOff>
      <xdr:row>15</xdr:row>
      <xdr:rowOff>19050</xdr:rowOff>
    </xdr:to>
    <mc:AlternateContent xmlns:mc="http://schemas.openxmlformats.org/markup-compatibility/2006" xmlns:a14="http://schemas.microsoft.com/office/drawing/2010/main">
      <mc:Choice Requires="a14">
        <xdr:graphicFrame macro="">
          <xdr:nvGraphicFramePr>
            <xdr:cNvPr id="2" name="Year 30">
              <a:extLst>
                <a:ext uri="{FF2B5EF4-FFF2-40B4-BE49-F238E27FC236}">
                  <a16:creationId xmlns:a16="http://schemas.microsoft.com/office/drawing/2014/main" id="{D85BBCD5-6AF6-4176-8D1D-F8B66ECCCDA8}"/>
                </a:ext>
              </a:extLst>
            </xdr:cNvPr>
            <xdr:cNvGraphicFramePr/>
          </xdr:nvGraphicFramePr>
          <xdr:xfrm>
            <a:off x="0" y="0"/>
            <a:ext cx="0" cy="0"/>
          </xdr:xfrm>
          <a:graphic>
            <a:graphicData uri="http://schemas.microsoft.com/office/drawing/2010/slicer">
              <sle:slicer xmlns:sle="http://schemas.microsoft.com/office/drawing/2010/slicer" name="Year 30"/>
            </a:graphicData>
          </a:graphic>
        </xdr:graphicFrame>
      </mc:Choice>
      <mc:Fallback xmlns="">
        <xdr:sp macro="" textlink="">
          <xdr:nvSpPr>
            <xdr:cNvPr id="0" name=""/>
            <xdr:cNvSpPr>
              <a:spLocks noTextEdit="1"/>
            </xdr:cNvSpPr>
          </xdr:nvSpPr>
          <xdr:spPr>
            <a:xfrm>
              <a:off x="3117850" y="2038351"/>
              <a:ext cx="2857500" cy="7429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695325</xdr:colOff>
      <xdr:row>5</xdr:row>
      <xdr:rowOff>9525</xdr:rowOff>
    </xdr:from>
    <xdr:to>
      <xdr:col>9</xdr:col>
      <xdr:colOff>6350</xdr:colOff>
      <xdr:row>7</xdr:row>
      <xdr:rowOff>85725</xdr:rowOff>
    </xdr:to>
    <mc:AlternateContent xmlns:mc="http://schemas.openxmlformats.org/markup-compatibility/2006" xmlns:a14="http://schemas.microsoft.com/office/drawing/2010/main">
      <mc:Choice Requires="a14">
        <xdr:graphicFrame macro="">
          <xdr:nvGraphicFramePr>
            <xdr:cNvPr id="3" name="Year 31">
              <a:extLst>
                <a:ext uri="{FF2B5EF4-FFF2-40B4-BE49-F238E27FC236}">
                  <a16:creationId xmlns:a16="http://schemas.microsoft.com/office/drawing/2014/main" id="{8D17241F-0E8A-4607-9CE7-E6997F8EE932}"/>
                </a:ext>
              </a:extLst>
            </xdr:cNvPr>
            <xdr:cNvGraphicFramePr/>
          </xdr:nvGraphicFramePr>
          <xdr:xfrm>
            <a:off x="0" y="0"/>
            <a:ext cx="0" cy="0"/>
          </xdr:xfrm>
          <a:graphic>
            <a:graphicData uri="http://schemas.microsoft.com/office/drawing/2010/slicer">
              <sle:slicer xmlns:sle="http://schemas.microsoft.com/office/drawing/2010/slicer" name="Year 31"/>
            </a:graphicData>
          </a:graphic>
        </xdr:graphicFrame>
      </mc:Choice>
      <mc:Fallback xmlns="">
        <xdr:sp macro="" textlink="">
          <xdr:nvSpPr>
            <xdr:cNvPr id="0" name=""/>
            <xdr:cNvSpPr>
              <a:spLocks noTextEdit="1"/>
            </xdr:cNvSpPr>
          </xdr:nvSpPr>
          <xdr:spPr>
            <a:xfrm>
              <a:off x="4311650" y="987425"/>
              <a:ext cx="4518025"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749300</xdr:colOff>
      <xdr:row>11</xdr:row>
      <xdr:rowOff>12701</xdr:rowOff>
    </xdr:from>
    <xdr:to>
      <xdr:col>6</xdr:col>
      <xdr:colOff>803275</xdr:colOff>
      <xdr:row>15</xdr:row>
      <xdr:rowOff>0</xdr:rowOff>
    </xdr:to>
    <mc:AlternateContent xmlns:mc="http://schemas.openxmlformats.org/markup-compatibility/2006" xmlns:a14="http://schemas.microsoft.com/office/drawing/2010/main">
      <mc:Choice Requires="a14">
        <xdr:graphicFrame macro="">
          <xdr:nvGraphicFramePr>
            <xdr:cNvPr id="2" name="Year 32">
              <a:extLst>
                <a:ext uri="{FF2B5EF4-FFF2-40B4-BE49-F238E27FC236}">
                  <a16:creationId xmlns:a16="http://schemas.microsoft.com/office/drawing/2014/main" id="{7E682724-E8CC-4D7F-A806-28589E9F347B}"/>
                </a:ext>
              </a:extLst>
            </xdr:cNvPr>
            <xdr:cNvGraphicFramePr/>
          </xdr:nvGraphicFramePr>
          <xdr:xfrm>
            <a:off x="0" y="0"/>
            <a:ext cx="0" cy="0"/>
          </xdr:xfrm>
          <a:graphic>
            <a:graphicData uri="http://schemas.microsoft.com/office/drawing/2010/slicer">
              <sle:slicer xmlns:sle="http://schemas.microsoft.com/office/drawing/2010/slicer" name="Year 32"/>
            </a:graphicData>
          </a:graphic>
        </xdr:graphicFrame>
      </mc:Choice>
      <mc:Fallback xmlns="">
        <xdr:sp macro="" textlink="">
          <xdr:nvSpPr>
            <xdr:cNvPr id="0" name=""/>
            <xdr:cNvSpPr>
              <a:spLocks noTextEdit="1"/>
            </xdr:cNvSpPr>
          </xdr:nvSpPr>
          <xdr:spPr>
            <a:xfrm>
              <a:off x="3117850" y="2038351"/>
              <a:ext cx="5753100" cy="7238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285750</xdr:colOff>
      <xdr:row>4</xdr:row>
      <xdr:rowOff>57151</xdr:rowOff>
    </xdr:from>
    <xdr:to>
      <xdr:col>12</xdr:col>
      <xdr:colOff>561975</xdr:colOff>
      <xdr:row>6</xdr:row>
      <xdr:rowOff>101601</xdr:rowOff>
    </xdr:to>
    <mc:AlternateContent xmlns:mc="http://schemas.openxmlformats.org/markup-compatibility/2006" xmlns:a14="http://schemas.microsoft.com/office/drawing/2010/main">
      <mc:Choice Requires="a14">
        <xdr:graphicFrame macro="">
          <xdr:nvGraphicFramePr>
            <xdr:cNvPr id="4" name="Year 33">
              <a:extLst>
                <a:ext uri="{FF2B5EF4-FFF2-40B4-BE49-F238E27FC236}">
                  <a16:creationId xmlns:a16="http://schemas.microsoft.com/office/drawing/2014/main" id="{F12ECBC4-4F8A-42DB-AE61-7383098A335B}"/>
                </a:ext>
              </a:extLst>
            </xdr:cNvPr>
            <xdr:cNvGraphicFramePr/>
          </xdr:nvGraphicFramePr>
          <xdr:xfrm>
            <a:off x="0" y="0"/>
            <a:ext cx="0" cy="0"/>
          </xdr:xfrm>
          <a:graphic>
            <a:graphicData uri="http://schemas.microsoft.com/office/drawing/2010/slicer">
              <sle:slicer xmlns:sle="http://schemas.microsoft.com/office/drawing/2010/slicer" name="Year 33"/>
            </a:graphicData>
          </a:graphic>
        </xdr:graphicFrame>
      </mc:Choice>
      <mc:Fallback xmlns="">
        <xdr:sp macro="" textlink="">
          <xdr:nvSpPr>
            <xdr:cNvPr id="0" name=""/>
            <xdr:cNvSpPr>
              <a:spLocks noTextEdit="1"/>
            </xdr:cNvSpPr>
          </xdr:nvSpPr>
          <xdr:spPr>
            <a:xfrm>
              <a:off x="3816350" y="1079501"/>
              <a:ext cx="5753100" cy="425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3003550</xdr:colOff>
      <xdr:row>11</xdr:row>
      <xdr:rowOff>19051</xdr:rowOff>
    </xdr:from>
    <xdr:to>
      <xdr:col>3</xdr:col>
      <xdr:colOff>1447347</xdr:colOff>
      <xdr:row>15</xdr:row>
      <xdr:rowOff>104776</xdr:rowOff>
    </xdr:to>
    <mc:AlternateContent xmlns:mc="http://schemas.openxmlformats.org/markup-compatibility/2006" xmlns:a14="http://schemas.microsoft.com/office/drawing/2010/main">
      <mc:Choice Requires="a14">
        <xdr:graphicFrame macro="">
          <xdr:nvGraphicFramePr>
            <xdr:cNvPr id="2" name="Year 34">
              <a:extLst>
                <a:ext uri="{FF2B5EF4-FFF2-40B4-BE49-F238E27FC236}">
                  <a16:creationId xmlns:a16="http://schemas.microsoft.com/office/drawing/2014/main" id="{63C52D16-3F82-4935-AF89-A554DD3B899F}"/>
                </a:ext>
              </a:extLst>
            </xdr:cNvPr>
            <xdr:cNvGraphicFramePr/>
          </xdr:nvGraphicFramePr>
          <xdr:xfrm>
            <a:off x="0" y="0"/>
            <a:ext cx="0" cy="0"/>
          </xdr:xfrm>
          <a:graphic>
            <a:graphicData uri="http://schemas.microsoft.com/office/drawing/2010/slicer">
              <sle:slicer xmlns:sle="http://schemas.microsoft.com/office/drawing/2010/slicer" name="Year 34"/>
            </a:graphicData>
          </a:graphic>
        </xdr:graphicFrame>
      </mc:Choice>
      <mc:Fallback xmlns="">
        <xdr:sp macro="" textlink="">
          <xdr:nvSpPr>
            <xdr:cNvPr id="0" name=""/>
            <xdr:cNvSpPr>
              <a:spLocks noTextEdit="1"/>
            </xdr:cNvSpPr>
          </xdr:nvSpPr>
          <xdr:spPr>
            <a:xfrm>
              <a:off x="3003550" y="2044701"/>
              <a:ext cx="6553200" cy="825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2650332</xdr:colOff>
      <xdr:row>0</xdr:row>
      <xdr:rowOff>59533</xdr:rowOff>
    </xdr:from>
    <xdr:to>
      <xdr:col>8</xdr:col>
      <xdr:colOff>440531</xdr:colOff>
      <xdr:row>1</xdr:row>
      <xdr:rowOff>130969</xdr:rowOff>
    </xdr:to>
    <mc:AlternateContent xmlns:mc="http://schemas.openxmlformats.org/markup-compatibility/2006" xmlns:a14="http://schemas.microsoft.com/office/drawing/2010/main">
      <mc:Choice Requires="a14">
        <xdr:graphicFrame macro="">
          <xdr:nvGraphicFramePr>
            <xdr:cNvPr id="3" name="Year 35">
              <a:extLst>
                <a:ext uri="{FF2B5EF4-FFF2-40B4-BE49-F238E27FC236}">
                  <a16:creationId xmlns:a16="http://schemas.microsoft.com/office/drawing/2014/main" id="{6C011A85-534A-465C-84B4-00BB6B6A6909}"/>
                </a:ext>
              </a:extLst>
            </xdr:cNvPr>
            <xdr:cNvGraphicFramePr/>
          </xdr:nvGraphicFramePr>
          <xdr:xfrm>
            <a:off x="0" y="0"/>
            <a:ext cx="0" cy="0"/>
          </xdr:xfrm>
          <a:graphic>
            <a:graphicData uri="http://schemas.microsoft.com/office/drawing/2010/slicer">
              <sle:slicer xmlns:sle="http://schemas.microsoft.com/office/drawing/2010/slicer" name="Year 35"/>
            </a:graphicData>
          </a:graphic>
        </xdr:graphicFrame>
      </mc:Choice>
      <mc:Fallback xmlns="">
        <xdr:sp macro="" textlink="">
          <xdr:nvSpPr>
            <xdr:cNvPr id="0" name=""/>
            <xdr:cNvSpPr>
              <a:spLocks noTextEdit="1"/>
            </xdr:cNvSpPr>
          </xdr:nvSpPr>
          <xdr:spPr>
            <a:xfrm>
              <a:off x="3849361" y="59533"/>
              <a:ext cx="6913475" cy="41881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1206500</xdr:colOff>
      <xdr:row>11</xdr:row>
      <xdr:rowOff>12701</xdr:rowOff>
    </xdr:from>
    <xdr:to>
      <xdr:col>10</xdr:col>
      <xdr:colOff>25400</xdr:colOff>
      <xdr:row>15</xdr:row>
      <xdr:rowOff>25400</xdr:rowOff>
    </xdr:to>
    <mc:AlternateContent xmlns:mc="http://schemas.openxmlformats.org/markup-compatibility/2006" xmlns:a14="http://schemas.microsoft.com/office/drawing/2010/main">
      <mc:Choice Requires="a14">
        <xdr:graphicFrame macro="">
          <xdr:nvGraphicFramePr>
            <xdr:cNvPr id="2" name="Year 36">
              <a:extLst>
                <a:ext uri="{FF2B5EF4-FFF2-40B4-BE49-F238E27FC236}">
                  <a16:creationId xmlns:a16="http://schemas.microsoft.com/office/drawing/2014/main" id="{C525BA9A-F0CE-453E-9CAA-2FF00CFF2782}"/>
                </a:ext>
              </a:extLst>
            </xdr:cNvPr>
            <xdr:cNvGraphicFramePr/>
          </xdr:nvGraphicFramePr>
          <xdr:xfrm>
            <a:off x="0" y="0"/>
            <a:ext cx="0" cy="0"/>
          </xdr:xfrm>
          <a:graphic>
            <a:graphicData uri="http://schemas.microsoft.com/office/drawing/2010/slicer">
              <sle:slicer xmlns:sle="http://schemas.microsoft.com/office/drawing/2010/slicer" name="Year 36"/>
            </a:graphicData>
          </a:graphic>
        </xdr:graphicFrame>
      </mc:Choice>
      <mc:Fallback xmlns="">
        <xdr:sp macro="" textlink="">
          <xdr:nvSpPr>
            <xdr:cNvPr id="0" name=""/>
            <xdr:cNvSpPr>
              <a:spLocks noTextEdit="1"/>
            </xdr:cNvSpPr>
          </xdr:nvSpPr>
          <xdr:spPr>
            <a:xfrm>
              <a:off x="2565400" y="2038351"/>
              <a:ext cx="6477000" cy="7556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1911350</xdr:colOff>
      <xdr:row>0</xdr:row>
      <xdr:rowOff>38101</xdr:rowOff>
    </xdr:from>
    <xdr:to>
      <xdr:col>11</xdr:col>
      <xdr:colOff>542925</xdr:colOff>
      <xdr:row>1</xdr:row>
      <xdr:rowOff>190500</xdr:rowOff>
    </xdr:to>
    <mc:AlternateContent xmlns:mc="http://schemas.openxmlformats.org/markup-compatibility/2006" xmlns:a14="http://schemas.microsoft.com/office/drawing/2010/main">
      <mc:Choice Requires="a14">
        <xdr:graphicFrame macro="">
          <xdr:nvGraphicFramePr>
            <xdr:cNvPr id="4" name="Year 37">
              <a:extLst>
                <a:ext uri="{FF2B5EF4-FFF2-40B4-BE49-F238E27FC236}">
                  <a16:creationId xmlns:a16="http://schemas.microsoft.com/office/drawing/2014/main" id="{FB22520B-003E-4F61-833E-DE81C3B263EB}"/>
                </a:ext>
              </a:extLst>
            </xdr:cNvPr>
            <xdr:cNvGraphicFramePr/>
          </xdr:nvGraphicFramePr>
          <xdr:xfrm>
            <a:off x="0" y="0"/>
            <a:ext cx="0" cy="0"/>
          </xdr:xfrm>
          <a:graphic>
            <a:graphicData uri="http://schemas.microsoft.com/office/drawing/2010/slicer">
              <sle:slicer xmlns:sle="http://schemas.microsoft.com/office/drawing/2010/slicer" name="Year 37"/>
            </a:graphicData>
          </a:graphic>
        </xdr:graphicFrame>
      </mc:Choice>
      <mc:Fallback xmlns="">
        <xdr:sp macro="" textlink="">
          <xdr:nvSpPr>
            <xdr:cNvPr id="0" name=""/>
            <xdr:cNvSpPr>
              <a:spLocks noTextEdit="1"/>
            </xdr:cNvSpPr>
          </xdr:nvSpPr>
          <xdr:spPr>
            <a:xfrm>
              <a:off x="3098800" y="38101"/>
              <a:ext cx="6477000" cy="4063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1117600</xdr:colOff>
      <xdr:row>11</xdr:row>
      <xdr:rowOff>12701</xdr:rowOff>
    </xdr:from>
    <xdr:to>
      <xdr:col>7</xdr:col>
      <xdr:colOff>333375</xdr:colOff>
      <xdr:row>13</xdr:row>
      <xdr:rowOff>120650</xdr:rowOff>
    </xdr:to>
    <mc:AlternateContent xmlns:mc="http://schemas.openxmlformats.org/markup-compatibility/2006" xmlns:a14="http://schemas.microsoft.com/office/drawing/2010/main">
      <mc:Choice Requires="a14">
        <xdr:graphicFrame macro="">
          <xdr:nvGraphicFramePr>
            <xdr:cNvPr id="3" name="Year 4">
              <a:extLst>
                <a:ext uri="{FF2B5EF4-FFF2-40B4-BE49-F238E27FC236}">
                  <a16:creationId xmlns:a16="http://schemas.microsoft.com/office/drawing/2014/main" id="{27B5E207-9A79-4FF9-A9B5-DB43B5FFC589}"/>
                </a:ext>
              </a:extLst>
            </xdr:cNvPr>
            <xdr:cNvGraphicFramePr/>
          </xdr:nvGraphicFramePr>
          <xdr:xfrm>
            <a:off x="0" y="0"/>
            <a:ext cx="0" cy="0"/>
          </xdr:xfrm>
          <a:graphic>
            <a:graphicData uri="http://schemas.microsoft.com/office/drawing/2010/slicer">
              <sle:slicer xmlns:sle="http://schemas.microsoft.com/office/drawing/2010/slicer" name="Year 4"/>
            </a:graphicData>
          </a:graphic>
        </xdr:graphicFrame>
      </mc:Choice>
      <mc:Fallback xmlns="">
        <xdr:sp macro="" textlink="">
          <xdr:nvSpPr>
            <xdr:cNvPr id="0" name=""/>
            <xdr:cNvSpPr>
              <a:spLocks noTextEdit="1"/>
            </xdr:cNvSpPr>
          </xdr:nvSpPr>
          <xdr:spPr>
            <a:xfrm>
              <a:off x="3448050" y="2038351"/>
              <a:ext cx="6559550" cy="482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304800</xdr:colOff>
      <xdr:row>12</xdr:row>
      <xdr:rowOff>171451</xdr:rowOff>
    </xdr:from>
    <xdr:to>
      <xdr:col>6</xdr:col>
      <xdr:colOff>1266825</xdr:colOff>
      <xdr:row>16</xdr:row>
      <xdr:rowOff>139701</xdr:rowOff>
    </xdr:to>
    <mc:AlternateContent xmlns:mc="http://schemas.openxmlformats.org/markup-compatibility/2006" xmlns:a14="http://schemas.microsoft.com/office/drawing/2010/main">
      <mc:Choice Requires="a14">
        <xdr:graphicFrame macro="">
          <xdr:nvGraphicFramePr>
            <xdr:cNvPr id="2" name="Year 56">
              <a:extLst>
                <a:ext uri="{FF2B5EF4-FFF2-40B4-BE49-F238E27FC236}">
                  <a16:creationId xmlns:a16="http://schemas.microsoft.com/office/drawing/2014/main" id="{3FB36FFD-6EA0-4BA5-9450-F04DD010A6A2}"/>
                </a:ext>
              </a:extLst>
            </xdr:cNvPr>
            <xdr:cNvGraphicFramePr/>
          </xdr:nvGraphicFramePr>
          <xdr:xfrm>
            <a:off x="0" y="0"/>
            <a:ext cx="0" cy="0"/>
          </xdr:xfrm>
          <a:graphic>
            <a:graphicData uri="http://schemas.microsoft.com/office/drawing/2010/slicer">
              <sle:slicer xmlns:sle="http://schemas.microsoft.com/office/drawing/2010/slicer" name="Year 56"/>
            </a:graphicData>
          </a:graphic>
        </xdr:graphicFrame>
      </mc:Choice>
      <mc:Fallback xmlns="">
        <xdr:sp macro="" textlink="">
          <xdr:nvSpPr>
            <xdr:cNvPr id="0" name=""/>
            <xdr:cNvSpPr>
              <a:spLocks noTextEdit="1"/>
            </xdr:cNvSpPr>
          </xdr:nvSpPr>
          <xdr:spPr>
            <a:xfrm>
              <a:off x="2279650" y="2381251"/>
              <a:ext cx="6673850" cy="711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355600</xdr:colOff>
      <xdr:row>11</xdr:row>
      <xdr:rowOff>12701</xdr:rowOff>
    </xdr:from>
    <xdr:to>
      <xdr:col>5</xdr:col>
      <xdr:colOff>768350</xdr:colOff>
      <xdr:row>15</xdr:row>
      <xdr:rowOff>19051</xdr:rowOff>
    </xdr:to>
    <mc:AlternateContent xmlns:mc="http://schemas.openxmlformats.org/markup-compatibility/2006" xmlns:a14="http://schemas.microsoft.com/office/drawing/2010/main">
      <mc:Choice Requires="a14">
        <xdr:graphicFrame macro="">
          <xdr:nvGraphicFramePr>
            <xdr:cNvPr id="2" name="Year 58">
              <a:extLst>
                <a:ext uri="{FF2B5EF4-FFF2-40B4-BE49-F238E27FC236}">
                  <a16:creationId xmlns:a16="http://schemas.microsoft.com/office/drawing/2014/main" id="{41D05978-8FCE-43FC-A13F-B19FE6F5AB66}"/>
                </a:ext>
              </a:extLst>
            </xdr:cNvPr>
            <xdr:cNvGraphicFramePr/>
          </xdr:nvGraphicFramePr>
          <xdr:xfrm>
            <a:off x="0" y="0"/>
            <a:ext cx="0" cy="0"/>
          </xdr:xfrm>
          <a:graphic>
            <a:graphicData uri="http://schemas.microsoft.com/office/drawing/2010/slicer">
              <sle:slicer xmlns:sle="http://schemas.microsoft.com/office/drawing/2010/slicer" name="Year 58"/>
            </a:graphicData>
          </a:graphic>
        </xdr:graphicFrame>
      </mc:Choice>
      <mc:Fallback xmlns="">
        <xdr:sp macro="" textlink="">
          <xdr:nvSpPr>
            <xdr:cNvPr id="0" name=""/>
            <xdr:cNvSpPr>
              <a:spLocks noTextEdit="1"/>
            </xdr:cNvSpPr>
          </xdr:nvSpPr>
          <xdr:spPr>
            <a:xfrm>
              <a:off x="4902200" y="2038351"/>
              <a:ext cx="3187700" cy="7429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247650</xdr:colOff>
      <xdr:row>19</xdr:row>
      <xdr:rowOff>104775</xdr:rowOff>
    </xdr:from>
    <xdr:to>
      <xdr:col>10</xdr:col>
      <xdr:colOff>571500</xdr:colOff>
      <xdr:row>21</xdr:row>
      <xdr:rowOff>152400</xdr:rowOff>
    </xdr:to>
    <mc:AlternateContent xmlns:mc="http://schemas.openxmlformats.org/markup-compatibility/2006" xmlns:a14="http://schemas.microsoft.com/office/drawing/2010/main">
      <mc:Choice Requires="a14">
        <xdr:graphicFrame macro="">
          <xdr:nvGraphicFramePr>
            <xdr:cNvPr id="5" name="Year 57">
              <a:extLst>
                <a:ext uri="{FF2B5EF4-FFF2-40B4-BE49-F238E27FC236}">
                  <a16:creationId xmlns:a16="http://schemas.microsoft.com/office/drawing/2014/main" id="{1A153471-4BA5-46D6-A558-5A85628F0EFB}"/>
                </a:ext>
              </a:extLst>
            </xdr:cNvPr>
            <xdr:cNvGraphicFramePr/>
          </xdr:nvGraphicFramePr>
          <xdr:xfrm>
            <a:off x="0" y="0"/>
            <a:ext cx="0" cy="0"/>
          </xdr:xfrm>
          <a:graphic>
            <a:graphicData uri="http://schemas.microsoft.com/office/drawing/2010/slicer">
              <sle:slicer xmlns:sle="http://schemas.microsoft.com/office/drawing/2010/slicer" name="Year 57"/>
            </a:graphicData>
          </a:graphic>
        </xdr:graphicFrame>
      </mc:Choice>
      <mc:Fallback xmlns="">
        <xdr:sp macro="" textlink="">
          <xdr:nvSpPr>
            <xdr:cNvPr id="0" name=""/>
            <xdr:cNvSpPr>
              <a:spLocks noTextEdit="1"/>
            </xdr:cNvSpPr>
          </xdr:nvSpPr>
          <xdr:spPr>
            <a:xfrm>
              <a:off x="3854450" y="4724400"/>
              <a:ext cx="6673850" cy="4699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2362199</xdr:colOff>
      <xdr:row>5</xdr:row>
      <xdr:rowOff>1</xdr:rowOff>
    </xdr:from>
    <xdr:to>
      <xdr:col>10</xdr:col>
      <xdr:colOff>361950</xdr:colOff>
      <xdr:row>7</xdr:row>
      <xdr:rowOff>38101</xdr:rowOff>
    </xdr:to>
    <mc:AlternateContent xmlns:mc="http://schemas.openxmlformats.org/markup-compatibility/2006" xmlns:a14="http://schemas.microsoft.com/office/drawing/2010/main">
      <mc:Choice Requires="a14">
        <xdr:graphicFrame macro="">
          <xdr:nvGraphicFramePr>
            <xdr:cNvPr id="6" name="Year 5">
              <a:extLst>
                <a:ext uri="{FF2B5EF4-FFF2-40B4-BE49-F238E27FC236}">
                  <a16:creationId xmlns:a16="http://schemas.microsoft.com/office/drawing/2014/main" id="{FD5B96D9-EA84-4720-98C5-8A6D5888ABFE}"/>
                </a:ext>
              </a:extLst>
            </xdr:cNvPr>
            <xdr:cNvGraphicFramePr/>
          </xdr:nvGraphicFramePr>
          <xdr:xfrm>
            <a:off x="0" y="0"/>
            <a:ext cx="0" cy="0"/>
          </xdr:xfrm>
          <a:graphic>
            <a:graphicData uri="http://schemas.microsoft.com/office/drawing/2010/slicer">
              <sle:slicer xmlns:sle="http://schemas.microsoft.com/office/drawing/2010/slicer" name="Year 5"/>
            </a:graphicData>
          </a:graphic>
        </xdr:graphicFrame>
      </mc:Choice>
      <mc:Fallback xmlns="">
        <xdr:sp macro="" textlink="">
          <xdr:nvSpPr>
            <xdr:cNvPr id="0" name=""/>
            <xdr:cNvSpPr>
              <a:spLocks noTextEdit="1"/>
            </xdr:cNvSpPr>
          </xdr:nvSpPr>
          <xdr:spPr>
            <a:xfrm>
              <a:off x="3562350" y="1168401"/>
              <a:ext cx="655955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1111250</xdr:colOff>
      <xdr:row>13</xdr:row>
      <xdr:rowOff>101601</xdr:rowOff>
    </xdr:from>
    <xdr:to>
      <xdr:col>10</xdr:col>
      <xdr:colOff>120650</xdr:colOff>
      <xdr:row>15</xdr:row>
      <xdr:rowOff>139700</xdr:rowOff>
    </xdr:to>
    <mc:AlternateContent xmlns:mc="http://schemas.openxmlformats.org/markup-compatibility/2006" xmlns:a14="http://schemas.microsoft.com/office/drawing/2010/main">
      <mc:Choice Requires="a14">
        <xdr:graphicFrame macro="">
          <xdr:nvGraphicFramePr>
            <xdr:cNvPr id="2" name="Year 41">
              <a:extLst>
                <a:ext uri="{FF2B5EF4-FFF2-40B4-BE49-F238E27FC236}">
                  <a16:creationId xmlns:a16="http://schemas.microsoft.com/office/drawing/2014/main" id="{05BCB831-4435-4564-82DB-C66717B843B0}"/>
                </a:ext>
              </a:extLst>
            </xdr:cNvPr>
            <xdr:cNvGraphicFramePr/>
          </xdr:nvGraphicFramePr>
          <xdr:xfrm>
            <a:off x="0" y="0"/>
            <a:ext cx="0" cy="0"/>
          </xdr:xfrm>
          <a:graphic>
            <a:graphicData uri="http://schemas.microsoft.com/office/drawing/2010/slicer">
              <sle:slicer xmlns:sle="http://schemas.microsoft.com/office/drawing/2010/slicer" name="Year 41"/>
            </a:graphicData>
          </a:graphic>
        </xdr:graphicFrame>
      </mc:Choice>
      <mc:Fallback xmlns="">
        <xdr:sp macro="" textlink="">
          <xdr:nvSpPr>
            <xdr:cNvPr id="0" name=""/>
            <xdr:cNvSpPr>
              <a:spLocks noTextEdit="1"/>
            </xdr:cNvSpPr>
          </xdr:nvSpPr>
          <xdr:spPr>
            <a:xfrm>
              <a:off x="2806700" y="2495551"/>
              <a:ext cx="6667500" cy="679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142875</xdr:colOff>
      <xdr:row>3</xdr:row>
      <xdr:rowOff>47625</xdr:rowOff>
    </xdr:from>
    <xdr:to>
      <xdr:col>17</xdr:col>
      <xdr:colOff>152400</xdr:colOff>
      <xdr:row>3</xdr:row>
      <xdr:rowOff>457199</xdr:rowOff>
    </xdr:to>
    <mc:AlternateContent xmlns:mc="http://schemas.openxmlformats.org/markup-compatibility/2006" xmlns:a14="http://schemas.microsoft.com/office/drawing/2010/main">
      <mc:Choice Requires="a14">
        <xdr:graphicFrame macro="">
          <xdr:nvGraphicFramePr>
            <xdr:cNvPr id="5" name="Year 42">
              <a:extLst>
                <a:ext uri="{FF2B5EF4-FFF2-40B4-BE49-F238E27FC236}">
                  <a16:creationId xmlns:a16="http://schemas.microsoft.com/office/drawing/2014/main" id="{79BAA8B9-70E6-4999-8AD7-5C44A6E7434E}"/>
                </a:ext>
              </a:extLst>
            </xdr:cNvPr>
            <xdr:cNvGraphicFramePr/>
          </xdr:nvGraphicFramePr>
          <xdr:xfrm>
            <a:off x="0" y="0"/>
            <a:ext cx="0" cy="0"/>
          </xdr:xfrm>
          <a:graphic>
            <a:graphicData uri="http://schemas.microsoft.com/office/drawing/2010/slicer">
              <sle:slicer xmlns:sle="http://schemas.microsoft.com/office/drawing/2010/slicer" name="Year 42"/>
            </a:graphicData>
          </a:graphic>
        </xdr:graphicFrame>
      </mc:Choice>
      <mc:Fallback xmlns="">
        <xdr:sp macro="" textlink="">
          <xdr:nvSpPr>
            <xdr:cNvPr id="0" name=""/>
            <xdr:cNvSpPr>
              <a:spLocks noTextEdit="1"/>
            </xdr:cNvSpPr>
          </xdr:nvSpPr>
          <xdr:spPr>
            <a:xfrm>
              <a:off x="4260850" y="635000"/>
              <a:ext cx="6667500" cy="4127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395287</xdr:colOff>
      <xdr:row>26</xdr:row>
      <xdr:rowOff>150019</xdr:rowOff>
    </xdr:from>
    <xdr:to>
      <xdr:col>5</xdr:col>
      <xdr:colOff>373690</xdr:colOff>
      <xdr:row>31</xdr:row>
      <xdr:rowOff>63501</xdr:rowOff>
    </xdr:to>
    <mc:AlternateContent xmlns:mc="http://schemas.openxmlformats.org/markup-compatibility/2006" xmlns:a14="http://schemas.microsoft.com/office/drawing/2010/main">
      <mc:Choice Requires="a14">
        <xdr:graphicFrame macro="">
          <xdr:nvGraphicFramePr>
            <xdr:cNvPr id="2" name="Year 43">
              <a:extLst>
                <a:ext uri="{FF2B5EF4-FFF2-40B4-BE49-F238E27FC236}">
                  <a16:creationId xmlns:a16="http://schemas.microsoft.com/office/drawing/2014/main" id="{35B9EABD-28CD-4999-A927-A3E4AC833B77}"/>
                </a:ext>
              </a:extLst>
            </xdr:cNvPr>
            <xdr:cNvGraphicFramePr/>
          </xdr:nvGraphicFramePr>
          <xdr:xfrm>
            <a:off x="0" y="0"/>
            <a:ext cx="0" cy="0"/>
          </xdr:xfrm>
          <a:graphic>
            <a:graphicData uri="http://schemas.microsoft.com/office/drawing/2010/slicer">
              <sle:slicer xmlns:sle="http://schemas.microsoft.com/office/drawing/2010/slicer" name="Year 43"/>
            </a:graphicData>
          </a:graphic>
        </xdr:graphicFrame>
      </mc:Choice>
      <mc:Fallback xmlns="">
        <xdr:sp macro="" textlink="">
          <xdr:nvSpPr>
            <xdr:cNvPr id="0" name=""/>
            <xdr:cNvSpPr>
              <a:spLocks noTextEdit="1"/>
            </xdr:cNvSpPr>
          </xdr:nvSpPr>
          <xdr:spPr>
            <a:xfrm>
              <a:off x="6760255" y="4749233"/>
              <a:ext cx="5638976" cy="80112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1477963</xdr:colOff>
      <xdr:row>0</xdr:row>
      <xdr:rowOff>230188</xdr:rowOff>
    </xdr:from>
    <xdr:to>
      <xdr:col>7</xdr:col>
      <xdr:colOff>200025</xdr:colOff>
      <xdr:row>1</xdr:row>
      <xdr:rowOff>190499</xdr:rowOff>
    </xdr:to>
    <mc:AlternateContent xmlns:mc="http://schemas.openxmlformats.org/markup-compatibility/2006" xmlns:a14="http://schemas.microsoft.com/office/drawing/2010/main">
      <mc:Choice Requires="a14">
        <xdr:graphicFrame macro="">
          <xdr:nvGraphicFramePr>
            <xdr:cNvPr id="4" name="Year 45">
              <a:extLst>
                <a:ext uri="{FF2B5EF4-FFF2-40B4-BE49-F238E27FC236}">
                  <a16:creationId xmlns:a16="http://schemas.microsoft.com/office/drawing/2014/main" id="{AE3A807D-DEBA-4175-883D-CEE7052EDF0A}"/>
                </a:ext>
              </a:extLst>
            </xdr:cNvPr>
            <xdr:cNvGraphicFramePr/>
          </xdr:nvGraphicFramePr>
          <xdr:xfrm>
            <a:off x="0" y="0"/>
            <a:ext cx="0" cy="0"/>
          </xdr:xfrm>
          <a:graphic>
            <a:graphicData uri="http://schemas.microsoft.com/office/drawing/2010/slicer">
              <sle:slicer xmlns:sle="http://schemas.microsoft.com/office/drawing/2010/slicer" name="Year 45"/>
            </a:graphicData>
          </a:graphic>
        </xdr:graphicFrame>
      </mc:Choice>
      <mc:Fallback xmlns="">
        <xdr:sp macro="" textlink="">
          <xdr:nvSpPr>
            <xdr:cNvPr id="0" name=""/>
            <xdr:cNvSpPr>
              <a:spLocks noTextEdit="1"/>
            </xdr:cNvSpPr>
          </xdr:nvSpPr>
          <xdr:spPr>
            <a:xfrm>
              <a:off x="2662238" y="230188"/>
              <a:ext cx="6823075" cy="4286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501650</xdr:colOff>
      <xdr:row>2</xdr:row>
      <xdr:rowOff>88901</xdr:rowOff>
    </xdr:from>
    <xdr:to>
      <xdr:col>13</xdr:col>
      <xdr:colOff>228952</xdr:colOff>
      <xdr:row>4</xdr:row>
      <xdr:rowOff>142875</xdr:rowOff>
    </xdr:to>
    <mc:AlternateContent xmlns:mc="http://schemas.openxmlformats.org/markup-compatibility/2006" xmlns:a14="http://schemas.microsoft.com/office/drawing/2010/main">
      <mc:Choice Requires="a14">
        <xdr:graphicFrame macro="">
          <xdr:nvGraphicFramePr>
            <xdr:cNvPr id="2" name="Year 46">
              <a:extLst>
                <a:ext uri="{FF2B5EF4-FFF2-40B4-BE49-F238E27FC236}">
                  <a16:creationId xmlns:a16="http://schemas.microsoft.com/office/drawing/2014/main" id="{199B7E4A-6B40-4DDB-BB0F-A2FF475E539F}"/>
                </a:ext>
              </a:extLst>
            </xdr:cNvPr>
            <xdr:cNvGraphicFramePr/>
          </xdr:nvGraphicFramePr>
          <xdr:xfrm>
            <a:off x="0" y="0"/>
            <a:ext cx="0" cy="0"/>
          </xdr:xfrm>
          <a:graphic>
            <a:graphicData uri="http://schemas.microsoft.com/office/drawing/2010/slicer">
              <sle:slicer xmlns:sle="http://schemas.microsoft.com/office/drawing/2010/slicer" name="Year 46"/>
            </a:graphicData>
          </a:graphic>
        </xdr:graphicFrame>
      </mc:Choice>
      <mc:Fallback xmlns="">
        <xdr:sp macro="" textlink="">
          <xdr:nvSpPr>
            <xdr:cNvPr id="0" name=""/>
            <xdr:cNvSpPr>
              <a:spLocks noTextEdit="1"/>
            </xdr:cNvSpPr>
          </xdr:nvSpPr>
          <xdr:spPr>
            <a:xfrm>
              <a:off x="4927600" y="457201"/>
              <a:ext cx="6350000" cy="6794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571500</xdr:colOff>
      <xdr:row>3</xdr:row>
      <xdr:rowOff>0</xdr:rowOff>
    </xdr:from>
    <xdr:to>
      <xdr:col>16</xdr:col>
      <xdr:colOff>171450</xdr:colOff>
      <xdr:row>3</xdr:row>
      <xdr:rowOff>431799</xdr:rowOff>
    </xdr:to>
    <mc:AlternateContent xmlns:mc="http://schemas.openxmlformats.org/markup-compatibility/2006" xmlns:a14="http://schemas.microsoft.com/office/drawing/2010/main">
      <mc:Choice Requires="a14">
        <xdr:graphicFrame macro="">
          <xdr:nvGraphicFramePr>
            <xdr:cNvPr id="4" name="Year 47">
              <a:extLst>
                <a:ext uri="{FF2B5EF4-FFF2-40B4-BE49-F238E27FC236}">
                  <a16:creationId xmlns:a16="http://schemas.microsoft.com/office/drawing/2014/main" id="{4EF24160-560B-4F54-8895-D66D16FDE6E7}"/>
                </a:ext>
              </a:extLst>
            </xdr:cNvPr>
            <xdr:cNvGraphicFramePr/>
          </xdr:nvGraphicFramePr>
          <xdr:xfrm>
            <a:off x="0" y="0"/>
            <a:ext cx="0" cy="0"/>
          </xdr:xfrm>
          <a:graphic>
            <a:graphicData uri="http://schemas.microsoft.com/office/drawing/2010/slicer">
              <sle:slicer xmlns:sle="http://schemas.microsoft.com/office/drawing/2010/slicer" name="Year 47"/>
            </a:graphicData>
          </a:graphic>
        </xdr:graphicFrame>
      </mc:Choice>
      <mc:Fallback xmlns="">
        <xdr:sp macro="" textlink="">
          <xdr:nvSpPr>
            <xdr:cNvPr id="0" name=""/>
            <xdr:cNvSpPr>
              <a:spLocks noTextEdit="1"/>
            </xdr:cNvSpPr>
          </xdr:nvSpPr>
          <xdr:spPr>
            <a:xfrm>
              <a:off x="5090583" y="603250"/>
              <a:ext cx="6381750" cy="4254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704850</xdr:colOff>
      <xdr:row>7</xdr:row>
      <xdr:rowOff>38101</xdr:rowOff>
    </xdr:from>
    <xdr:to>
      <xdr:col>6</xdr:col>
      <xdr:colOff>1352550</xdr:colOff>
      <xdr:row>11</xdr:row>
      <xdr:rowOff>82551</xdr:rowOff>
    </xdr:to>
    <mc:AlternateContent xmlns:mc="http://schemas.openxmlformats.org/markup-compatibility/2006" xmlns:a14="http://schemas.microsoft.com/office/drawing/2010/main">
      <mc:Choice Requires="a14">
        <xdr:graphicFrame macro="">
          <xdr:nvGraphicFramePr>
            <xdr:cNvPr id="2" name="Year 48">
              <a:extLst>
                <a:ext uri="{FF2B5EF4-FFF2-40B4-BE49-F238E27FC236}">
                  <a16:creationId xmlns:a16="http://schemas.microsoft.com/office/drawing/2014/main" id="{6FD6F244-B41D-4D02-8AD4-FD356866E130}"/>
                </a:ext>
              </a:extLst>
            </xdr:cNvPr>
            <xdr:cNvGraphicFramePr/>
          </xdr:nvGraphicFramePr>
          <xdr:xfrm>
            <a:off x="0" y="0"/>
            <a:ext cx="0" cy="0"/>
          </xdr:xfrm>
          <a:graphic>
            <a:graphicData uri="http://schemas.microsoft.com/office/drawing/2010/slicer">
              <sle:slicer xmlns:sle="http://schemas.microsoft.com/office/drawing/2010/slicer" name="Year 48"/>
            </a:graphicData>
          </a:graphic>
        </xdr:graphicFrame>
      </mc:Choice>
      <mc:Fallback xmlns="">
        <xdr:sp macro="" textlink="">
          <xdr:nvSpPr>
            <xdr:cNvPr id="0" name=""/>
            <xdr:cNvSpPr>
              <a:spLocks noTextEdit="1"/>
            </xdr:cNvSpPr>
          </xdr:nvSpPr>
          <xdr:spPr>
            <a:xfrm>
              <a:off x="2901950" y="1327151"/>
              <a:ext cx="6470650" cy="787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444500</xdr:colOff>
      <xdr:row>11</xdr:row>
      <xdr:rowOff>1</xdr:rowOff>
    </xdr:from>
    <xdr:to>
      <xdr:col>9</xdr:col>
      <xdr:colOff>381000</xdr:colOff>
      <xdr:row>13</xdr:row>
      <xdr:rowOff>82550</xdr:rowOff>
    </xdr:to>
    <mc:AlternateContent xmlns:mc="http://schemas.openxmlformats.org/markup-compatibility/2006" xmlns:a14="http://schemas.microsoft.com/office/drawing/2010/main">
      <mc:Choice Requires="a14">
        <xdr:graphicFrame macro="">
          <xdr:nvGraphicFramePr>
            <xdr:cNvPr id="2" name="Year 39">
              <a:extLst>
                <a:ext uri="{FF2B5EF4-FFF2-40B4-BE49-F238E27FC236}">
                  <a16:creationId xmlns:a16="http://schemas.microsoft.com/office/drawing/2014/main" id="{CF457E4C-A085-40B1-A1B4-E3568DCBA6FB}"/>
                </a:ext>
              </a:extLst>
            </xdr:cNvPr>
            <xdr:cNvGraphicFramePr/>
          </xdr:nvGraphicFramePr>
          <xdr:xfrm>
            <a:off x="0" y="0"/>
            <a:ext cx="0" cy="0"/>
          </xdr:xfrm>
          <a:graphic>
            <a:graphicData uri="http://schemas.microsoft.com/office/drawing/2010/slicer">
              <sle:slicer xmlns:sle="http://schemas.microsoft.com/office/drawing/2010/slicer" name="Year 39"/>
            </a:graphicData>
          </a:graphic>
        </xdr:graphicFrame>
      </mc:Choice>
      <mc:Fallback xmlns="">
        <xdr:sp macro="" textlink="">
          <xdr:nvSpPr>
            <xdr:cNvPr id="0" name=""/>
            <xdr:cNvSpPr>
              <a:spLocks noTextEdit="1"/>
            </xdr:cNvSpPr>
          </xdr:nvSpPr>
          <xdr:spPr>
            <a:xfrm>
              <a:off x="5016500" y="2025651"/>
              <a:ext cx="6362700" cy="4508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4011610</xdr:colOff>
      <xdr:row>3</xdr:row>
      <xdr:rowOff>12699</xdr:rowOff>
    </xdr:from>
    <xdr:to>
      <xdr:col>10</xdr:col>
      <xdr:colOff>552450</xdr:colOff>
      <xdr:row>4</xdr:row>
      <xdr:rowOff>39686</xdr:rowOff>
    </xdr:to>
    <mc:AlternateContent xmlns:mc="http://schemas.openxmlformats.org/markup-compatibility/2006" xmlns:a14="http://schemas.microsoft.com/office/drawing/2010/main">
      <mc:Choice Requires="a14">
        <xdr:graphicFrame macro="">
          <xdr:nvGraphicFramePr>
            <xdr:cNvPr id="6" name="Year 49">
              <a:extLst>
                <a:ext uri="{FF2B5EF4-FFF2-40B4-BE49-F238E27FC236}">
                  <a16:creationId xmlns:a16="http://schemas.microsoft.com/office/drawing/2014/main" id="{B3E1A4FD-1DD6-4A34-8604-F5CBDCDB98BA}"/>
                </a:ext>
              </a:extLst>
            </xdr:cNvPr>
            <xdr:cNvGraphicFramePr/>
          </xdr:nvGraphicFramePr>
          <xdr:xfrm>
            <a:off x="0" y="0"/>
            <a:ext cx="0" cy="0"/>
          </xdr:xfrm>
          <a:graphic>
            <a:graphicData uri="http://schemas.microsoft.com/office/drawing/2010/slicer">
              <sle:slicer xmlns:sle="http://schemas.microsoft.com/office/drawing/2010/slicer" name="Year 49"/>
            </a:graphicData>
          </a:graphic>
        </xdr:graphicFrame>
      </mc:Choice>
      <mc:Fallback xmlns="">
        <xdr:sp macro="" textlink="">
          <xdr:nvSpPr>
            <xdr:cNvPr id="0" name=""/>
            <xdr:cNvSpPr>
              <a:spLocks noTextEdit="1"/>
            </xdr:cNvSpPr>
          </xdr:nvSpPr>
          <xdr:spPr>
            <a:xfrm>
              <a:off x="5214937" y="611187"/>
              <a:ext cx="6470650" cy="42068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3800475</xdr:colOff>
      <xdr:row>16</xdr:row>
      <xdr:rowOff>228600</xdr:rowOff>
    </xdr:from>
    <xdr:to>
      <xdr:col>10</xdr:col>
      <xdr:colOff>219075</xdr:colOff>
      <xdr:row>18</xdr:row>
      <xdr:rowOff>9524</xdr:rowOff>
    </xdr:to>
    <mc:AlternateContent xmlns:mc="http://schemas.openxmlformats.org/markup-compatibility/2006" xmlns:a14="http://schemas.microsoft.com/office/drawing/2010/main">
      <mc:Choice Requires="a14">
        <xdr:graphicFrame macro="">
          <xdr:nvGraphicFramePr>
            <xdr:cNvPr id="7" name="Year 40">
              <a:extLst>
                <a:ext uri="{FF2B5EF4-FFF2-40B4-BE49-F238E27FC236}">
                  <a16:creationId xmlns:a16="http://schemas.microsoft.com/office/drawing/2014/main" id="{F43B91DE-E02B-49D9-B6FF-043F3F2FD482}"/>
                </a:ext>
              </a:extLst>
            </xdr:cNvPr>
            <xdr:cNvGraphicFramePr/>
          </xdr:nvGraphicFramePr>
          <xdr:xfrm>
            <a:off x="0" y="0"/>
            <a:ext cx="0" cy="0"/>
          </xdr:xfrm>
          <a:graphic>
            <a:graphicData uri="http://schemas.microsoft.com/office/drawing/2010/slicer">
              <sle:slicer xmlns:sle="http://schemas.microsoft.com/office/drawing/2010/slicer" name="Year 40"/>
            </a:graphicData>
          </a:graphic>
        </xdr:graphicFrame>
      </mc:Choice>
      <mc:Fallback xmlns="">
        <xdr:sp macro="" textlink="">
          <xdr:nvSpPr>
            <xdr:cNvPr id="0" name=""/>
            <xdr:cNvSpPr>
              <a:spLocks noTextEdit="1"/>
            </xdr:cNvSpPr>
          </xdr:nvSpPr>
          <xdr:spPr>
            <a:xfrm>
              <a:off x="5003800" y="3835400"/>
              <a:ext cx="6361112" cy="4508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127000</xdr:colOff>
      <xdr:row>11</xdr:row>
      <xdr:rowOff>12701</xdr:rowOff>
    </xdr:from>
    <xdr:to>
      <xdr:col>12</xdr:col>
      <xdr:colOff>577850</xdr:colOff>
      <xdr:row>14</xdr:row>
      <xdr:rowOff>120651</xdr:rowOff>
    </xdr:to>
    <mc:AlternateContent xmlns:mc="http://schemas.openxmlformats.org/markup-compatibility/2006" xmlns:a14="http://schemas.microsoft.com/office/drawing/2010/main">
      <mc:Choice Requires="a14">
        <xdr:graphicFrame macro="">
          <xdr:nvGraphicFramePr>
            <xdr:cNvPr id="2" name="Year 60">
              <a:extLst>
                <a:ext uri="{FF2B5EF4-FFF2-40B4-BE49-F238E27FC236}">
                  <a16:creationId xmlns:a16="http://schemas.microsoft.com/office/drawing/2014/main" id="{B075734F-5102-4DED-AB48-7561DC9CE111}"/>
                </a:ext>
              </a:extLst>
            </xdr:cNvPr>
            <xdr:cNvGraphicFramePr/>
          </xdr:nvGraphicFramePr>
          <xdr:xfrm>
            <a:off x="0" y="0"/>
            <a:ext cx="0" cy="0"/>
          </xdr:xfrm>
          <a:graphic>
            <a:graphicData uri="http://schemas.microsoft.com/office/drawing/2010/slicer">
              <sle:slicer xmlns:sle="http://schemas.microsoft.com/office/drawing/2010/slicer" name="Year 60"/>
            </a:graphicData>
          </a:graphic>
        </xdr:graphicFrame>
      </mc:Choice>
      <mc:Fallback xmlns="">
        <xdr:sp macro="" textlink="">
          <xdr:nvSpPr>
            <xdr:cNvPr id="0" name=""/>
            <xdr:cNvSpPr>
              <a:spLocks noTextEdit="1"/>
            </xdr:cNvSpPr>
          </xdr:nvSpPr>
          <xdr:spPr>
            <a:xfrm>
              <a:off x="3721100" y="2038351"/>
              <a:ext cx="6642100" cy="660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330200</xdr:colOff>
      <xdr:row>5</xdr:row>
      <xdr:rowOff>120651</xdr:rowOff>
    </xdr:from>
    <xdr:to>
      <xdr:col>15</xdr:col>
      <xdr:colOff>104775</xdr:colOff>
      <xdr:row>9</xdr:row>
      <xdr:rowOff>161926</xdr:rowOff>
    </xdr:to>
    <mc:AlternateContent xmlns:mc="http://schemas.openxmlformats.org/markup-compatibility/2006" xmlns:a14="http://schemas.microsoft.com/office/drawing/2010/main">
      <mc:Choice Requires="a14">
        <xdr:graphicFrame macro="">
          <xdr:nvGraphicFramePr>
            <xdr:cNvPr id="2" name="Year 50">
              <a:extLst>
                <a:ext uri="{FF2B5EF4-FFF2-40B4-BE49-F238E27FC236}">
                  <a16:creationId xmlns:a16="http://schemas.microsoft.com/office/drawing/2014/main" id="{4EAAECBA-B54F-4B92-91CF-3FDB006B9537}"/>
                </a:ext>
              </a:extLst>
            </xdr:cNvPr>
            <xdr:cNvGraphicFramePr/>
          </xdr:nvGraphicFramePr>
          <xdr:xfrm>
            <a:off x="0" y="0"/>
            <a:ext cx="0" cy="0"/>
          </xdr:xfrm>
          <a:graphic>
            <a:graphicData uri="http://schemas.microsoft.com/office/drawing/2010/slicer">
              <sle:slicer xmlns:sle="http://schemas.microsoft.com/office/drawing/2010/slicer" name="Year 50"/>
            </a:graphicData>
          </a:graphic>
        </xdr:graphicFrame>
      </mc:Choice>
      <mc:Fallback xmlns="">
        <xdr:sp macro="" textlink="">
          <xdr:nvSpPr>
            <xdr:cNvPr id="0" name=""/>
            <xdr:cNvSpPr>
              <a:spLocks noTextEdit="1"/>
            </xdr:cNvSpPr>
          </xdr:nvSpPr>
          <xdr:spPr>
            <a:xfrm>
              <a:off x="4305300" y="1041401"/>
              <a:ext cx="5873750" cy="7747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457198</xdr:colOff>
      <xdr:row>3</xdr:row>
      <xdr:rowOff>95250</xdr:rowOff>
    </xdr:from>
    <xdr:to>
      <xdr:col>16</xdr:col>
      <xdr:colOff>85724</xdr:colOff>
      <xdr:row>5</xdr:row>
      <xdr:rowOff>57150</xdr:rowOff>
    </xdr:to>
    <mc:AlternateContent xmlns:mc="http://schemas.openxmlformats.org/markup-compatibility/2006" xmlns:a14="http://schemas.microsoft.com/office/drawing/2010/main">
      <mc:Choice Requires="a14">
        <xdr:graphicFrame macro="">
          <xdr:nvGraphicFramePr>
            <xdr:cNvPr id="3" name="Year 51">
              <a:extLst>
                <a:ext uri="{FF2B5EF4-FFF2-40B4-BE49-F238E27FC236}">
                  <a16:creationId xmlns:a16="http://schemas.microsoft.com/office/drawing/2014/main" id="{025F8395-81A8-41C1-9902-A2309D2487CD}"/>
                </a:ext>
              </a:extLst>
            </xdr:cNvPr>
            <xdr:cNvGraphicFramePr/>
          </xdr:nvGraphicFramePr>
          <xdr:xfrm>
            <a:off x="0" y="0"/>
            <a:ext cx="0" cy="0"/>
          </xdr:xfrm>
          <a:graphic>
            <a:graphicData uri="http://schemas.microsoft.com/office/drawing/2010/slicer">
              <sle:slicer xmlns:sle="http://schemas.microsoft.com/office/drawing/2010/slicer" name="Year 51"/>
            </a:graphicData>
          </a:graphic>
        </xdr:graphicFrame>
      </mc:Choice>
      <mc:Fallback xmlns="">
        <xdr:sp macro="" textlink="">
          <xdr:nvSpPr>
            <xdr:cNvPr id="0" name=""/>
            <xdr:cNvSpPr>
              <a:spLocks noTextEdit="1"/>
            </xdr:cNvSpPr>
          </xdr:nvSpPr>
          <xdr:spPr>
            <a:xfrm>
              <a:off x="3286123" y="828675"/>
              <a:ext cx="7813676"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146050</xdr:colOff>
      <xdr:row>2</xdr:row>
      <xdr:rowOff>101601</xdr:rowOff>
    </xdr:from>
    <xdr:to>
      <xdr:col>15</xdr:col>
      <xdr:colOff>19050</xdr:colOff>
      <xdr:row>7</xdr:row>
      <xdr:rowOff>9525</xdr:rowOff>
    </xdr:to>
    <mc:AlternateContent xmlns:mc="http://schemas.openxmlformats.org/markup-compatibility/2006" xmlns:a14="http://schemas.microsoft.com/office/drawing/2010/main">
      <mc:Choice Requires="a14">
        <xdr:graphicFrame macro="">
          <xdr:nvGraphicFramePr>
            <xdr:cNvPr id="2" name="Year 14">
              <a:extLst>
                <a:ext uri="{FF2B5EF4-FFF2-40B4-BE49-F238E27FC236}">
                  <a16:creationId xmlns:a16="http://schemas.microsoft.com/office/drawing/2014/main" id="{D410767B-75CE-494B-94C5-2778FB52B385}"/>
                </a:ext>
              </a:extLst>
            </xdr:cNvPr>
            <xdr:cNvGraphicFramePr/>
          </xdr:nvGraphicFramePr>
          <xdr:xfrm>
            <a:off x="0" y="0"/>
            <a:ext cx="0" cy="0"/>
          </xdr:xfrm>
          <a:graphic>
            <a:graphicData uri="http://schemas.microsoft.com/office/drawing/2010/slicer">
              <sle:slicer xmlns:sle="http://schemas.microsoft.com/office/drawing/2010/slicer" name="Year 14"/>
            </a:graphicData>
          </a:graphic>
        </xdr:graphicFrame>
      </mc:Choice>
      <mc:Fallback xmlns="">
        <xdr:sp macro="" textlink="">
          <xdr:nvSpPr>
            <xdr:cNvPr id="0" name=""/>
            <xdr:cNvSpPr>
              <a:spLocks noTextEdit="1"/>
            </xdr:cNvSpPr>
          </xdr:nvSpPr>
          <xdr:spPr>
            <a:xfrm>
              <a:off x="4089400" y="469901"/>
              <a:ext cx="6578600" cy="8318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76198</xdr:colOff>
      <xdr:row>0</xdr:row>
      <xdr:rowOff>44451</xdr:rowOff>
    </xdr:from>
    <xdr:to>
      <xdr:col>10</xdr:col>
      <xdr:colOff>571499</xdr:colOff>
      <xdr:row>1</xdr:row>
      <xdr:rowOff>152400</xdr:rowOff>
    </xdr:to>
    <mc:AlternateContent xmlns:mc="http://schemas.openxmlformats.org/markup-compatibility/2006" xmlns:a14="http://schemas.microsoft.com/office/drawing/2010/main">
      <mc:Choice Requires="a14">
        <xdr:graphicFrame macro="">
          <xdr:nvGraphicFramePr>
            <xdr:cNvPr id="3" name="Year 15">
              <a:extLst>
                <a:ext uri="{FF2B5EF4-FFF2-40B4-BE49-F238E27FC236}">
                  <a16:creationId xmlns:a16="http://schemas.microsoft.com/office/drawing/2014/main" id="{41C55B36-1B6E-4346-A6A2-B8DD64FDE121}"/>
                </a:ext>
              </a:extLst>
            </xdr:cNvPr>
            <xdr:cNvGraphicFramePr/>
          </xdr:nvGraphicFramePr>
          <xdr:xfrm>
            <a:off x="0" y="0"/>
            <a:ext cx="0" cy="0"/>
          </xdr:xfrm>
          <a:graphic>
            <a:graphicData uri="http://schemas.microsoft.com/office/drawing/2010/slicer">
              <sle:slicer xmlns:sle="http://schemas.microsoft.com/office/drawing/2010/slicer" name="Year 15"/>
            </a:graphicData>
          </a:graphic>
        </xdr:graphicFrame>
      </mc:Choice>
      <mc:Fallback xmlns="">
        <xdr:sp macro="" textlink="">
          <xdr:nvSpPr>
            <xdr:cNvPr id="0" name=""/>
            <xdr:cNvSpPr>
              <a:spLocks noTextEdit="1"/>
            </xdr:cNvSpPr>
          </xdr:nvSpPr>
          <xdr:spPr>
            <a:xfrm>
              <a:off x="2647950" y="44451"/>
              <a:ext cx="6854825" cy="4127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295275</xdr:colOff>
      <xdr:row>11</xdr:row>
      <xdr:rowOff>1</xdr:rowOff>
    </xdr:from>
    <xdr:to>
      <xdr:col>13</xdr:col>
      <xdr:colOff>511175</xdr:colOff>
      <xdr:row>15</xdr:row>
      <xdr:rowOff>19050</xdr:rowOff>
    </xdr:to>
    <mc:AlternateContent xmlns:mc="http://schemas.openxmlformats.org/markup-compatibility/2006" xmlns:a14="http://schemas.microsoft.com/office/drawing/2010/main">
      <mc:Choice Requires="a14">
        <xdr:graphicFrame macro="">
          <xdr:nvGraphicFramePr>
            <xdr:cNvPr id="2" name="Year 52">
              <a:extLst>
                <a:ext uri="{FF2B5EF4-FFF2-40B4-BE49-F238E27FC236}">
                  <a16:creationId xmlns:a16="http://schemas.microsoft.com/office/drawing/2014/main" id="{0D7A215C-90FE-41EA-B0CD-69B88B227C16}"/>
                </a:ext>
              </a:extLst>
            </xdr:cNvPr>
            <xdr:cNvGraphicFramePr/>
          </xdr:nvGraphicFramePr>
          <xdr:xfrm>
            <a:off x="0" y="0"/>
            <a:ext cx="0" cy="0"/>
          </xdr:xfrm>
          <a:graphic>
            <a:graphicData uri="http://schemas.microsoft.com/office/drawing/2010/slicer">
              <sle:slicer xmlns:sle="http://schemas.microsoft.com/office/drawing/2010/slicer" name="Year 52"/>
            </a:graphicData>
          </a:graphic>
        </xdr:graphicFrame>
      </mc:Choice>
      <mc:Fallback xmlns="">
        <xdr:sp macro="" textlink="">
          <xdr:nvSpPr>
            <xdr:cNvPr id="0" name=""/>
            <xdr:cNvSpPr>
              <a:spLocks noTextEdit="1"/>
            </xdr:cNvSpPr>
          </xdr:nvSpPr>
          <xdr:spPr>
            <a:xfrm>
              <a:off x="4387850" y="1990726"/>
              <a:ext cx="5705475" cy="7429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190500</xdr:colOff>
      <xdr:row>0</xdr:row>
      <xdr:rowOff>82550</xdr:rowOff>
    </xdr:from>
    <xdr:to>
      <xdr:col>11</xdr:col>
      <xdr:colOff>257175</xdr:colOff>
      <xdr:row>1</xdr:row>
      <xdr:rowOff>139700</xdr:rowOff>
    </xdr:to>
    <mc:AlternateContent xmlns:mc="http://schemas.openxmlformats.org/markup-compatibility/2006" xmlns:a14="http://schemas.microsoft.com/office/drawing/2010/main">
      <mc:Choice Requires="a14">
        <xdr:graphicFrame macro="">
          <xdr:nvGraphicFramePr>
            <xdr:cNvPr id="4" name="Year 53">
              <a:extLst>
                <a:ext uri="{FF2B5EF4-FFF2-40B4-BE49-F238E27FC236}">
                  <a16:creationId xmlns:a16="http://schemas.microsoft.com/office/drawing/2014/main" id="{CB8E0EF0-92A1-40FE-A555-65AD48DDE3F2}"/>
                </a:ext>
              </a:extLst>
            </xdr:cNvPr>
            <xdr:cNvGraphicFramePr/>
          </xdr:nvGraphicFramePr>
          <xdr:xfrm>
            <a:off x="0" y="0"/>
            <a:ext cx="0" cy="0"/>
          </xdr:xfrm>
          <a:graphic>
            <a:graphicData uri="http://schemas.microsoft.com/office/drawing/2010/slicer">
              <sle:slicer xmlns:sle="http://schemas.microsoft.com/office/drawing/2010/slicer" name="Year 53"/>
            </a:graphicData>
          </a:graphic>
        </xdr:graphicFrame>
      </mc:Choice>
      <mc:Fallback xmlns="">
        <xdr:sp macro="" textlink="">
          <xdr:nvSpPr>
            <xdr:cNvPr id="0" name=""/>
            <xdr:cNvSpPr>
              <a:spLocks noTextEdit="1"/>
            </xdr:cNvSpPr>
          </xdr:nvSpPr>
          <xdr:spPr>
            <a:xfrm>
              <a:off x="2794000" y="82550"/>
              <a:ext cx="6527800" cy="4063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523875</xdr:colOff>
      <xdr:row>18</xdr:row>
      <xdr:rowOff>152400</xdr:rowOff>
    </xdr:from>
    <xdr:to>
      <xdr:col>7</xdr:col>
      <xdr:colOff>2203450</xdr:colOff>
      <xdr:row>22</xdr:row>
      <xdr:rowOff>126999</xdr:rowOff>
    </xdr:to>
    <mc:AlternateContent xmlns:mc="http://schemas.openxmlformats.org/markup-compatibility/2006" xmlns:a14="http://schemas.microsoft.com/office/drawing/2010/main">
      <mc:Choice Requires="a14">
        <xdr:graphicFrame macro="">
          <xdr:nvGraphicFramePr>
            <xdr:cNvPr id="2" name="Year 18">
              <a:extLst>
                <a:ext uri="{FF2B5EF4-FFF2-40B4-BE49-F238E27FC236}">
                  <a16:creationId xmlns:a16="http://schemas.microsoft.com/office/drawing/2014/main" id="{81F9E2F1-F184-4DA3-BBB7-D53986241087}"/>
                </a:ext>
              </a:extLst>
            </xdr:cNvPr>
            <xdr:cNvGraphicFramePr/>
          </xdr:nvGraphicFramePr>
          <xdr:xfrm>
            <a:off x="0" y="0"/>
            <a:ext cx="0" cy="0"/>
          </xdr:xfrm>
          <a:graphic>
            <a:graphicData uri="http://schemas.microsoft.com/office/drawing/2010/slicer">
              <sle:slicer xmlns:sle="http://schemas.microsoft.com/office/drawing/2010/slicer" name="Year 18"/>
            </a:graphicData>
          </a:graphic>
        </xdr:graphicFrame>
      </mc:Choice>
      <mc:Fallback xmlns="">
        <xdr:sp macro="" textlink="">
          <xdr:nvSpPr>
            <xdr:cNvPr id="0" name=""/>
            <xdr:cNvSpPr>
              <a:spLocks noTextEdit="1"/>
            </xdr:cNvSpPr>
          </xdr:nvSpPr>
          <xdr:spPr>
            <a:xfrm>
              <a:off x="5197475" y="3409950"/>
              <a:ext cx="6575425" cy="6953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628650</xdr:colOff>
      <xdr:row>3</xdr:row>
      <xdr:rowOff>158751</xdr:rowOff>
    </xdr:from>
    <xdr:to>
      <xdr:col>13</xdr:col>
      <xdr:colOff>501650</xdr:colOff>
      <xdr:row>5</xdr:row>
      <xdr:rowOff>158751</xdr:rowOff>
    </xdr:to>
    <mc:AlternateContent xmlns:mc="http://schemas.openxmlformats.org/markup-compatibility/2006" xmlns:a14="http://schemas.microsoft.com/office/drawing/2010/main">
      <mc:Choice Requires="a14">
        <xdr:graphicFrame macro="">
          <xdr:nvGraphicFramePr>
            <xdr:cNvPr id="7" name="Year 19">
              <a:extLst>
                <a:ext uri="{FF2B5EF4-FFF2-40B4-BE49-F238E27FC236}">
                  <a16:creationId xmlns:a16="http://schemas.microsoft.com/office/drawing/2014/main" id="{7F2C7AE3-5AE1-4D4E-B332-08916CD0710E}"/>
                </a:ext>
              </a:extLst>
            </xdr:cNvPr>
            <xdr:cNvGraphicFramePr/>
          </xdr:nvGraphicFramePr>
          <xdr:xfrm>
            <a:off x="0" y="0"/>
            <a:ext cx="0" cy="0"/>
          </xdr:xfrm>
          <a:graphic>
            <a:graphicData uri="http://schemas.microsoft.com/office/drawing/2010/slicer">
              <sle:slicer xmlns:sle="http://schemas.microsoft.com/office/drawing/2010/slicer" name="Year 19"/>
            </a:graphicData>
          </a:graphic>
        </xdr:graphicFrame>
      </mc:Choice>
      <mc:Fallback xmlns="">
        <xdr:sp macro="" textlink="">
          <xdr:nvSpPr>
            <xdr:cNvPr id="0" name=""/>
            <xdr:cNvSpPr>
              <a:spLocks noTextEdit="1"/>
            </xdr:cNvSpPr>
          </xdr:nvSpPr>
          <xdr:spPr>
            <a:xfrm>
              <a:off x="4362450" y="723901"/>
              <a:ext cx="6597650" cy="425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25400</xdr:colOff>
      <xdr:row>30</xdr:row>
      <xdr:rowOff>76201</xdr:rowOff>
    </xdr:from>
    <xdr:to>
      <xdr:col>15</xdr:col>
      <xdr:colOff>95250</xdr:colOff>
      <xdr:row>32</xdr:row>
      <xdr:rowOff>101601</xdr:rowOff>
    </xdr:to>
    <mc:AlternateContent xmlns:mc="http://schemas.openxmlformats.org/markup-compatibility/2006" xmlns:a14="http://schemas.microsoft.com/office/drawing/2010/main">
      <mc:Choice Requires="a14">
        <xdr:graphicFrame macro="">
          <xdr:nvGraphicFramePr>
            <xdr:cNvPr id="4" name="Year 20">
              <a:extLst>
                <a:ext uri="{FF2B5EF4-FFF2-40B4-BE49-F238E27FC236}">
                  <a16:creationId xmlns:a16="http://schemas.microsoft.com/office/drawing/2014/main" id="{13650BF6-AE74-4752-8F2B-2C3527ABE785}"/>
                </a:ext>
              </a:extLst>
            </xdr:cNvPr>
            <xdr:cNvGraphicFramePr/>
          </xdr:nvGraphicFramePr>
          <xdr:xfrm>
            <a:off x="0" y="0"/>
            <a:ext cx="0" cy="0"/>
          </xdr:xfrm>
          <a:graphic>
            <a:graphicData uri="http://schemas.microsoft.com/office/drawing/2010/slicer">
              <sle:slicer xmlns:sle="http://schemas.microsoft.com/office/drawing/2010/slicer" name="Year 20"/>
            </a:graphicData>
          </a:graphic>
        </xdr:graphicFrame>
      </mc:Choice>
      <mc:Fallback xmlns="">
        <xdr:sp macro="" textlink="">
          <xdr:nvSpPr>
            <xdr:cNvPr id="0" name=""/>
            <xdr:cNvSpPr>
              <a:spLocks noTextEdit="1"/>
            </xdr:cNvSpPr>
          </xdr:nvSpPr>
          <xdr:spPr>
            <a:xfrm>
              <a:off x="4025900" y="5842001"/>
              <a:ext cx="659765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1295400</xdr:colOff>
      <xdr:row>0</xdr:row>
      <xdr:rowOff>114301</xdr:rowOff>
    </xdr:from>
    <xdr:to>
      <xdr:col>8</xdr:col>
      <xdr:colOff>368300</xdr:colOff>
      <xdr:row>5</xdr:row>
      <xdr:rowOff>1</xdr:rowOff>
    </xdr:to>
    <mc:AlternateContent xmlns:mc="http://schemas.openxmlformats.org/markup-compatibility/2006" xmlns:a14="http://schemas.microsoft.com/office/drawing/2010/main">
      <mc:Choice Requires="a14">
        <xdr:graphicFrame macro="">
          <xdr:nvGraphicFramePr>
            <xdr:cNvPr id="2" name="Year 16">
              <a:extLst>
                <a:ext uri="{FF2B5EF4-FFF2-40B4-BE49-F238E27FC236}">
                  <a16:creationId xmlns:a16="http://schemas.microsoft.com/office/drawing/2014/main" id="{93CE68C0-1CE0-4C85-B210-D981FE64079C}"/>
                </a:ext>
              </a:extLst>
            </xdr:cNvPr>
            <xdr:cNvGraphicFramePr/>
          </xdr:nvGraphicFramePr>
          <xdr:xfrm>
            <a:off x="0" y="0"/>
            <a:ext cx="0" cy="0"/>
          </xdr:xfrm>
          <a:graphic>
            <a:graphicData uri="http://schemas.microsoft.com/office/drawing/2010/slicer">
              <sle:slicer xmlns:sle="http://schemas.microsoft.com/office/drawing/2010/slicer" name="Year 16"/>
            </a:graphicData>
          </a:graphic>
        </xdr:graphicFrame>
      </mc:Choice>
      <mc:Fallback xmlns="">
        <xdr:sp macro="" textlink="">
          <xdr:nvSpPr>
            <xdr:cNvPr id="0" name=""/>
            <xdr:cNvSpPr>
              <a:spLocks noTextEdit="1"/>
            </xdr:cNvSpPr>
          </xdr:nvSpPr>
          <xdr:spPr>
            <a:xfrm>
              <a:off x="5861050" y="114301"/>
              <a:ext cx="3905250" cy="800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692150</xdr:colOff>
      <xdr:row>2</xdr:row>
      <xdr:rowOff>133350</xdr:rowOff>
    </xdr:from>
    <xdr:to>
      <xdr:col>8</xdr:col>
      <xdr:colOff>196850</xdr:colOff>
      <xdr:row>4</xdr:row>
      <xdr:rowOff>120650</xdr:rowOff>
    </xdr:to>
    <mc:AlternateContent xmlns:mc="http://schemas.openxmlformats.org/markup-compatibility/2006" xmlns:a14="http://schemas.microsoft.com/office/drawing/2010/main">
      <mc:Choice Requires="a14">
        <xdr:graphicFrame macro="">
          <xdr:nvGraphicFramePr>
            <xdr:cNvPr id="4" name="Year 17">
              <a:extLst>
                <a:ext uri="{FF2B5EF4-FFF2-40B4-BE49-F238E27FC236}">
                  <a16:creationId xmlns:a16="http://schemas.microsoft.com/office/drawing/2014/main" id="{EBAD7D76-1CF5-40CD-B7D4-8D49D092954E}"/>
                </a:ext>
              </a:extLst>
            </xdr:cNvPr>
            <xdr:cNvGraphicFramePr/>
          </xdr:nvGraphicFramePr>
          <xdr:xfrm>
            <a:off x="0" y="0"/>
            <a:ext cx="0" cy="0"/>
          </xdr:xfrm>
          <a:graphic>
            <a:graphicData uri="http://schemas.microsoft.com/office/drawing/2010/slicer">
              <sle:slicer xmlns:sle="http://schemas.microsoft.com/office/drawing/2010/slicer" name="Year 17"/>
            </a:graphicData>
          </a:graphic>
        </xdr:graphicFrame>
      </mc:Choice>
      <mc:Fallback xmlns="">
        <xdr:sp macro="" textlink="">
          <xdr:nvSpPr>
            <xdr:cNvPr id="0" name=""/>
            <xdr:cNvSpPr>
              <a:spLocks noTextEdit="1"/>
            </xdr:cNvSpPr>
          </xdr:nvSpPr>
          <xdr:spPr>
            <a:xfrm>
              <a:off x="3327400" y="514350"/>
              <a:ext cx="3905250" cy="4127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965199</xdr:colOff>
      <xdr:row>24</xdr:row>
      <xdr:rowOff>0</xdr:rowOff>
    </xdr:from>
    <xdr:to>
      <xdr:col>8</xdr:col>
      <xdr:colOff>361950</xdr:colOff>
      <xdr:row>26</xdr:row>
      <xdr:rowOff>0</xdr:rowOff>
    </xdr:to>
    <mc:AlternateContent xmlns:mc="http://schemas.openxmlformats.org/markup-compatibility/2006" xmlns:a14="http://schemas.microsoft.com/office/drawing/2010/main">
      <mc:Choice Requires="a14">
        <xdr:graphicFrame macro="">
          <xdr:nvGraphicFramePr>
            <xdr:cNvPr id="5" name="Year 21">
              <a:extLst>
                <a:ext uri="{FF2B5EF4-FFF2-40B4-BE49-F238E27FC236}">
                  <a16:creationId xmlns:a16="http://schemas.microsoft.com/office/drawing/2014/main" id="{7A2C612E-6603-4157-A676-C19579CE6FC8}"/>
                </a:ext>
              </a:extLst>
            </xdr:cNvPr>
            <xdr:cNvGraphicFramePr/>
          </xdr:nvGraphicFramePr>
          <xdr:xfrm>
            <a:off x="0" y="0"/>
            <a:ext cx="0" cy="0"/>
          </xdr:xfrm>
          <a:graphic>
            <a:graphicData uri="http://schemas.microsoft.com/office/drawing/2010/slicer">
              <sle:slicer xmlns:sle="http://schemas.microsoft.com/office/drawing/2010/slicer" name="Year 21"/>
            </a:graphicData>
          </a:graphic>
        </xdr:graphicFrame>
      </mc:Choice>
      <mc:Fallback xmlns="">
        <xdr:sp macro="" textlink="">
          <xdr:nvSpPr>
            <xdr:cNvPr id="0" name=""/>
            <xdr:cNvSpPr>
              <a:spLocks noTextEdit="1"/>
            </xdr:cNvSpPr>
          </xdr:nvSpPr>
          <xdr:spPr>
            <a:xfrm>
              <a:off x="3594100" y="5410200"/>
              <a:ext cx="3905250" cy="800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749300</xdr:colOff>
      <xdr:row>2</xdr:row>
      <xdr:rowOff>165100</xdr:rowOff>
    </xdr:from>
    <xdr:to>
      <xdr:col>11</xdr:col>
      <xdr:colOff>542925</xdr:colOff>
      <xdr:row>5</xdr:row>
      <xdr:rowOff>19050</xdr:rowOff>
    </xdr:to>
    <mc:AlternateContent xmlns:mc="http://schemas.openxmlformats.org/markup-compatibility/2006" xmlns:a14="http://schemas.microsoft.com/office/drawing/2010/main">
      <mc:Choice Requires="a14">
        <xdr:graphicFrame macro="">
          <xdr:nvGraphicFramePr>
            <xdr:cNvPr id="3" name="Year 61">
              <a:extLst>
                <a:ext uri="{FF2B5EF4-FFF2-40B4-BE49-F238E27FC236}">
                  <a16:creationId xmlns:a16="http://schemas.microsoft.com/office/drawing/2014/main" id="{C2472086-0C89-4F44-9297-7A0AD452F20F}"/>
                </a:ext>
              </a:extLst>
            </xdr:cNvPr>
            <xdr:cNvGraphicFramePr/>
          </xdr:nvGraphicFramePr>
          <xdr:xfrm>
            <a:off x="0" y="0"/>
            <a:ext cx="0" cy="0"/>
          </xdr:xfrm>
          <a:graphic>
            <a:graphicData uri="http://schemas.microsoft.com/office/drawing/2010/slicer">
              <sle:slicer xmlns:sle="http://schemas.microsoft.com/office/drawing/2010/slicer" name="Year 61"/>
            </a:graphicData>
          </a:graphic>
        </xdr:graphicFrame>
      </mc:Choice>
      <mc:Fallback xmlns="">
        <xdr:sp macro="" textlink="">
          <xdr:nvSpPr>
            <xdr:cNvPr id="0" name=""/>
            <xdr:cNvSpPr>
              <a:spLocks noTextEdit="1"/>
            </xdr:cNvSpPr>
          </xdr:nvSpPr>
          <xdr:spPr>
            <a:xfrm>
              <a:off x="4641850" y="558800"/>
              <a:ext cx="6642100" cy="660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1250950</xdr:colOff>
      <xdr:row>30</xdr:row>
      <xdr:rowOff>50801</xdr:rowOff>
    </xdr:from>
    <xdr:to>
      <xdr:col>7</xdr:col>
      <xdr:colOff>762000</xdr:colOff>
      <xdr:row>32</xdr:row>
      <xdr:rowOff>123825</xdr:rowOff>
    </xdr:to>
    <mc:AlternateContent xmlns:mc="http://schemas.openxmlformats.org/markup-compatibility/2006" xmlns:a14="http://schemas.microsoft.com/office/drawing/2010/main">
      <mc:Choice Requires="a14">
        <xdr:graphicFrame macro="">
          <xdr:nvGraphicFramePr>
            <xdr:cNvPr id="19" name="Year 63">
              <a:extLst>
                <a:ext uri="{FF2B5EF4-FFF2-40B4-BE49-F238E27FC236}">
                  <a16:creationId xmlns:a16="http://schemas.microsoft.com/office/drawing/2014/main" id="{861D1B09-F106-41D1-8769-106F7E9D2727}"/>
                </a:ext>
              </a:extLst>
            </xdr:cNvPr>
            <xdr:cNvGraphicFramePr/>
          </xdr:nvGraphicFramePr>
          <xdr:xfrm>
            <a:off x="0" y="0"/>
            <a:ext cx="0" cy="0"/>
          </xdr:xfrm>
          <a:graphic>
            <a:graphicData uri="http://schemas.microsoft.com/office/drawing/2010/slicer">
              <sle:slicer xmlns:sle="http://schemas.microsoft.com/office/drawing/2010/slicer" name="Year 63"/>
            </a:graphicData>
          </a:graphic>
        </xdr:graphicFrame>
      </mc:Choice>
      <mc:Fallback xmlns="">
        <xdr:sp macro="" textlink="">
          <xdr:nvSpPr>
            <xdr:cNvPr id="0" name=""/>
            <xdr:cNvSpPr>
              <a:spLocks noTextEdit="1"/>
            </xdr:cNvSpPr>
          </xdr:nvSpPr>
          <xdr:spPr>
            <a:xfrm>
              <a:off x="3302000" y="6451601"/>
              <a:ext cx="4895850" cy="5079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857250</xdr:colOff>
      <xdr:row>4</xdr:row>
      <xdr:rowOff>0</xdr:rowOff>
    </xdr:from>
    <xdr:to>
      <xdr:col>8</xdr:col>
      <xdr:colOff>647700</xdr:colOff>
      <xdr:row>6</xdr:row>
      <xdr:rowOff>31749</xdr:rowOff>
    </xdr:to>
    <mc:AlternateContent xmlns:mc="http://schemas.openxmlformats.org/markup-compatibility/2006" xmlns:a14="http://schemas.microsoft.com/office/drawing/2010/main">
      <mc:Choice Requires="a14">
        <xdr:graphicFrame macro="">
          <xdr:nvGraphicFramePr>
            <xdr:cNvPr id="20" name="Year 65">
              <a:extLst>
                <a:ext uri="{FF2B5EF4-FFF2-40B4-BE49-F238E27FC236}">
                  <a16:creationId xmlns:a16="http://schemas.microsoft.com/office/drawing/2014/main" id="{ED136CB0-C2CC-48EC-B912-9F5903E4E2DC}"/>
                </a:ext>
              </a:extLst>
            </xdr:cNvPr>
            <xdr:cNvGraphicFramePr/>
          </xdr:nvGraphicFramePr>
          <xdr:xfrm>
            <a:off x="0" y="0"/>
            <a:ext cx="0" cy="0"/>
          </xdr:xfrm>
          <a:graphic>
            <a:graphicData uri="http://schemas.microsoft.com/office/drawing/2010/slicer">
              <sle:slicer xmlns:sle="http://schemas.microsoft.com/office/drawing/2010/slicer" name="Year 65"/>
            </a:graphicData>
          </a:graphic>
        </xdr:graphicFrame>
      </mc:Choice>
      <mc:Fallback xmlns="">
        <xdr:sp macro="" textlink="">
          <xdr:nvSpPr>
            <xdr:cNvPr id="0" name=""/>
            <xdr:cNvSpPr>
              <a:spLocks noTextEdit="1"/>
            </xdr:cNvSpPr>
          </xdr:nvSpPr>
          <xdr:spPr>
            <a:xfrm>
              <a:off x="4514850" y="831851"/>
              <a:ext cx="4470400" cy="4317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1092200</xdr:colOff>
      <xdr:row>46</xdr:row>
      <xdr:rowOff>1</xdr:rowOff>
    </xdr:from>
    <xdr:to>
      <xdr:col>8</xdr:col>
      <xdr:colOff>1019175</xdr:colOff>
      <xdr:row>48</xdr:row>
      <xdr:rowOff>76201</xdr:rowOff>
    </xdr:to>
    <mc:AlternateContent xmlns:mc="http://schemas.openxmlformats.org/markup-compatibility/2006" xmlns:a14="http://schemas.microsoft.com/office/drawing/2010/main">
      <mc:Choice Requires="a14">
        <xdr:graphicFrame macro="">
          <xdr:nvGraphicFramePr>
            <xdr:cNvPr id="2" name="FiscalYr 1">
              <a:extLst>
                <a:ext uri="{FF2B5EF4-FFF2-40B4-BE49-F238E27FC236}">
                  <a16:creationId xmlns:a16="http://schemas.microsoft.com/office/drawing/2014/main" id="{F0F16C47-B9F6-4C5B-9F30-EF918304FB2E}"/>
                </a:ext>
              </a:extLst>
            </xdr:cNvPr>
            <xdr:cNvGraphicFramePr/>
          </xdr:nvGraphicFramePr>
          <xdr:xfrm>
            <a:off x="0" y="0"/>
            <a:ext cx="0" cy="0"/>
          </xdr:xfrm>
          <a:graphic>
            <a:graphicData uri="http://schemas.microsoft.com/office/drawing/2010/slicer">
              <sle:slicer xmlns:sle="http://schemas.microsoft.com/office/drawing/2010/slicer" name="FiscalYr 1"/>
            </a:graphicData>
          </a:graphic>
        </xdr:graphicFrame>
      </mc:Choice>
      <mc:Fallback xmlns="">
        <xdr:sp macro="" textlink="">
          <xdr:nvSpPr>
            <xdr:cNvPr id="0" name=""/>
            <xdr:cNvSpPr>
              <a:spLocks noTextEdit="1"/>
            </xdr:cNvSpPr>
          </xdr:nvSpPr>
          <xdr:spPr>
            <a:xfrm>
              <a:off x="4752975" y="10420351"/>
              <a:ext cx="4606925"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38100</xdr:colOff>
      <xdr:row>60</xdr:row>
      <xdr:rowOff>190501</xdr:rowOff>
    </xdr:from>
    <xdr:to>
      <xdr:col>8</xdr:col>
      <xdr:colOff>1533525</xdr:colOff>
      <xdr:row>63</xdr:row>
      <xdr:rowOff>47626</xdr:rowOff>
    </xdr:to>
    <mc:AlternateContent xmlns:mc="http://schemas.openxmlformats.org/markup-compatibility/2006" xmlns:a14="http://schemas.microsoft.com/office/drawing/2010/main">
      <mc:Choice Requires="a14">
        <xdr:graphicFrame macro="">
          <xdr:nvGraphicFramePr>
            <xdr:cNvPr id="3" name="FiscalYr 3">
              <a:extLst>
                <a:ext uri="{FF2B5EF4-FFF2-40B4-BE49-F238E27FC236}">
                  <a16:creationId xmlns:a16="http://schemas.microsoft.com/office/drawing/2014/main" id="{4498A251-A1D9-43E3-ADDE-4A0CECB850B7}"/>
                </a:ext>
              </a:extLst>
            </xdr:cNvPr>
            <xdr:cNvGraphicFramePr/>
          </xdr:nvGraphicFramePr>
          <xdr:xfrm>
            <a:off x="0" y="0"/>
            <a:ext cx="0" cy="0"/>
          </xdr:xfrm>
          <a:graphic>
            <a:graphicData uri="http://schemas.microsoft.com/office/drawing/2010/slicer">
              <sle:slicer xmlns:sle="http://schemas.microsoft.com/office/drawing/2010/slicer" name="FiscalYr 3"/>
            </a:graphicData>
          </a:graphic>
        </xdr:graphicFrame>
      </mc:Choice>
      <mc:Fallback xmlns="">
        <xdr:sp macro="" textlink="">
          <xdr:nvSpPr>
            <xdr:cNvPr id="0" name=""/>
            <xdr:cNvSpPr>
              <a:spLocks noTextEdit="1"/>
            </xdr:cNvSpPr>
          </xdr:nvSpPr>
          <xdr:spPr>
            <a:xfrm>
              <a:off x="5210175" y="13496925"/>
              <a:ext cx="4664075" cy="4635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1.xml><?xml version="1.0" encoding="utf-8"?>
<xdr:wsDr xmlns:xdr="http://schemas.openxmlformats.org/drawingml/2006/spreadsheetDrawing" xmlns:a="http://schemas.openxmlformats.org/drawingml/2006/main">
  <xdr:twoCellAnchor editAs="oneCell">
    <xdr:from>
      <xdr:col>8</xdr:col>
      <xdr:colOff>50800</xdr:colOff>
      <xdr:row>1</xdr:row>
      <xdr:rowOff>107950</xdr:rowOff>
    </xdr:from>
    <xdr:to>
      <xdr:col>11</xdr:col>
      <xdr:colOff>47625</xdr:colOff>
      <xdr:row>15</xdr:row>
      <xdr:rowOff>53975</xdr:rowOff>
    </xdr:to>
    <mc:AlternateContent xmlns:mc="http://schemas.openxmlformats.org/markup-compatibility/2006" xmlns:a14="http://schemas.microsoft.com/office/drawing/2010/main">
      <mc:Choice Requires="a14">
        <xdr:graphicFrame macro="">
          <xdr:nvGraphicFramePr>
            <xdr:cNvPr id="2" name="Year 55">
              <a:extLst>
                <a:ext uri="{FF2B5EF4-FFF2-40B4-BE49-F238E27FC236}">
                  <a16:creationId xmlns:a16="http://schemas.microsoft.com/office/drawing/2014/main" id="{D1C2F553-22FD-429C-AFAF-9FC3BB976185}"/>
                </a:ext>
              </a:extLst>
            </xdr:cNvPr>
            <xdr:cNvGraphicFramePr/>
          </xdr:nvGraphicFramePr>
          <xdr:xfrm>
            <a:off x="0" y="0"/>
            <a:ext cx="0" cy="0"/>
          </xdr:xfrm>
          <a:graphic>
            <a:graphicData uri="http://schemas.microsoft.com/office/drawing/2010/slicer">
              <sle:slicer xmlns:sle="http://schemas.microsoft.com/office/drawing/2010/slicer" name="Year 55"/>
            </a:graphicData>
          </a:graphic>
        </xdr:graphicFrame>
      </mc:Choice>
      <mc:Fallback xmlns="">
        <xdr:sp macro="" textlink="">
          <xdr:nvSpPr>
            <xdr:cNvPr id="0" name=""/>
            <xdr:cNvSpPr>
              <a:spLocks noTextEdit="1"/>
            </xdr:cNvSpPr>
          </xdr:nvSpPr>
          <xdr:spPr>
            <a:xfrm>
              <a:off x="9074150" y="2921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635000</xdr:colOff>
      <xdr:row>14</xdr:row>
      <xdr:rowOff>171450</xdr:rowOff>
    </xdr:from>
    <xdr:to>
      <xdr:col>9</xdr:col>
      <xdr:colOff>438150</xdr:colOff>
      <xdr:row>28</xdr:row>
      <xdr:rowOff>120650</xdr:rowOff>
    </xdr:to>
    <mc:AlternateContent xmlns:mc="http://schemas.openxmlformats.org/markup-compatibility/2006" xmlns:a14="http://schemas.microsoft.com/office/drawing/2010/main">
      <mc:Choice Requires="a14">
        <xdr:graphicFrame macro="">
          <xdr:nvGraphicFramePr>
            <xdr:cNvPr id="3" name="Year 64">
              <a:extLst>
                <a:ext uri="{FF2B5EF4-FFF2-40B4-BE49-F238E27FC236}">
                  <a16:creationId xmlns:a16="http://schemas.microsoft.com/office/drawing/2014/main" id="{0FCE1E41-F664-4C54-B1FB-0D54ACEC65EA}"/>
                </a:ext>
              </a:extLst>
            </xdr:cNvPr>
            <xdr:cNvGraphicFramePr/>
          </xdr:nvGraphicFramePr>
          <xdr:xfrm>
            <a:off x="0" y="0"/>
            <a:ext cx="0" cy="0"/>
          </xdr:xfrm>
          <a:graphic>
            <a:graphicData uri="http://schemas.microsoft.com/office/drawing/2010/slicer">
              <sle:slicer xmlns:sle="http://schemas.microsoft.com/office/drawing/2010/slicer" name="Year 64"/>
            </a:graphicData>
          </a:graphic>
        </xdr:graphicFrame>
      </mc:Choice>
      <mc:Fallback xmlns="">
        <xdr:sp macro="" textlink="">
          <xdr:nvSpPr>
            <xdr:cNvPr id="0" name=""/>
            <xdr:cNvSpPr>
              <a:spLocks noTextEdit="1"/>
            </xdr:cNvSpPr>
          </xdr:nvSpPr>
          <xdr:spPr>
            <a:xfrm>
              <a:off x="8255000" y="274955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800099</xdr:colOff>
      <xdr:row>30</xdr:row>
      <xdr:rowOff>123826</xdr:rowOff>
    </xdr:from>
    <xdr:to>
      <xdr:col>13</xdr:col>
      <xdr:colOff>31749</xdr:colOff>
      <xdr:row>33</xdr:row>
      <xdr:rowOff>76201</xdr:rowOff>
    </xdr:to>
    <mc:AlternateContent xmlns:mc="http://schemas.openxmlformats.org/markup-compatibility/2006" xmlns:a14="http://schemas.microsoft.com/office/drawing/2010/main">
      <mc:Choice Requires="a14">
        <xdr:graphicFrame macro="">
          <xdr:nvGraphicFramePr>
            <xdr:cNvPr id="6" name="FiscalYr">
              <a:extLst>
                <a:ext uri="{FF2B5EF4-FFF2-40B4-BE49-F238E27FC236}">
                  <a16:creationId xmlns:a16="http://schemas.microsoft.com/office/drawing/2014/main" id="{1C0C4792-F49B-30A0-B466-F55A4179312F}"/>
                </a:ext>
              </a:extLst>
            </xdr:cNvPr>
            <xdr:cNvGraphicFramePr/>
          </xdr:nvGraphicFramePr>
          <xdr:xfrm>
            <a:off x="0" y="0"/>
            <a:ext cx="0" cy="0"/>
          </xdr:xfrm>
          <a:graphic>
            <a:graphicData uri="http://schemas.microsoft.com/office/drawing/2010/slicer">
              <sle:slicer xmlns:sle="http://schemas.microsoft.com/office/drawing/2010/slicer" name="FiscalYr"/>
            </a:graphicData>
          </a:graphic>
        </xdr:graphicFrame>
      </mc:Choice>
      <mc:Fallback xmlns="">
        <xdr:sp macro="" textlink="">
          <xdr:nvSpPr>
            <xdr:cNvPr id="0" name=""/>
            <xdr:cNvSpPr>
              <a:spLocks noTextEdit="1"/>
            </xdr:cNvSpPr>
          </xdr:nvSpPr>
          <xdr:spPr>
            <a:xfrm>
              <a:off x="5981699" y="5549901"/>
              <a:ext cx="3686175" cy="4984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34925</xdr:colOff>
      <xdr:row>44</xdr:row>
      <xdr:rowOff>9525</xdr:rowOff>
    </xdr:from>
    <xdr:to>
      <xdr:col>11</xdr:col>
      <xdr:colOff>285750</xdr:colOff>
      <xdr:row>46</xdr:row>
      <xdr:rowOff>104775</xdr:rowOff>
    </xdr:to>
    <mc:AlternateContent xmlns:mc="http://schemas.openxmlformats.org/markup-compatibility/2006" xmlns:a14="http://schemas.microsoft.com/office/drawing/2010/main">
      <mc:Choice Requires="a14">
        <xdr:graphicFrame macro="">
          <xdr:nvGraphicFramePr>
            <xdr:cNvPr id="7" name="FiscalYr 2">
              <a:extLst>
                <a:ext uri="{FF2B5EF4-FFF2-40B4-BE49-F238E27FC236}">
                  <a16:creationId xmlns:a16="http://schemas.microsoft.com/office/drawing/2014/main" id="{1AA200B8-C67D-DDAD-DA30-CA0F30DF6235}"/>
                </a:ext>
              </a:extLst>
            </xdr:cNvPr>
            <xdr:cNvGraphicFramePr/>
          </xdr:nvGraphicFramePr>
          <xdr:xfrm>
            <a:off x="0" y="0"/>
            <a:ext cx="0" cy="0"/>
          </xdr:xfrm>
          <a:graphic>
            <a:graphicData uri="http://schemas.microsoft.com/office/drawing/2010/slicer">
              <sle:slicer xmlns:sle="http://schemas.microsoft.com/office/drawing/2010/slicer" name="FiscalYr 2"/>
            </a:graphicData>
          </a:graphic>
        </xdr:graphicFrame>
      </mc:Choice>
      <mc:Fallback xmlns="">
        <xdr:sp macro="" textlink="">
          <xdr:nvSpPr>
            <xdr:cNvPr id="0" name=""/>
            <xdr:cNvSpPr>
              <a:spLocks noTextEdit="1"/>
            </xdr:cNvSpPr>
          </xdr:nvSpPr>
          <xdr:spPr>
            <a:xfrm>
              <a:off x="4511675" y="7969250"/>
              <a:ext cx="4667250" cy="45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1457325</xdr:colOff>
      <xdr:row>17</xdr:row>
      <xdr:rowOff>123826</xdr:rowOff>
    </xdr:from>
    <xdr:to>
      <xdr:col>6</xdr:col>
      <xdr:colOff>158750</xdr:colOff>
      <xdr:row>21</xdr:row>
      <xdr:rowOff>38100</xdr:rowOff>
    </xdr:to>
    <mc:AlternateContent xmlns:mc="http://schemas.openxmlformats.org/markup-compatibility/2006" xmlns:a14="http://schemas.microsoft.com/office/drawing/2010/main">
      <mc:Choice Requires="a14">
        <xdr:graphicFrame macro="">
          <xdr:nvGraphicFramePr>
            <xdr:cNvPr id="2" name="Year 22">
              <a:extLst>
                <a:ext uri="{FF2B5EF4-FFF2-40B4-BE49-F238E27FC236}">
                  <a16:creationId xmlns:a16="http://schemas.microsoft.com/office/drawing/2014/main" id="{DF98AC2A-7E14-46C0-BCF1-7B15F80FA17E}"/>
                </a:ext>
              </a:extLst>
            </xdr:cNvPr>
            <xdr:cNvGraphicFramePr/>
          </xdr:nvGraphicFramePr>
          <xdr:xfrm>
            <a:off x="0" y="0"/>
            <a:ext cx="0" cy="0"/>
          </xdr:xfrm>
          <a:graphic>
            <a:graphicData uri="http://schemas.microsoft.com/office/drawing/2010/slicer">
              <sle:slicer xmlns:sle="http://schemas.microsoft.com/office/drawing/2010/slicer" name="Year 22"/>
            </a:graphicData>
          </a:graphic>
        </xdr:graphicFrame>
      </mc:Choice>
      <mc:Fallback xmlns="">
        <xdr:sp macro="" textlink="">
          <xdr:nvSpPr>
            <xdr:cNvPr id="0" name=""/>
            <xdr:cNvSpPr>
              <a:spLocks noTextEdit="1"/>
            </xdr:cNvSpPr>
          </xdr:nvSpPr>
          <xdr:spPr>
            <a:xfrm>
              <a:off x="5473700" y="3197226"/>
              <a:ext cx="4133850" cy="6413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3.xml><?xml version="1.0" encoding="utf-8"?>
<xdr:wsDr xmlns:xdr="http://schemas.openxmlformats.org/drawingml/2006/spreadsheetDrawing" xmlns:a="http://schemas.openxmlformats.org/drawingml/2006/main">
  <xdr:twoCellAnchor editAs="oneCell">
    <xdr:from>
      <xdr:col>4</xdr:col>
      <xdr:colOff>565150</xdr:colOff>
      <xdr:row>4</xdr:row>
      <xdr:rowOff>82551</xdr:rowOff>
    </xdr:from>
    <xdr:to>
      <xdr:col>10</xdr:col>
      <xdr:colOff>241300</xdr:colOff>
      <xdr:row>6</xdr:row>
      <xdr:rowOff>101601</xdr:rowOff>
    </xdr:to>
    <mc:AlternateContent xmlns:mc="http://schemas.openxmlformats.org/markup-compatibility/2006" xmlns:a14="http://schemas.microsoft.com/office/drawing/2010/main">
      <mc:Choice Requires="a14">
        <xdr:graphicFrame macro="">
          <xdr:nvGraphicFramePr>
            <xdr:cNvPr id="3" name="Year 24">
              <a:extLst>
                <a:ext uri="{FF2B5EF4-FFF2-40B4-BE49-F238E27FC236}">
                  <a16:creationId xmlns:a16="http://schemas.microsoft.com/office/drawing/2014/main" id="{3A82CA62-FE4C-4043-87CC-DA36504603AF}"/>
                </a:ext>
              </a:extLst>
            </xdr:cNvPr>
            <xdr:cNvGraphicFramePr/>
          </xdr:nvGraphicFramePr>
          <xdr:xfrm>
            <a:off x="0" y="0"/>
            <a:ext cx="0" cy="0"/>
          </xdr:xfrm>
          <a:graphic>
            <a:graphicData uri="http://schemas.microsoft.com/office/drawing/2010/slicer">
              <sle:slicer xmlns:sle="http://schemas.microsoft.com/office/drawing/2010/slicer" name="Year 24"/>
            </a:graphicData>
          </a:graphic>
        </xdr:graphicFrame>
      </mc:Choice>
      <mc:Fallback xmlns="">
        <xdr:sp macro="" textlink="">
          <xdr:nvSpPr>
            <xdr:cNvPr id="0" name=""/>
            <xdr:cNvSpPr>
              <a:spLocks noTextEdit="1"/>
            </xdr:cNvSpPr>
          </xdr:nvSpPr>
          <xdr:spPr>
            <a:xfrm>
              <a:off x="4914900" y="1054100"/>
              <a:ext cx="4133850" cy="6540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459461</xdr:colOff>
      <xdr:row>4</xdr:row>
      <xdr:rowOff>71216</xdr:rowOff>
    </xdr:from>
    <xdr:to>
      <xdr:col>12</xdr:col>
      <xdr:colOff>449129</xdr:colOff>
      <xdr:row>36</xdr:row>
      <xdr:rowOff>91647</xdr:rowOff>
    </xdr:to>
    <xdr:pic>
      <xdr:nvPicPr>
        <xdr:cNvPr id="3" name="Picture 2">
          <a:extLst>
            <a:ext uri="{FF2B5EF4-FFF2-40B4-BE49-F238E27FC236}">
              <a16:creationId xmlns:a16="http://schemas.microsoft.com/office/drawing/2014/main" id="{D7B4A62E-C55E-C7E0-6761-8A33009C68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0723" y="842711"/>
          <a:ext cx="6713546" cy="590753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29794</xdr:colOff>
      <xdr:row>5</xdr:row>
      <xdr:rowOff>95250</xdr:rowOff>
    </xdr:from>
    <xdr:to>
      <xdr:col>13</xdr:col>
      <xdr:colOff>107950</xdr:colOff>
      <xdr:row>37</xdr:row>
      <xdr:rowOff>171764</xdr:rowOff>
    </xdr:to>
    <xdr:pic>
      <xdr:nvPicPr>
        <xdr:cNvPr id="3" name="Picture 2">
          <a:extLst>
            <a:ext uri="{FF2B5EF4-FFF2-40B4-BE49-F238E27FC236}">
              <a16:creationId xmlns:a16="http://schemas.microsoft.com/office/drawing/2014/main" id="{73CC6645-4D2E-872E-79F2-0E70BB891F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8994" y="1054100"/>
          <a:ext cx="6783756" cy="596931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138731</xdr:colOff>
      <xdr:row>4</xdr:row>
      <xdr:rowOff>165100</xdr:rowOff>
    </xdr:from>
    <xdr:to>
      <xdr:col>11</xdr:col>
      <xdr:colOff>63499</xdr:colOff>
      <xdr:row>27</xdr:row>
      <xdr:rowOff>164315</xdr:rowOff>
    </xdr:to>
    <xdr:pic>
      <xdr:nvPicPr>
        <xdr:cNvPr id="3" name="Picture 2">
          <a:extLst>
            <a:ext uri="{FF2B5EF4-FFF2-40B4-BE49-F238E27FC236}">
              <a16:creationId xmlns:a16="http://schemas.microsoft.com/office/drawing/2014/main" id="{4D9F9D0F-A202-4644-4386-5C317F96B7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7931" y="939800"/>
          <a:ext cx="5411168" cy="423466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104826</xdr:colOff>
      <xdr:row>5</xdr:row>
      <xdr:rowOff>31750</xdr:rowOff>
    </xdr:from>
    <xdr:to>
      <xdr:col>11</xdr:col>
      <xdr:colOff>532271</xdr:colOff>
      <xdr:row>30</xdr:row>
      <xdr:rowOff>158888</xdr:rowOff>
    </xdr:to>
    <xdr:pic>
      <xdr:nvPicPr>
        <xdr:cNvPr id="5" name="Picture 4">
          <a:extLst>
            <a:ext uri="{FF2B5EF4-FFF2-40B4-BE49-F238E27FC236}">
              <a16:creationId xmlns:a16="http://schemas.microsoft.com/office/drawing/2014/main" id="{4D5B3B2A-045E-D939-7240-5A2A6BC4F7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4026" y="990600"/>
          <a:ext cx="5913845" cy="473088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33381</xdr:colOff>
      <xdr:row>4</xdr:row>
      <xdr:rowOff>165100</xdr:rowOff>
    </xdr:from>
    <xdr:to>
      <xdr:col>12</xdr:col>
      <xdr:colOff>49671</xdr:colOff>
      <xdr:row>31</xdr:row>
      <xdr:rowOff>82688</xdr:rowOff>
    </xdr:to>
    <xdr:pic>
      <xdr:nvPicPr>
        <xdr:cNvPr id="3" name="Picture 2">
          <a:extLst>
            <a:ext uri="{FF2B5EF4-FFF2-40B4-BE49-F238E27FC236}">
              <a16:creationId xmlns:a16="http://schemas.microsoft.com/office/drawing/2014/main" id="{223C3381-07F3-352A-9E1A-08390BC5C6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2581" y="939800"/>
          <a:ext cx="6112290" cy="488963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316346</xdr:colOff>
      <xdr:row>4</xdr:row>
      <xdr:rowOff>63500</xdr:rowOff>
    </xdr:from>
    <xdr:to>
      <xdr:col>10</xdr:col>
      <xdr:colOff>400049</xdr:colOff>
      <xdr:row>29</xdr:row>
      <xdr:rowOff>101257</xdr:rowOff>
    </xdr:to>
    <xdr:pic>
      <xdr:nvPicPr>
        <xdr:cNvPr id="3" name="Picture 2">
          <a:extLst>
            <a:ext uri="{FF2B5EF4-FFF2-40B4-BE49-F238E27FC236}">
              <a16:creationId xmlns:a16="http://schemas.microsoft.com/office/drawing/2014/main" id="{C224B4ED-1461-B897-598B-837789FCE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5946" y="838200"/>
          <a:ext cx="5570103" cy="4641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7</xdr:col>
      <xdr:colOff>298627</xdr:colOff>
      <xdr:row>23</xdr:row>
      <xdr:rowOff>38100</xdr:rowOff>
    </xdr:to>
    <xdr:pic>
      <xdr:nvPicPr>
        <xdr:cNvPr id="3" name="Picture 2">
          <a:extLst>
            <a:ext uri="{FF2B5EF4-FFF2-40B4-BE49-F238E27FC236}">
              <a16:creationId xmlns:a16="http://schemas.microsoft.com/office/drawing/2014/main" id="{0B7BCDD8-6221-3B9E-7817-9271374C7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8350" y="971550"/>
          <a:ext cx="5023027" cy="33655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156321</xdr:colOff>
      <xdr:row>3</xdr:row>
      <xdr:rowOff>177800</xdr:rowOff>
    </xdr:from>
    <xdr:to>
      <xdr:col>10</xdr:col>
      <xdr:colOff>323849</xdr:colOff>
      <xdr:row>29</xdr:row>
      <xdr:rowOff>88557</xdr:rowOff>
    </xdr:to>
    <xdr:pic>
      <xdr:nvPicPr>
        <xdr:cNvPr id="3" name="Picture 2">
          <a:extLst>
            <a:ext uri="{FF2B5EF4-FFF2-40B4-BE49-F238E27FC236}">
              <a16:creationId xmlns:a16="http://schemas.microsoft.com/office/drawing/2014/main" id="{960725F5-2FEC-0F41-63B1-B6859CF424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921" y="755650"/>
          <a:ext cx="5653928" cy="471135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63501</xdr:colOff>
      <xdr:row>4</xdr:row>
      <xdr:rowOff>99850</xdr:rowOff>
    </xdr:from>
    <xdr:to>
      <xdr:col>5</xdr:col>
      <xdr:colOff>254001</xdr:colOff>
      <xdr:row>21</xdr:row>
      <xdr:rowOff>143009</xdr:rowOff>
    </xdr:to>
    <xdr:pic>
      <xdr:nvPicPr>
        <xdr:cNvPr id="5" name="Picture 4">
          <a:extLst>
            <a:ext uri="{FF2B5EF4-FFF2-40B4-BE49-F238E27FC236}">
              <a16:creationId xmlns:a16="http://schemas.microsoft.com/office/drawing/2014/main" id="{6DFFCC6A-F4F8-5858-272E-F49C1566E9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01" y="874550"/>
          <a:ext cx="2019300" cy="3173709"/>
        </a:xfrm>
        <a:prstGeom prst="rect">
          <a:avLst/>
        </a:prstGeom>
      </xdr:spPr>
    </xdr:pic>
    <xdr:clientData/>
  </xdr:twoCellAnchor>
  <xdr:twoCellAnchor editAs="oneCell">
    <xdr:from>
      <xdr:col>5</xdr:col>
      <xdr:colOff>590550</xdr:colOff>
      <xdr:row>5</xdr:row>
      <xdr:rowOff>19050</xdr:rowOff>
    </xdr:from>
    <xdr:to>
      <xdr:col>10</xdr:col>
      <xdr:colOff>124345</xdr:colOff>
      <xdr:row>22</xdr:row>
      <xdr:rowOff>79510</xdr:rowOff>
    </xdr:to>
    <xdr:pic>
      <xdr:nvPicPr>
        <xdr:cNvPr id="7" name="Picture 6">
          <a:extLst>
            <a:ext uri="{FF2B5EF4-FFF2-40B4-BE49-F238E27FC236}">
              <a16:creationId xmlns:a16="http://schemas.microsoft.com/office/drawing/2014/main" id="{11F95C91-E9D8-B3BE-CA4B-BBE97A20C2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38550" y="977900"/>
          <a:ext cx="2581795" cy="319101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88900</xdr:colOff>
      <xdr:row>15</xdr:row>
      <xdr:rowOff>6350</xdr:rowOff>
    </xdr:from>
    <xdr:to>
      <xdr:col>6</xdr:col>
      <xdr:colOff>717550</xdr:colOff>
      <xdr:row>17</xdr:row>
      <xdr:rowOff>57150</xdr:rowOff>
    </xdr:to>
    <mc:AlternateContent xmlns:mc="http://schemas.openxmlformats.org/markup-compatibility/2006" xmlns:a14="http://schemas.microsoft.com/office/drawing/2010/main">
      <mc:Choice Requires="a14">
        <xdr:graphicFrame macro="">
          <xdr:nvGraphicFramePr>
            <xdr:cNvPr id="2" name="FisYr 7">
              <a:extLst>
                <a:ext uri="{FF2B5EF4-FFF2-40B4-BE49-F238E27FC236}">
                  <a16:creationId xmlns:a16="http://schemas.microsoft.com/office/drawing/2014/main" id="{F21083D6-D7D9-0C01-462F-61A4B3186488}"/>
                </a:ext>
              </a:extLst>
            </xdr:cNvPr>
            <xdr:cNvGraphicFramePr/>
          </xdr:nvGraphicFramePr>
          <xdr:xfrm>
            <a:off x="0" y="0"/>
            <a:ext cx="0" cy="0"/>
          </xdr:xfrm>
          <a:graphic>
            <a:graphicData uri="http://schemas.microsoft.com/office/drawing/2010/slicer">
              <sle:slicer xmlns:sle="http://schemas.microsoft.com/office/drawing/2010/slicer" name="FisYr 7"/>
            </a:graphicData>
          </a:graphic>
        </xdr:graphicFrame>
      </mc:Choice>
      <mc:Fallback xmlns="">
        <xdr:sp macro="" textlink="">
          <xdr:nvSpPr>
            <xdr:cNvPr id="0" name=""/>
            <xdr:cNvSpPr>
              <a:spLocks noTextEdit="1"/>
            </xdr:cNvSpPr>
          </xdr:nvSpPr>
          <xdr:spPr>
            <a:xfrm>
              <a:off x="88900" y="2768600"/>
              <a:ext cx="871855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1606550</xdr:colOff>
      <xdr:row>0</xdr:row>
      <xdr:rowOff>133350</xdr:rowOff>
    </xdr:from>
    <xdr:to>
      <xdr:col>13</xdr:col>
      <xdr:colOff>311150</xdr:colOff>
      <xdr:row>1</xdr:row>
      <xdr:rowOff>95250</xdr:rowOff>
    </xdr:to>
    <mc:AlternateContent xmlns:mc="http://schemas.openxmlformats.org/markup-compatibility/2006" xmlns:a14="http://schemas.microsoft.com/office/drawing/2010/main">
      <mc:Choice Requires="a14">
        <xdr:graphicFrame macro="">
          <xdr:nvGraphicFramePr>
            <xdr:cNvPr id="4" name="FisYr 8">
              <a:extLst>
                <a:ext uri="{FF2B5EF4-FFF2-40B4-BE49-F238E27FC236}">
                  <a16:creationId xmlns:a16="http://schemas.microsoft.com/office/drawing/2014/main" id="{46C2C5D0-E8C1-481F-AC37-8C713FCB7819}"/>
                </a:ext>
              </a:extLst>
            </xdr:cNvPr>
            <xdr:cNvGraphicFramePr/>
          </xdr:nvGraphicFramePr>
          <xdr:xfrm>
            <a:off x="0" y="0"/>
            <a:ext cx="0" cy="0"/>
          </xdr:xfrm>
          <a:graphic>
            <a:graphicData uri="http://schemas.microsoft.com/office/drawing/2010/slicer">
              <sle:slicer xmlns:sle="http://schemas.microsoft.com/office/drawing/2010/slicer" name="FisYr 8"/>
            </a:graphicData>
          </a:graphic>
        </xdr:graphicFrame>
      </mc:Choice>
      <mc:Fallback xmlns="">
        <xdr:sp macro="" textlink="">
          <xdr:nvSpPr>
            <xdr:cNvPr id="0" name=""/>
            <xdr:cNvSpPr>
              <a:spLocks noTextEdit="1"/>
            </xdr:cNvSpPr>
          </xdr:nvSpPr>
          <xdr:spPr>
            <a:xfrm>
              <a:off x="2895600" y="133350"/>
              <a:ext cx="871855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1549400</xdr:colOff>
      <xdr:row>0</xdr:row>
      <xdr:rowOff>63500</xdr:rowOff>
    </xdr:from>
    <xdr:to>
      <xdr:col>13</xdr:col>
      <xdr:colOff>463550</xdr:colOff>
      <xdr:row>1</xdr:row>
      <xdr:rowOff>107950</xdr:rowOff>
    </xdr:to>
    <mc:AlternateContent xmlns:mc="http://schemas.openxmlformats.org/markup-compatibility/2006" xmlns:a14="http://schemas.microsoft.com/office/drawing/2010/main">
      <mc:Choice Requires="a14">
        <xdr:graphicFrame macro="">
          <xdr:nvGraphicFramePr>
            <xdr:cNvPr id="2" name="FisYr 9">
              <a:extLst>
                <a:ext uri="{FF2B5EF4-FFF2-40B4-BE49-F238E27FC236}">
                  <a16:creationId xmlns:a16="http://schemas.microsoft.com/office/drawing/2014/main" id="{A6411E63-6FBE-4405-945F-9804C8119EC3}"/>
                </a:ext>
              </a:extLst>
            </xdr:cNvPr>
            <xdr:cNvGraphicFramePr/>
          </xdr:nvGraphicFramePr>
          <xdr:xfrm>
            <a:off x="0" y="0"/>
            <a:ext cx="0" cy="0"/>
          </xdr:xfrm>
          <a:graphic>
            <a:graphicData uri="http://schemas.microsoft.com/office/drawing/2010/slicer">
              <sle:slicer xmlns:sle="http://schemas.microsoft.com/office/drawing/2010/slicer" name="FisYr 9"/>
            </a:graphicData>
          </a:graphic>
        </xdr:graphicFrame>
      </mc:Choice>
      <mc:Fallback xmlns="">
        <xdr:sp macro="" textlink="">
          <xdr:nvSpPr>
            <xdr:cNvPr id="0" name=""/>
            <xdr:cNvSpPr>
              <a:spLocks noTextEdit="1"/>
            </xdr:cNvSpPr>
          </xdr:nvSpPr>
          <xdr:spPr>
            <a:xfrm>
              <a:off x="2755900" y="63500"/>
              <a:ext cx="871855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1327150</xdr:colOff>
      <xdr:row>0</xdr:row>
      <xdr:rowOff>133350</xdr:rowOff>
    </xdr:from>
    <xdr:to>
      <xdr:col>14</xdr:col>
      <xdr:colOff>19050</xdr:colOff>
      <xdr:row>1</xdr:row>
      <xdr:rowOff>107950</xdr:rowOff>
    </xdr:to>
    <mc:AlternateContent xmlns:mc="http://schemas.openxmlformats.org/markup-compatibility/2006" xmlns:a14="http://schemas.microsoft.com/office/drawing/2010/main">
      <mc:Choice Requires="a14">
        <xdr:graphicFrame macro="">
          <xdr:nvGraphicFramePr>
            <xdr:cNvPr id="2" name="FisYr 10">
              <a:extLst>
                <a:ext uri="{FF2B5EF4-FFF2-40B4-BE49-F238E27FC236}">
                  <a16:creationId xmlns:a16="http://schemas.microsoft.com/office/drawing/2014/main" id="{467FDFB7-3CAF-47FA-8BB4-B604B8DCD8EF}"/>
                </a:ext>
              </a:extLst>
            </xdr:cNvPr>
            <xdr:cNvGraphicFramePr/>
          </xdr:nvGraphicFramePr>
          <xdr:xfrm>
            <a:off x="0" y="0"/>
            <a:ext cx="0" cy="0"/>
          </xdr:xfrm>
          <a:graphic>
            <a:graphicData uri="http://schemas.microsoft.com/office/drawing/2010/slicer">
              <sle:slicer xmlns:sle="http://schemas.microsoft.com/office/drawing/2010/slicer" name="FisYr 10"/>
            </a:graphicData>
          </a:graphic>
        </xdr:graphicFrame>
      </mc:Choice>
      <mc:Fallback xmlns="">
        <xdr:sp macro="" textlink="">
          <xdr:nvSpPr>
            <xdr:cNvPr id="0" name=""/>
            <xdr:cNvSpPr>
              <a:spLocks noTextEdit="1"/>
            </xdr:cNvSpPr>
          </xdr:nvSpPr>
          <xdr:spPr>
            <a:xfrm>
              <a:off x="2698750" y="133350"/>
              <a:ext cx="871855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508000</xdr:colOff>
      <xdr:row>4</xdr:row>
      <xdr:rowOff>114116</xdr:rowOff>
    </xdr:from>
    <xdr:to>
      <xdr:col>11</xdr:col>
      <xdr:colOff>101600</xdr:colOff>
      <xdr:row>20</xdr:row>
      <xdr:rowOff>12014</xdr:rowOff>
    </xdr:to>
    <xdr:pic>
      <xdr:nvPicPr>
        <xdr:cNvPr id="3" name="Picture 2">
          <a:extLst>
            <a:ext uri="{FF2B5EF4-FFF2-40B4-BE49-F238E27FC236}">
              <a16:creationId xmlns:a16="http://schemas.microsoft.com/office/drawing/2014/main" id="{E6C86D4E-83E1-6FCA-BA58-60A69B0D0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7600" y="888816"/>
          <a:ext cx="5689600" cy="284429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502040</xdr:colOff>
      <xdr:row>4</xdr:row>
      <xdr:rowOff>165100</xdr:rowOff>
    </xdr:from>
    <xdr:to>
      <xdr:col>10</xdr:col>
      <xdr:colOff>577850</xdr:colOff>
      <xdr:row>19</xdr:row>
      <xdr:rowOff>183464</xdr:rowOff>
    </xdr:to>
    <xdr:pic>
      <xdr:nvPicPr>
        <xdr:cNvPr id="3" name="Picture 2">
          <a:extLst>
            <a:ext uri="{FF2B5EF4-FFF2-40B4-BE49-F238E27FC236}">
              <a16:creationId xmlns:a16="http://schemas.microsoft.com/office/drawing/2014/main" id="{5FBE8BDF-BF18-273F-A0B8-9AB3BF07BC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1640" y="939800"/>
          <a:ext cx="5562210" cy="278061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103816</xdr:colOff>
      <xdr:row>4</xdr:row>
      <xdr:rowOff>6350</xdr:rowOff>
    </xdr:from>
    <xdr:to>
      <xdr:col>9</xdr:col>
      <xdr:colOff>469658</xdr:colOff>
      <xdr:row>22</xdr:row>
      <xdr:rowOff>166125</xdr:rowOff>
    </xdr:to>
    <xdr:pic>
      <xdr:nvPicPr>
        <xdr:cNvPr id="3" name="Picture 2">
          <a:extLst>
            <a:ext uri="{FF2B5EF4-FFF2-40B4-BE49-F238E27FC236}">
              <a16:creationId xmlns:a16="http://schemas.microsoft.com/office/drawing/2014/main" id="{482DC88E-48A1-B316-E26C-2CBAE05F9A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3016" y="781050"/>
          <a:ext cx="4633042" cy="347447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2</xdr:col>
      <xdr:colOff>66589</xdr:colOff>
      <xdr:row>5</xdr:row>
      <xdr:rowOff>9525</xdr:rowOff>
    </xdr:from>
    <xdr:to>
      <xdr:col>10</xdr:col>
      <xdr:colOff>139995</xdr:colOff>
      <xdr:row>31</xdr:row>
      <xdr:rowOff>111223</xdr:rowOff>
    </xdr:to>
    <xdr:grpSp>
      <xdr:nvGrpSpPr>
        <xdr:cNvPr id="7" name="Group 6">
          <a:extLst>
            <a:ext uri="{FF2B5EF4-FFF2-40B4-BE49-F238E27FC236}">
              <a16:creationId xmlns:a16="http://schemas.microsoft.com/office/drawing/2014/main" id="{708C70D8-4CC6-73CB-E821-DE977EDEFB0A}"/>
            </a:ext>
          </a:extLst>
        </xdr:cNvPr>
        <xdr:cNvGrpSpPr/>
      </xdr:nvGrpSpPr>
      <xdr:grpSpPr>
        <a:xfrm>
          <a:off x="1285789" y="990600"/>
          <a:ext cx="4950206" cy="5054698"/>
          <a:chOff x="1342939" y="971550"/>
          <a:chExt cx="5178806" cy="4807048"/>
        </a:xfrm>
      </xdr:grpSpPr>
      <xdr:pic>
        <xdr:nvPicPr>
          <xdr:cNvPr id="4" name="Picture 3">
            <a:extLst>
              <a:ext uri="{FF2B5EF4-FFF2-40B4-BE49-F238E27FC236}">
                <a16:creationId xmlns:a16="http://schemas.microsoft.com/office/drawing/2014/main" id="{7EBB70FF-8041-0090-2965-B55DA70EBC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2939" y="971550"/>
            <a:ext cx="4971894" cy="4293753"/>
          </a:xfrm>
          <a:prstGeom prst="rect">
            <a:avLst/>
          </a:prstGeom>
        </xdr:spPr>
      </xdr:pic>
      <xdr:pic>
        <xdr:nvPicPr>
          <xdr:cNvPr id="3" name="Picture 2">
            <a:extLst>
              <a:ext uri="{FF2B5EF4-FFF2-40B4-BE49-F238E27FC236}">
                <a16:creationId xmlns:a16="http://schemas.microsoft.com/office/drawing/2014/main" id="{09A7C309-BF3A-FCB2-51D0-248D85F5D5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52701" y="5276850"/>
            <a:ext cx="1237644" cy="416019"/>
          </a:xfrm>
          <a:prstGeom prst="rect">
            <a:avLst/>
          </a:prstGeom>
        </xdr:spPr>
      </xdr:pic>
      <xdr:pic>
        <xdr:nvPicPr>
          <xdr:cNvPr id="6" name="Picture 5">
            <a:extLst>
              <a:ext uri="{FF2B5EF4-FFF2-40B4-BE49-F238E27FC236}">
                <a16:creationId xmlns:a16="http://schemas.microsoft.com/office/drawing/2014/main" id="{DED8933C-4B1F-6EEE-2DEA-3C0DF55BB1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27222" y="5318124"/>
            <a:ext cx="1394523" cy="460474"/>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555663</xdr:colOff>
      <xdr:row>4</xdr:row>
      <xdr:rowOff>95250</xdr:rowOff>
    </xdr:from>
    <xdr:to>
      <xdr:col>11</xdr:col>
      <xdr:colOff>47885</xdr:colOff>
      <xdr:row>28</xdr:row>
      <xdr:rowOff>146050</xdr:rowOff>
    </xdr:to>
    <xdr:pic>
      <xdr:nvPicPr>
        <xdr:cNvPr id="3" name="Picture 2">
          <a:extLst>
            <a:ext uri="{FF2B5EF4-FFF2-40B4-BE49-F238E27FC236}">
              <a16:creationId xmlns:a16="http://schemas.microsoft.com/office/drawing/2014/main" id="{8FD4FA0B-6F1C-90EB-5CCD-DC59352251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263" y="869950"/>
          <a:ext cx="5588222" cy="44704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570454</xdr:colOff>
      <xdr:row>4</xdr:row>
      <xdr:rowOff>9525</xdr:rowOff>
    </xdr:from>
    <xdr:to>
      <xdr:col>9</xdr:col>
      <xdr:colOff>140398</xdr:colOff>
      <xdr:row>27</xdr:row>
      <xdr:rowOff>171548</xdr:rowOff>
    </xdr:to>
    <xdr:grpSp>
      <xdr:nvGrpSpPr>
        <xdr:cNvPr id="5" name="Group 4">
          <a:extLst>
            <a:ext uri="{FF2B5EF4-FFF2-40B4-BE49-F238E27FC236}">
              <a16:creationId xmlns:a16="http://schemas.microsoft.com/office/drawing/2014/main" id="{87734D07-854B-8B5E-253A-C4E5D33E48B7}"/>
            </a:ext>
          </a:extLst>
        </xdr:cNvPr>
        <xdr:cNvGrpSpPr/>
      </xdr:nvGrpSpPr>
      <xdr:grpSpPr>
        <a:xfrm>
          <a:off x="1180054" y="800100"/>
          <a:ext cx="4446744" cy="4543523"/>
          <a:chOff x="1208629" y="790575"/>
          <a:chExt cx="4675344" cy="4324448"/>
        </a:xfrm>
      </xdr:grpSpPr>
      <xdr:pic>
        <xdr:nvPicPr>
          <xdr:cNvPr id="3" name="Picture 2">
            <a:extLst>
              <a:ext uri="{FF2B5EF4-FFF2-40B4-BE49-F238E27FC236}">
                <a16:creationId xmlns:a16="http://schemas.microsoft.com/office/drawing/2014/main" id="{B299883E-B3B9-DDF3-62A3-BB5D5336C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8629" y="790575"/>
            <a:ext cx="4525178" cy="3912753"/>
          </a:xfrm>
          <a:prstGeom prst="rect">
            <a:avLst/>
          </a:prstGeom>
        </xdr:spPr>
      </xdr:pic>
      <xdr:pic>
        <xdr:nvPicPr>
          <xdr:cNvPr id="2" name="Picture 1">
            <a:extLst>
              <a:ext uri="{FF2B5EF4-FFF2-40B4-BE49-F238E27FC236}">
                <a16:creationId xmlns:a16="http://schemas.microsoft.com/office/drawing/2014/main" id="{C26D0293-AA98-4803-8CBE-E81A7688A2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86026" y="4714875"/>
            <a:ext cx="1095914" cy="368942"/>
          </a:xfrm>
          <a:prstGeom prst="rect">
            <a:avLst/>
          </a:prstGeom>
        </xdr:spPr>
      </xdr:pic>
      <xdr:pic>
        <xdr:nvPicPr>
          <xdr:cNvPr id="4" name="Picture 3">
            <a:extLst>
              <a:ext uri="{FF2B5EF4-FFF2-40B4-BE49-F238E27FC236}">
                <a16:creationId xmlns:a16="http://schemas.microsoft.com/office/drawing/2014/main" id="{437BFD3B-1652-44EE-8AE9-60FD87AC8D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2175" y="4725174"/>
            <a:ext cx="1181798" cy="389849"/>
          </a:xfrm>
          <a:prstGeom prst="rect">
            <a:avLst/>
          </a:prstGeom>
        </xdr:spPr>
      </xdr:pic>
    </xdr:grp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435756</xdr:colOff>
      <xdr:row>4</xdr:row>
      <xdr:rowOff>142875</xdr:rowOff>
    </xdr:from>
    <xdr:to>
      <xdr:col>10</xdr:col>
      <xdr:colOff>124523</xdr:colOff>
      <xdr:row>30</xdr:row>
      <xdr:rowOff>162024</xdr:rowOff>
    </xdr:to>
    <xdr:grpSp>
      <xdr:nvGrpSpPr>
        <xdr:cNvPr id="5" name="Group 4">
          <a:extLst>
            <a:ext uri="{FF2B5EF4-FFF2-40B4-BE49-F238E27FC236}">
              <a16:creationId xmlns:a16="http://schemas.microsoft.com/office/drawing/2014/main" id="{CDF83664-462C-9C28-043C-5E046C526404}"/>
            </a:ext>
          </a:extLst>
        </xdr:cNvPr>
        <xdr:cNvGrpSpPr/>
      </xdr:nvGrpSpPr>
      <xdr:grpSpPr>
        <a:xfrm>
          <a:off x="1045356" y="933450"/>
          <a:ext cx="5175167" cy="4972149"/>
          <a:chOff x="1073931" y="923925"/>
          <a:chExt cx="5432342" cy="4724499"/>
        </a:xfrm>
      </xdr:grpSpPr>
      <xdr:pic>
        <xdr:nvPicPr>
          <xdr:cNvPr id="3" name="Picture 2">
            <a:extLst>
              <a:ext uri="{FF2B5EF4-FFF2-40B4-BE49-F238E27FC236}">
                <a16:creationId xmlns:a16="http://schemas.microsoft.com/office/drawing/2014/main" id="{85C96614-4921-F0A0-D5F2-45B429224C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931" y="923925"/>
            <a:ext cx="5314815" cy="4322328"/>
          </a:xfrm>
          <a:prstGeom prst="rect">
            <a:avLst/>
          </a:prstGeom>
        </xdr:spPr>
      </xdr:pic>
      <xdr:pic>
        <xdr:nvPicPr>
          <xdr:cNvPr id="2" name="Picture 1">
            <a:extLst>
              <a:ext uri="{FF2B5EF4-FFF2-40B4-BE49-F238E27FC236}">
                <a16:creationId xmlns:a16="http://schemas.microsoft.com/office/drawing/2014/main" id="{5E105336-5B53-4B3B-A2FE-30CC183464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5075" y="5257781"/>
            <a:ext cx="1120775" cy="381661"/>
          </a:xfrm>
          <a:prstGeom prst="rect">
            <a:avLst/>
          </a:prstGeom>
        </xdr:spPr>
      </xdr:pic>
      <xdr:pic>
        <xdr:nvPicPr>
          <xdr:cNvPr id="4" name="Picture 3">
            <a:extLst>
              <a:ext uri="{FF2B5EF4-FFF2-40B4-BE49-F238E27FC236}">
                <a16:creationId xmlns:a16="http://schemas.microsoft.com/office/drawing/2014/main" id="{DCC7C859-5A28-4215-AD2E-7015CEFA7B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06852" y="5248275"/>
            <a:ext cx="1199421" cy="400149"/>
          </a:xfrm>
          <a:prstGeom prst="rect">
            <a:avLst/>
          </a:prstGeom>
        </xdr:spPr>
      </xdr:pic>
    </xdr:grp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561975</xdr:colOff>
      <xdr:row>5</xdr:row>
      <xdr:rowOff>60</xdr:rowOff>
    </xdr:from>
    <xdr:to>
      <xdr:col>10</xdr:col>
      <xdr:colOff>83247</xdr:colOff>
      <xdr:row>31</xdr:row>
      <xdr:rowOff>133449</xdr:rowOff>
    </xdr:to>
    <xdr:grpSp>
      <xdr:nvGrpSpPr>
        <xdr:cNvPr id="5" name="Group 4">
          <a:extLst>
            <a:ext uri="{FF2B5EF4-FFF2-40B4-BE49-F238E27FC236}">
              <a16:creationId xmlns:a16="http://schemas.microsoft.com/office/drawing/2014/main" id="{726BFA84-7071-5E58-0C9D-FE80BA646718}"/>
            </a:ext>
          </a:extLst>
        </xdr:cNvPr>
        <xdr:cNvGrpSpPr/>
      </xdr:nvGrpSpPr>
      <xdr:grpSpPr>
        <a:xfrm>
          <a:off x="1171575" y="981135"/>
          <a:ext cx="5007672" cy="5086389"/>
          <a:chOff x="1200150" y="962085"/>
          <a:chExt cx="5264847" cy="4838739"/>
        </a:xfrm>
      </xdr:grpSpPr>
      <xdr:pic>
        <xdr:nvPicPr>
          <xdr:cNvPr id="3" name="Picture 2">
            <a:extLst>
              <a:ext uri="{FF2B5EF4-FFF2-40B4-BE49-F238E27FC236}">
                <a16:creationId xmlns:a16="http://schemas.microsoft.com/office/drawing/2014/main" id="{B1EA75AE-12C7-E7FE-4D51-EA700E97F2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0150" y="962085"/>
            <a:ext cx="5124208" cy="4427043"/>
          </a:xfrm>
          <a:prstGeom prst="rect">
            <a:avLst/>
          </a:prstGeom>
        </xdr:spPr>
      </xdr:pic>
      <xdr:pic>
        <xdr:nvPicPr>
          <xdr:cNvPr id="2" name="Picture 1">
            <a:extLst>
              <a:ext uri="{FF2B5EF4-FFF2-40B4-BE49-F238E27FC236}">
                <a16:creationId xmlns:a16="http://schemas.microsoft.com/office/drawing/2014/main" id="{A074B441-ABA0-4E7A-B537-D59285EC3E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05101" y="5410777"/>
            <a:ext cx="1123950" cy="377890"/>
          </a:xfrm>
          <a:prstGeom prst="rect">
            <a:avLst/>
          </a:prstGeom>
        </xdr:spPr>
      </xdr:pic>
      <xdr:pic>
        <xdr:nvPicPr>
          <xdr:cNvPr id="4" name="Picture 3">
            <a:extLst>
              <a:ext uri="{FF2B5EF4-FFF2-40B4-BE49-F238E27FC236}">
                <a16:creationId xmlns:a16="http://schemas.microsoft.com/office/drawing/2014/main" id="{FC0F6DC2-80C1-4665-AF73-62A33178BA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05424" y="5409817"/>
            <a:ext cx="1159573" cy="391007"/>
          </a:xfrm>
          <a:prstGeom prst="rect">
            <a:avLst/>
          </a:prstGeom>
        </xdr:spPr>
      </xdr:pic>
    </xdr:grpSp>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381177</xdr:colOff>
      <xdr:row>4</xdr:row>
      <xdr:rowOff>146050</xdr:rowOff>
    </xdr:from>
    <xdr:to>
      <xdr:col>10</xdr:col>
      <xdr:colOff>311149</xdr:colOff>
      <xdr:row>24</xdr:row>
      <xdr:rowOff>77651</xdr:rowOff>
    </xdr:to>
    <xdr:pic>
      <xdr:nvPicPr>
        <xdr:cNvPr id="4" name="Picture 3">
          <a:extLst>
            <a:ext uri="{FF2B5EF4-FFF2-40B4-BE49-F238E27FC236}">
              <a16:creationId xmlns:a16="http://schemas.microsoft.com/office/drawing/2014/main" id="{D613FCBE-872B-0969-E213-761994072E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3877" y="920750"/>
          <a:ext cx="5060772" cy="361460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568700</xdr:colOff>
      <xdr:row>4</xdr:row>
      <xdr:rowOff>31750</xdr:rowOff>
    </xdr:from>
    <xdr:to>
      <xdr:col>10</xdr:col>
      <xdr:colOff>152158</xdr:colOff>
      <xdr:row>28</xdr:row>
      <xdr:rowOff>48778</xdr:rowOff>
    </xdr:to>
    <xdr:pic>
      <xdr:nvPicPr>
        <xdr:cNvPr id="4" name="Picture 3">
          <a:extLst>
            <a:ext uri="{FF2B5EF4-FFF2-40B4-BE49-F238E27FC236}">
              <a16:creationId xmlns:a16="http://schemas.microsoft.com/office/drawing/2014/main" id="{7ABF40FF-998F-3A2A-F666-5F4385092C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8300" y="806450"/>
          <a:ext cx="5069858" cy="4436628"/>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484848</xdr:colOff>
      <xdr:row>4</xdr:row>
      <xdr:rowOff>69850</xdr:rowOff>
    </xdr:from>
    <xdr:to>
      <xdr:col>12</xdr:col>
      <xdr:colOff>34305</xdr:colOff>
      <xdr:row>33</xdr:row>
      <xdr:rowOff>90437</xdr:rowOff>
    </xdr:to>
    <xdr:pic>
      <xdr:nvPicPr>
        <xdr:cNvPr id="3" name="Picture 2">
          <a:extLst>
            <a:ext uri="{FF2B5EF4-FFF2-40B4-BE49-F238E27FC236}">
              <a16:creationId xmlns:a16="http://schemas.microsoft.com/office/drawing/2014/main" id="{420251F7-1884-48F9-D7F8-A4A5A91ACE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4448" y="844550"/>
          <a:ext cx="6255057" cy="536093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6</xdr:col>
      <xdr:colOff>80777</xdr:colOff>
      <xdr:row>26</xdr:row>
      <xdr:rowOff>92210</xdr:rowOff>
    </xdr:to>
    <xdr:pic>
      <xdr:nvPicPr>
        <xdr:cNvPr id="9" name="Picture 8">
          <a:extLst>
            <a:ext uri="{FF2B5EF4-FFF2-40B4-BE49-F238E27FC236}">
              <a16:creationId xmlns:a16="http://schemas.microsoft.com/office/drawing/2014/main" id="{F69B76B9-C3DD-0FCD-F79F-3BAE85F237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58850"/>
          <a:ext cx="2519177" cy="3959360"/>
        </a:xfrm>
        <a:prstGeom prst="rect">
          <a:avLst/>
        </a:prstGeom>
      </xdr:spPr>
    </xdr:pic>
    <xdr:clientData/>
  </xdr:twoCellAnchor>
  <xdr:twoCellAnchor editAs="oneCell">
    <xdr:from>
      <xdr:col>6</xdr:col>
      <xdr:colOff>0</xdr:colOff>
      <xdr:row>5</xdr:row>
      <xdr:rowOff>0</xdr:rowOff>
    </xdr:from>
    <xdr:to>
      <xdr:col>11</xdr:col>
      <xdr:colOff>155455</xdr:colOff>
      <xdr:row>26</xdr:row>
      <xdr:rowOff>92210</xdr:rowOff>
    </xdr:to>
    <xdr:pic>
      <xdr:nvPicPr>
        <xdr:cNvPr id="11" name="Picture 10">
          <a:extLst>
            <a:ext uri="{FF2B5EF4-FFF2-40B4-BE49-F238E27FC236}">
              <a16:creationId xmlns:a16="http://schemas.microsoft.com/office/drawing/2014/main" id="{7B3589FE-B030-F1B8-F4DA-54E89C6D14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7600" y="958850"/>
          <a:ext cx="3203455" cy="395936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6</xdr:col>
      <xdr:colOff>80777</xdr:colOff>
      <xdr:row>26</xdr:row>
      <xdr:rowOff>92210</xdr:rowOff>
    </xdr:to>
    <xdr:pic>
      <xdr:nvPicPr>
        <xdr:cNvPr id="11" name="Picture 10">
          <a:extLst>
            <a:ext uri="{FF2B5EF4-FFF2-40B4-BE49-F238E27FC236}">
              <a16:creationId xmlns:a16="http://schemas.microsoft.com/office/drawing/2014/main" id="{B5EA1776-0A77-8490-394B-BAECC66687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58850"/>
          <a:ext cx="2519177" cy="3959360"/>
        </a:xfrm>
        <a:prstGeom prst="rect">
          <a:avLst/>
        </a:prstGeom>
      </xdr:spPr>
    </xdr:pic>
    <xdr:clientData/>
  </xdr:twoCellAnchor>
  <xdr:twoCellAnchor editAs="oneCell">
    <xdr:from>
      <xdr:col>6</xdr:col>
      <xdr:colOff>0</xdr:colOff>
      <xdr:row>5</xdr:row>
      <xdr:rowOff>0</xdr:rowOff>
    </xdr:from>
    <xdr:to>
      <xdr:col>11</xdr:col>
      <xdr:colOff>155455</xdr:colOff>
      <xdr:row>26</xdr:row>
      <xdr:rowOff>92210</xdr:rowOff>
    </xdr:to>
    <xdr:pic>
      <xdr:nvPicPr>
        <xdr:cNvPr id="13" name="Picture 12">
          <a:extLst>
            <a:ext uri="{FF2B5EF4-FFF2-40B4-BE49-F238E27FC236}">
              <a16:creationId xmlns:a16="http://schemas.microsoft.com/office/drawing/2014/main" id="{6686E661-42B9-D881-A6A7-6FE6C00934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7600" y="958850"/>
          <a:ext cx="3203455" cy="395936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6</xdr:col>
      <xdr:colOff>80777</xdr:colOff>
      <xdr:row>26</xdr:row>
      <xdr:rowOff>92210</xdr:rowOff>
    </xdr:to>
    <xdr:pic>
      <xdr:nvPicPr>
        <xdr:cNvPr id="3" name="Picture 2">
          <a:extLst>
            <a:ext uri="{FF2B5EF4-FFF2-40B4-BE49-F238E27FC236}">
              <a16:creationId xmlns:a16="http://schemas.microsoft.com/office/drawing/2014/main" id="{BBB7F405-359D-FA25-3369-C9FB6EB798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58850"/>
          <a:ext cx="2519177" cy="3959360"/>
        </a:xfrm>
        <a:prstGeom prst="rect">
          <a:avLst/>
        </a:prstGeom>
      </xdr:spPr>
    </xdr:pic>
    <xdr:clientData/>
  </xdr:twoCellAnchor>
  <xdr:twoCellAnchor editAs="oneCell">
    <xdr:from>
      <xdr:col>6</xdr:col>
      <xdr:colOff>0</xdr:colOff>
      <xdr:row>5</xdr:row>
      <xdr:rowOff>0</xdr:rowOff>
    </xdr:from>
    <xdr:to>
      <xdr:col>11</xdr:col>
      <xdr:colOff>155455</xdr:colOff>
      <xdr:row>26</xdr:row>
      <xdr:rowOff>92210</xdr:rowOff>
    </xdr:to>
    <xdr:pic>
      <xdr:nvPicPr>
        <xdr:cNvPr id="5" name="Picture 4">
          <a:extLst>
            <a:ext uri="{FF2B5EF4-FFF2-40B4-BE49-F238E27FC236}">
              <a16:creationId xmlns:a16="http://schemas.microsoft.com/office/drawing/2014/main" id="{2B456325-A07D-5A8B-14DB-96E79C4626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7600" y="958850"/>
          <a:ext cx="3203455" cy="395936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569912</xdr:colOff>
      <xdr:row>0</xdr:row>
      <xdr:rowOff>65088</xdr:rowOff>
    </xdr:from>
    <xdr:to>
      <xdr:col>13</xdr:col>
      <xdr:colOff>806450</xdr:colOff>
      <xdr:row>1</xdr:row>
      <xdr:rowOff>82551</xdr:rowOff>
    </xdr:to>
    <mc:AlternateContent xmlns:mc="http://schemas.openxmlformats.org/markup-compatibility/2006" xmlns:a14="http://schemas.microsoft.com/office/drawing/2010/main">
      <mc:Choice Requires="a14">
        <xdr:graphicFrame macro="">
          <xdr:nvGraphicFramePr>
            <xdr:cNvPr id="6" name="Year 7">
              <a:extLst>
                <a:ext uri="{FF2B5EF4-FFF2-40B4-BE49-F238E27FC236}">
                  <a16:creationId xmlns:a16="http://schemas.microsoft.com/office/drawing/2014/main" id="{1200F7CC-F1F8-4D9D-8D50-49C53AEA2EE2}"/>
                </a:ext>
              </a:extLst>
            </xdr:cNvPr>
            <xdr:cNvGraphicFramePr/>
          </xdr:nvGraphicFramePr>
          <xdr:xfrm>
            <a:off x="0" y="0"/>
            <a:ext cx="0" cy="0"/>
          </xdr:xfrm>
          <a:graphic>
            <a:graphicData uri="http://schemas.microsoft.com/office/drawing/2010/slicer">
              <sle:slicer xmlns:sle="http://schemas.microsoft.com/office/drawing/2010/slicer" name="Year 7"/>
            </a:graphicData>
          </a:graphic>
        </xdr:graphicFrame>
      </mc:Choice>
      <mc:Fallback xmlns="">
        <xdr:sp macro="" textlink="">
          <xdr:nvSpPr>
            <xdr:cNvPr id="0" name=""/>
            <xdr:cNvSpPr>
              <a:spLocks noTextEdit="1"/>
            </xdr:cNvSpPr>
          </xdr:nvSpPr>
          <xdr:spPr>
            <a:xfrm>
              <a:off x="3244851" y="65088"/>
              <a:ext cx="5927725" cy="42703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57150</xdr:colOff>
      <xdr:row>5</xdr:row>
      <xdr:rowOff>158750</xdr:rowOff>
    </xdr:from>
    <xdr:to>
      <xdr:col>12</xdr:col>
      <xdr:colOff>171450</xdr:colOff>
      <xdr:row>22</xdr:row>
      <xdr:rowOff>133350</xdr:rowOff>
    </xdr:to>
    <xdr:pic>
      <xdr:nvPicPr>
        <xdr:cNvPr id="3" name="Picture 2">
          <a:extLst>
            <a:ext uri="{FF2B5EF4-FFF2-40B4-BE49-F238E27FC236}">
              <a16:creationId xmlns:a16="http://schemas.microsoft.com/office/drawing/2014/main" id="{D38846FF-42BC-8726-96AC-B2C4BB94FD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350" y="1117600"/>
          <a:ext cx="6210300" cy="310515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4</xdr:col>
      <xdr:colOff>466725</xdr:colOff>
      <xdr:row>15</xdr:row>
      <xdr:rowOff>47625</xdr:rowOff>
    </xdr:from>
    <xdr:to>
      <xdr:col>9</xdr:col>
      <xdr:colOff>92075</xdr:colOff>
      <xdr:row>19</xdr:row>
      <xdr:rowOff>19049</xdr:rowOff>
    </xdr:to>
    <mc:AlternateContent xmlns:mc="http://schemas.openxmlformats.org/markup-compatibility/2006" xmlns:a14="http://schemas.microsoft.com/office/drawing/2010/main">
      <mc:Choice Requires="a14">
        <xdr:graphicFrame macro="">
          <xdr:nvGraphicFramePr>
            <xdr:cNvPr id="2" name="Year 6">
              <a:extLst>
                <a:ext uri="{FF2B5EF4-FFF2-40B4-BE49-F238E27FC236}">
                  <a16:creationId xmlns:a16="http://schemas.microsoft.com/office/drawing/2014/main" id="{A59C27A6-DFB2-4756-AAB8-9ECFD8B9333E}"/>
                </a:ext>
              </a:extLst>
            </xdr:cNvPr>
            <xdr:cNvGraphicFramePr/>
          </xdr:nvGraphicFramePr>
          <xdr:xfrm>
            <a:off x="0" y="0"/>
            <a:ext cx="0" cy="0"/>
          </xdr:xfrm>
          <a:graphic>
            <a:graphicData uri="http://schemas.microsoft.com/office/drawing/2010/slicer">
              <sle:slicer xmlns:sle="http://schemas.microsoft.com/office/drawing/2010/slicer" name="Year 6"/>
            </a:graphicData>
          </a:graphic>
        </xdr:graphicFrame>
      </mc:Choice>
      <mc:Fallback xmlns="">
        <xdr:sp macro="" textlink="">
          <xdr:nvSpPr>
            <xdr:cNvPr id="0" name=""/>
            <xdr:cNvSpPr>
              <a:spLocks noTextEdit="1"/>
            </xdr:cNvSpPr>
          </xdr:nvSpPr>
          <xdr:spPr>
            <a:xfrm>
              <a:off x="6169025" y="2759075"/>
              <a:ext cx="5962650" cy="6984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1.xml><?xml version="1.0" encoding="utf-8"?>
<xdr:wsDr xmlns:xdr="http://schemas.openxmlformats.org/drawingml/2006/spreadsheetDrawing" xmlns:a="http://schemas.openxmlformats.org/drawingml/2006/main">
  <xdr:twoCellAnchor editAs="oneCell">
    <xdr:from>
      <xdr:col>4</xdr:col>
      <xdr:colOff>463550</xdr:colOff>
      <xdr:row>11</xdr:row>
      <xdr:rowOff>12701</xdr:rowOff>
    </xdr:from>
    <xdr:to>
      <xdr:col>7</xdr:col>
      <xdr:colOff>1019175</xdr:colOff>
      <xdr:row>15</xdr:row>
      <xdr:rowOff>139701</xdr:rowOff>
    </xdr:to>
    <mc:AlternateContent xmlns:mc="http://schemas.openxmlformats.org/markup-compatibility/2006" xmlns:a14="http://schemas.microsoft.com/office/drawing/2010/main">
      <mc:Choice Requires="a14">
        <xdr:graphicFrame macro="">
          <xdr:nvGraphicFramePr>
            <xdr:cNvPr id="3" name="Year 10">
              <a:extLst>
                <a:ext uri="{FF2B5EF4-FFF2-40B4-BE49-F238E27FC236}">
                  <a16:creationId xmlns:a16="http://schemas.microsoft.com/office/drawing/2014/main" id="{FD5CA450-494E-42FE-90ED-5990239F4242}"/>
                </a:ext>
              </a:extLst>
            </xdr:cNvPr>
            <xdr:cNvGraphicFramePr/>
          </xdr:nvGraphicFramePr>
          <xdr:xfrm>
            <a:off x="0" y="0"/>
            <a:ext cx="0" cy="0"/>
          </xdr:xfrm>
          <a:graphic>
            <a:graphicData uri="http://schemas.microsoft.com/office/drawing/2010/slicer">
              <sle:slicer xmlns:sle="http://schemas.microsoft.com/office/drawing/2010/slicer" name="Year 10"/>
            </a:graphicData>
          </a:graphic>
        </xdr:graphicFrame>
      </mc:Choice>
      <mc:Fallback xmlns="">
        <xdr:sp macro="" textlink="">
          <xdr:nvSpPr>
            <xdr:cNvPr id="0" name=""/>
            <xdr:cNvSpPr>
              <a:spLocks noTextEdit="1"/>
            </xdr:cNvSpPr>
          </xdr:nvSpPr>
          <xdr:spPr>
            <a:xfrm>
              <a:off x="4165600" y="2038351"/>
              <a:ext cx="4845050" cy="8636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2.xml><?xml version="1.0" encoding="utf-8"?>
<xdr:wsDr xmlns:xdr="http://schemas.openxmlformats.org/drawingml/2006/spreadsheetDrawing" xmlns:a="http://schemas.openxmlformats.org/drawingml/2006/main">
  <xdr:twoCellAnchor editAs="oneCell">
    <xdr:from>
      <xdr:col>5</xdr:col>
      <xdr:colOff>38100</xdr:colOff>
      <xdr:row>35</xdr:row>
      <xdr:rowOff>133350</xdr:rowOff>
    </xdr:from>
    <xdr:to>
      <xdr:col>11</xdr:col>
      <xdr:colOff>666749</xdr:colOff>
      <xdr:row>37</xdr:row>
      <xdr:rowOff>143934</xdr:rowOff>
    </xdr:to>
    <mc:AlternateContent xmlns:mc="http://schemas.openxmlformats.org/markup-compatibility/2006" xmlns:a14="http://schemas.microsoft.com/office/drawing/2010/main">
      <mc:Choice Requires="a14">
        <xdr:graphicFrame macro="">
          <xdr:nvGraphicFramePr>
            <xdr:cNvPr id="4" name="Year 11">
              <a:extLst>
                <a:ext uri="{FF2B5EF4-FFF2-40B4-BE49-F238E27FC236}">
                  <a16:creationId xmlns:a16="http://schemas.microsoft.com/office/drawing/2014/main" id="{97A62749-7858-463C-9403-E6A0197C6BE0}"/>
                </a:ext>
              </a:extLst>
            </xdr:cNvPr>
            <xdr:cNvGraphicFramePr/>
          </xdr:nvGraphicFramePr>
          <xdr:xfrm>
            <a:off x="0" y="0"/>
            <a:ext cx="0" cy="0"/>
          </xdr:xfrm>
          <a:graphic>
            <a:graphicData uri="http://schemas.microsoft.com/office/drawing/2010/slicer">
              <sle:slicer xmlns:sle="http://schemas.microsoft.com/office/drawing/2010/slicer" name="Year 11"/>
            </a:graphicData>
          </a:graphic>
        </xdr:graphicFrame>
      </mc:Choice>
      <mc:Fallback xmlns="">
        <xdr:sp macro="" textlink="">
          <xdr:nvSpPr>
            <xdr:cNvPr id="0" name=""/>
            <xdr:cNvSpPr>
              <a:spLocks noTextEdit="1"/>
            </xdr:cNvSpPr>
          </xdr:nvSpPr>
          <xdr:spPr>
            <a:xfrm>
              <a:off x="4435475" y="6991350"/>
              <a:ext cx="5629275" cy="46196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450850</xdr:colOff>
      <xdr:row>6</xdr:row>
      <xdr:rowOff>1</xdr:rowOff>
    </xdr:from>
    <xdr:to>
      <xdr:col>7</xdr:col>
      <xdr:colOff>400050</xdr:colOff>
      <xdr:row>10</xdr:row>
      <xdr:rowOff>38100</xdr:rowOff>
    </xdr:to>
    <mc:AlternateContent xmlns:mc="http://schemas.openxmlformats.org/markup-compatibility/2006" xmlns:a14="http://schemas.microsoft.com/office/drawing/2010/main">
      <mc:Choice Requires="a14">
        <xdr:graphicFrame macro="">
          <xdr:nvGraphicFramePr>
            <xdr:cNvPr id="3" name="Year 8">
              <a:extLst>
                <a:ext uri="{FF2B5EF4-FFF2-40B4-BE49-F238E27FC236}">
                  <a16:creationId xmlns:a16="http://schemas.microsoft.com/office/drawing/2014/main" id="{5877EC43-9B6E-4311-8171-74AF5CA388F6}"/>
                </a:ext>
              </a:extLst>
            </xdr:cNvPr>
            <xdr:cNvGraphicFramePr/>
          </xdr:nvGraphicFramePr>
          <xdr:xfrm>
            <a:off x="0" y="0"/>
            <a:ext cx="0" cy="0"/>
          </xdr:xfrm>
          <a:graphic>
            <a:graphicData uri="http://schemas.microsoft.com/office/drawing/2010/slicer">
              <sle:slicer xmlns:sle="http://schemas.microsoft.com/office/drawing/2010/slicer" name="Year 8"/>
            </a:graphicData>
          </a:graphic>
        </xdr:graphicFrame>
      </mc:Choice>
      <mc:Fallback xmlns="">
        <xdr:sp macro="" textlink="">
          <xdr:nvSpPr>
            <xdr:cNvPr id="0" name=""/>
            <xdr:cNvSpPr>
              <a:spLocks noTextEdit="1"/>
            </xdr:cNvSpPr>
          </xdr:nvSpPr>
          <xdr:spPr>
            <a:xfrm>
              <a:off x="3797300" y="1104901"/>
              <a:ext cx="5232400" cy="7746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4.xml><?xml version="1.0" encoding="utf-8"?>
<xdr:wsDr xmlns:xdr="http://schemas.openxmlformats.org/drawingml/2006/spreadsheetDrawing" xmlns:a="http://schemas.openxmlformats.org/drawingml/2006/main">
  <xdr:twoCellAnchor editAs="oneCell">
    <xdr:from>
      <xdr:col>3</xdr:col>
      <xdr:colOff>673100</xdr:colOff>
      <xdr:row>4</xdr:row>
      <xdr:rowOff>114301</xdr:rowOff>
    </xdr:from>
    <xdr:to>
      <xdr:col>13</xdr:col>
      <xdr:colOff>641350</xdr:colOff>
      <xdr:row>6</xdr:row>
      <xdr:rowOff>154214</xdr:rowOff>
    </xdr:to>
    <mc:AlternateContent xmlns:mc="http://schemas.openxmlformats.org/markup-compatibility/2006" xmlns:a14="http://schemas.microsoft.com/office/drawing/2010/main">
      <mc:Choice Requires="a14">
        <xdr:graphicFrame macro="">
          <xdr:nvGraphicFramePr>
            <xdr:cNvPr id="3" name="Year 9">
              <a:extLst>
                <a:ext uri="{FF2B5EF4-FFF2-40B4-BE49-F238E27FC236}">
                  <a16:creationId xmlns:a16="http://schemas.microsoft.com/office/drawing/2014/main" id="{18073988-7265-4461-B47E-C2FEA69580DC}"/>
                </a:ext>
              </a:extLst>
            </xdr:cNvPr>
            <xdr:cNvGraphicFramePr/>
          </xdr:nvGraphicFramePr>
          <xdr:xfrm>
            <a:off x="0" y="0"/>
            <a:ext cx="0" cy="0"/>
          </xdr:xfrm>
          <a:graphic>
            <a:graphicData uri="http://schemas.microsoft.com/office/drawing/2010/slicer">
              <sle:slicer xmlns:sle="http://schemas.microsoft.com/office/drawing/2010/slicer" name="Year 9"/>
            </a:graphicData>
          </a:graphic>
        </xdr:graphicFrame>
      </mc:Choice>
      <mc:Fallback xmlns="">
        <xdr:sp macro="" textlink="">
          <xdr:nvSpPr>
            <xdr:cNvPr id="0" name=""/>
            <xdr:cNvSpPr>
              <a:spLocks noTextEdit="1"/>
            </xdr:cNvSpPr>
          </xdr:nvSpPr>
          <xdr:spPr>
            <a:xfrm>
              <a:off x="4349750" y="876300"/>
              <a:ext cx="5232400" cy="7746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5.xml><?xml version="1.0" encoding="utf-8"?>
<xdr:wsDr xmlns:xdr="http://schemas.openxmlformats.org/drawingml/2006/spreadsheetDrawing" xmlns:a="http://schemas.openxmlformats.org/drawingml/2006/main">
  <xdr:twoCellAnchor editAs="oneCell">
    <xdr:from>
      <xdr:col>7</xdr:col>
      <xdr:colOff>298450</xdr:colOff>
      <xdr:row>8</xdr:row>
      <xdr:rowOff>120651</xdr:rowOff>
    </xdr:from>
    <xdr:to>
      <xdr:col>16</xdr:col>
      <xdr:colOff>63500</xdr:colOff>
      <xdr:row>13</xdr:row>
      <xdr:rowOff>0</xdr:rowOff>
    </xdr:to>
    <mc:AlternateContent xmlns:mc="http://schemas.openxmlformats.org/markup-compatibility/2006" xmlns:a14="http://schemas.microsoft.com/office/drawing/2010/main">
      <mc:Choice Requires="a14">
        <xdr:graphicFrame macro="">
          <xdr:nvGraphicFramePr>
            <xdr:cNvPr id="2" name="Year 12">
              <a:extLst>
                <a:ext uri="{FF2B5EF4-FFF2-40B4-BE49-F238E27FC236}">
                  <a16:creationId xmlns:a16="http://schemas.microsoft.com/office/drawing/2014/main" id="{8F9B6AD5-A5AA-4884-AA64-BBA54C8065A2}"/>
                </a:ext>
              </a:extLst>
            </xdr:cNvPr>
            <xdr:cNvGraphicFramePr/>
          </xdr:nvGraphicFramePr>
          <xdr:xfrm>
            <a:off x="0" y="0"/>
            <a:ext cx="0" cy="0"/>
          </xdr:xfrm>
          <a:graphic>
            <a:graphicData uri="http://schemas.microsoft.com/office/drawing/2010/slicer">
              <sle:slicer xmlns:sle="http://schemas.microsoft.com/office/drawing/2010/slicer" name="Year 12"/>
            </a:graphicData>
          </a:graphic>
        </xdr:graphicFrame>
      </mc:Choice>
      <mc:Fallback xmlns="">
        <xdr:sp macro="" textlink="">
          <xdr:nvSpPr>
            <xdr:cNvPr id="0" name=""/>
            <xdr:cNvSpPr>
              <a:spLocks noTextEdit="1"/>
            </xdr:cNvSpPr>
          </xdr:nvSpPr>
          <xdr:spPr>
            <a:xfrm>
              <a:off x="5416550" y="1593851"/>
              <a:ext cx="5257800" cy="8000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469900</xdr:colOff>
      <xdr:row>3</xdr:row>
      <xdr:rowOff>69851</xdr:rowOff>
    </xdr:from>
    <xdr:to>
      <xdr:col>12</xdr:col>
      <xdr:colOff>6350</xdr:colOff>
      <xdr:row>5</xdr:row>
      <xdr:rowOff>101600</xdr:rowOff>
    </xdr:to>
    <mc:AlternateContent xmlns:mc="http://schemas.openxmlformats.org/markup-compatibility/2006" xmlns:a14="http://schemas.microsoft.com/office/drawing/2010/main">
      <mc:Choice Requires="a14">
        <xdr:graphicFrame macro="">
          <xdr:nvGraphicFramePr>
            <xdr:cNvPr id="3" name="Year 13">
              <a:extLst>
                <a:ext uri="{FF2B5EF4-FFF2-40B4-BE49-F238E27FC236}">
                  <a16:creationId xmlns:a16="http://schemas.microsoft.com/office/drawing/2014/main" id="{B550B5CF-83E2-4C60-805B-9054AA3A76B6}"/>
                </a:ext>
              </a:extLst>
            </xdr:cNvPr>
            <xdr:cNvGraphicFramePr/>
          </xdr:nvGraphicFramePr>
          <xdr:xfrm>
            <a:off x="0" y="0"/>
            <a:ext cx="0" cy="0"/>
          </xdr:xfrm>
          <a:graphic>
            <a:graphicData uri="http://schemas.microsoft.com/office/drawing/2010/slicer">
              <sle:slicer xmlns:sle="http://schemas.microsoft.com/office/drawing/2010/slicer" name="Year 13"/>
            </a:graphicData>
          </a:graphic>
        </xdr:graphicFrame>
      </mc:Choice>
      <mc:Fallback xmlns="">
        <xdr:sp macro="" textlink="">
          <xdr:nvSpPr>
            <xdr:cNvPr id="0" name=""/>
            <xdr:cNvSpPr>
              <a:spLocks noTextEdit="1"/>
            </xdr:cNvSpPr>
          </xdr:nvSpPr>
          <xdr:spPr>
            <a:xfrm>
              <a:off x="3568700" y="793751"/>
              <a:ext cx="6210300" cy="4127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781048</xdr:colOff>
      <xdr:row>28</xdr:row>
      <xdr:rowOff>101601</xdr:rowOff>
    </xdr:from>
    <xdr:to>
      <xdr:col>14</xdr:col>
      <xdr:colOff>552450</xdr:colOff>
      <xdr:row>30</xdr:row>
      <xdr:rowOff>158751</xdr:rowOff>
    </xdr:to>
    <mc:AlternateContent xmlns:mc="http://schemas.openxmlformats.org/markup-compatibility/2006" xmlns:a14="http://schemas.microsoft.com/office/drawing/2010/main">
      <mc:Choice Requires="a14">
        <xdr:graphicFrame macro="">
          <xdr:nvGraphicFramePr>
            <xdr:cNvPr id="4" name="Year 38">
              <a:extLst>
                <a:ext uri="{FF2B5EF4-FFF2-40B4-BE49-F238E27FC236}">
                  <a16:creationId xmlns:a16="http://schemas.microsoft.com/office/drawing/2014/main" id="{7A3A7C02-003F-4D15-A18B-E355F79FAF63}"/>
                </a:ext>
              </a:extLst>
            </xdr:cNvPr>
            <xdr:cNvGraphicFramePr/>
          </xdr:nvGraphicFramePr>
          <xdr:xfrm>
            <a:off x="0" y="0"/>
            <a:ext cx="0" cy="0"/>
          </xdr:xfrm>
          <a:graphic>
            <a:graphicData uri="http://schemas.microsoft.com/office/drawing/2010/slicer">
              <sle:slicer xmlns:sle="http://schemas.microsoft.com/office/drawing/2010/slicer" name="Year 38"/>
            </a:graphicData>
          </a:graphic>
        </xdr:graphicFrame>
      </mc:Choice>
      <mc:Fallback xmlns="">
        <xdr:sp macro="" textlink="">
          <xdr:nvSpPr>
            <xdr:cNvPr id="0" name=""/>
            <xdr:cNvSpPr>
              <a:spLocks noTextEdit="1"/>
            </xdr:cNvSpPr>
          </xdr:nvSpPr>
          <xdr:spPr>
            <a:xfrm>
              <a:off x="4768850" y="6089650"/>
              <a:ext cx="5257800" cy="6603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561680</xdr:colOff>
      <xdr:row>4</xdr:row>
      <xdr:rowOff>95250</xdr:rowOff>
    </xdr:from>
    <xdr:to>
      <xdr:col>11</xdr:col>
      <xdr:colOff>406399</xdr:colOff>
      <xdr:row>30</xdr:row>
      <xdr:rowOff>167782</xdr:rowOff>
    </xdr:to>
    <xdr:pic>
      <xdr:nvPicPr>
        <xdr:cNvPr id="5" name="Picture 4">
          <a:extLst>
            <a:ext uri="{FF2B5EF4-FFF2-40B4-BE49-F238E27FC236}">
              <a16:creationId xmlns:a16="http://schemas.microsoft.com/office/drawing/2014/main" id="{611FDF17-2F08-3348-8ACC-620D081FF8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1280" y="869950"/>
          <a:ext cx="5940719" cy="486043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571944</xdr:colOff>
      <xdr:row>4</xdr:row>
      <xdr:rowOff>57150</xdr:rowOff>
    </xdr:from>
    <xdr:to>
      <xdr:col>11</xdr:col>
      <xdr:colOff>387349</xdr:colOff>
      <xdr:row>27</xdr:row>
      <xdr:rowOff>77701</xdr:rowOff>
    </xdr:to>
    <xdr:pic>
      <xdr:nvPicPr>
        <xdr:cNvPr id="3" name="Picture 2">
          <a:extLst>
            <a:ext uri="{FF2B5EF4-FFF2-40B4-BE49-F238E27FC236}">
              <a16:creationId xmlns:a16="http://schemas.microsoft.com/office/drawing/2014/main" id="{45A6C58F-D1CC-1A9A-880F-D77809B45C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1544" y="831850"/>
          <a:ext cx="5911405" cy="425600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268839</xdr:colOff>
      <xdr:row>4</xdr:row>
      <xdr:rowOff>88900</xdr:rowOff>
    </xdr:from>
    <xdr:to>
      <xdr:col>11</xdr:col>
      <xdr:colOff>81421</xdr:colOff>
      <xdr:row>33</xdr:row>
      <xdr:rowOff>66180</xdr:rowOff>
    </xdr:to>
    <xdr:pic>
      <xdr:nvPicPr>
        <xdr:cNvPr id="3" name="Picture 2">
          <a:extLst>
            <a:ext uri="{FF2B5EF4-FFF2-40B4-BE49-F238E27FC236}">
              <a16:creationId xmlns:a16="http://schemas.microsoft.com/office/drawing/2014/main" id="{13CE0D5D-1045-F4B5-36F1-9588B07242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8439" y="863600"/>
          <a:ext cx="5908582" cy="53176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431800</xdr:colOff>
      <xdr:row>7</xdr:row>
      <xdr:rowOff>38101</xdr:rowOff>
    </xdr:from>
    <xdr:to>
      <xdr:col>4</xdr:col>
      <xdr:colOff>1371600</xdr:colOff>
      <xdr:row>11</xdr:row>
      <xdr:rowOff>1</xdr:rowOff>
    </xdr:to>
    <mc:AlternateContent xmlns:mc="http://schemas.openxmlformats.org/markup-compatibility/2006" xmlns:a14="http://schemas.microsoft.com/office/drawing/2010/main">
      <mc:Choice Requires="a14">
        <xdr:graphicFrame macro="">
          <xdr:nvGraphicFramePr>
            <xdr:cNvPr id="2" name="Year 54">
              <a:extLst>
                <a:ext uri="{FF2B5EF4-FFF2-40B4-BE49-F238E27FC236}">
                  <a16:creationId xmlns:a16="http://schemas.microsoft.com/office/drawing/2014/main" id="{D5881F47-47F3-4BC9-87FC-293D095DB497}"/>
                </a:ext>
              </a:extLst>
            </xdr:cNvPr>
            <xdr:cNvGraphicFramePr/>
          </xdr:nvGraphicFramePr>
          <xdr:xfrm>
            <a:off x="0" y="0"/>
            <a:ext cx="0" cy="0"/>
          </xdr:xfrm>
          <a:graphic>
            <a:graphicData uri="http://schemas.microsoft.com/office/drawing/2010/slicer">
              <sle:slicer xmlns:sle="http://schemas.microsoft.com/office/drawing/2010/slicer" name="Year 54"/>
            </a:graphicData>
          </a:graphic>
        </xdr:graphicFrame>
      </mc:Choice>
      <mc:Fallback xmlns="">
        <xdr:sp macro="" textlink="">
          <xdr:nvSpPr>
            <xdr:cNvPr id="0" name=""/>
            <xdr:cNvSpPr>
              <a:spLocks noTextEdit="1"/>
            </xdr:cNvSpPr>
          </xdr:nvSpPr>
          <xdr:spPr>
            <a:xfrm>
              <a:off x="5054600" y="1327151"/>
              <a:ext cx="2997200" cy="692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43.380582060185" createdVersion="8" refreshedVersion="8" minRefreshableVersion="3" recordCount="12" xr:uid="{12CC7B8E-BCF5-4B8F-A81B-DB3B5106738D}">
  <cacheSource type="worksheet">
    <worksheetSource name="fleet_National__2"/>
  </cacheSource>
  <cacheFields count="14">
    <cacheField name="Year" numFmtId="0">
      <sharedItems count="12">
        <s v="2012-13"/>
        <s v="2013-14"/>
        <s v="2014-15"/>
        <s v="2015-16"/>
        <s v="2016-17"/>
        <s v="2017-18"/>
        <s v="2018-19"/>
        <s v="2019-20"/>
        <s v="2020-21"/>
        <s v="2021-22"/>
        <s v="2022-23"/>
        <s v="2023-24"/>
      </sharedItems>
    </cacheField>
    <cacheField name="Pumping Appliances" numFmtId="0">
      <sharedItems containsSemiMixedTypes="0" containsString="0" containsNumber="1" containsInteger="1" minValue="417" maxValue="465"/>
    </cacheField>
    <cacheField name="Aerial Appliances" numFmtId="0">
      <sharedItems containsSemiMixedTypes="0" containsString="0" containsNumber="1" containsInteger="1" minValue="12" maxValue="31"/>
    </cacheField>
    <cacheField name="Resilience Appliances" numFmtId="0">
      <sharedItems containsSemiMixedTypes="0" containsString="0" containsNumber="1" containsInteger="1" minValue="14" maxValue="43"/>
    </cacheField>
    <cacheField name="Fire Boats" numFmtId="0">
      <sharedItems containsString="0" containsBlank="1" containsNumber="1" containsInteger="1" minValue="22" maxValue="41"/>
    </cacheField>
    <cacheField name="Vehicles for Rescue Work" numFmtId="0">
      <sharedItems containsSemiMixedTypes="0" containsString="0" containsNumber="1" containsInteger="1" minValue="15" maxValue="29"/>
    </cacheField>
    <cacheField name="Small Firefighting Vehicles" numFmtId="0">
      <sharedItems containsSemiMixedTypes="0" containsString="0" containsNumber="1" containsInteger="1" minValue="29" maxValue="41"/>
    </cacheField>
    <cacheField name="Other" numFmtId="0">
      <sharedItems containsSemiMixedTypes="0" containsString="0" containsNumber="1" containsInteger="1" minValue="23" maxValue="77"/>
    </cacheField>
    <cacheField name="Total Appliances" numFmtId="0">
      <sharedItems containsSemiMixedTypes="0" containsString="0" containsNumber="1" containsInteger="1" minValue="577" maxValue="666"/>
    </cacheField>
    <cacheField name="Officer Response Vehicles" numFmtId="0">
      <sharedItems containsString="0" containsBlank="1" containsNumber="1" containsInteger="1" minValue="95" maxValue="335"/>
    </cacheField>
    <cacheField name="Reserve Appliances" numFmtId="0">
      <sharedItems containsSemiMixedTypes="0" containsString="0" containsNumber="1" containsInteger="1" minValue="59" maxValue="109"/>
    </cacheField>
    <cacheField name="Training Appliances" numFmtId="0">
      <sharedItems containsSemiMixedTypes="0" containsString="0" containsNumber="1" containsInteger="1" minValue="27" maxValue="71"/>
    </cacheField>
    <cacheField name="Other Fleet Vehicles (excl Officer Response Vehicles)" numFmtId="0">
      <sharedItems containsSemiMixedTypes="0" containsString="0" containsNumber="1" containsInteger="1" minValue="470" maxValue="875"/>
    </cacheField>
    <cacheField name="Total Vehicles (incl boats)" numFmtId="0">
      <sharedItems containsSemiMixedTypes="0" containsString="0" containsNumber="1" containsInteger="1" minValue="1301" maxValue="1677"/>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63.42502037037" createdVersion="8" refreshedVersion="8" minRefreshableVersion="3" recordCount="49" xr:uid="{8906A88F-6C3D-497D-8C73-EF162421EEA0}">
  <cacheSource type="worksheet">
    <worksheetSource name="hrod_HR_Leavers__2"/>
  </cacheSource>
  <cacheFields count="9">
    <cacheField name="Year" numFmtId="0">
      <sharedItems count="6">
        <s v="2018-19"/>
        <s v="2019-20"/>
        <s v="2020-21"/>
        <s v="2021-22"/>
        <s v="2022-23"/>
        <s v="2023-24"/>
      </sharedItems>
    </cacheField>
    <cacheField name="Reason for Leaving" numFmtId="0">
      <sharedItems count="12">
        <s v="Dismissal"/>
        <s v="End of contract"/>
        <s v="Other"/>
        <s v="Resignation"/>
        <s v="Retirement - 30 Years Service"/>
        <s v="Retirement - Age"/>
        <s v="Retirement - Early"/>
        <s v="Retirement - Health"/>
        <s v="Transfer - To another F&amp;R Service"/>
        <s v="TUPE Transfer"/>
        <s v="Voluntary Severance"/>
        <s v="Redundancy"/>
      </sharedItems>
    </cacheField>
    <cacheField name="Wholetime Operational" numFmtId="0">
      <sharedItems containsSemiMixedTypes="0" containsString="0" containsNumber="1" containsInteger="1" minValue="0" maxValue="289"/>
    </cacheField>
    <cacheField name="Retained Duty System" numFmtId="0">
      <sharedItems containsSemiMixedTypes="0" containsString="0" containsNumber="1" containsInteger="1" minValue="0" maxValue="175"/>
    </cacheField>
    <cacheField name="Retained Full-time" numFmtId="0">
      <sharedItems containsSemiMixedTypes="0" containsString="0" containsNumber="1" containsInteger="1" minValue="0" maxValue="2"/>
    </cacheField>
    <cacheField name="Control" numFmtId="0">
      <sharedItems containsSemiMixedTypes="0" containsString="0" containsNumber="1" containsInteger="1" minValue="0" maxValue="18"/>
    </cacheField>
    <cacheField name="Support" numFmtId="0">
      <sharedItems containsSemiMixedTypes="0" containsString="0" containsNumber="1" containsInteger="1" minValue="0" maxValue="67"/>
    </cacheField>
    <cacheField name="Volunteers" numFmtId="0">
      <sharedItems containsSemiMixedTypes="0" containsString="0" containsNumber="1" containsInteger="1" minValue="0" maxValue="32"/>
    </cacheField>
    <cacheField name="Total" numFmtId="0">
      <sharedItems containsSemiMixedTypes="0" containsString="0" containsNumber="1" containsInteger="1" minValue="1" maxValue="372"/>
    </cacheField>
  </cacheFields>
  <extLst>
    <ext xmlns:x14="http://schemas.microsoft.com/office/spreadsheetml/2009/9/main" uri="{725AE2AE-9491-48be-B2B4-4EB974FC3084}">
      <x14:pivotCacheDefinition pivotCacheId="1456221594"/>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67.43251215278" createdVersion="8" refreshedVersion="8" minRefreshableVersion="3" recordCount="6" xr:uid="{B8C6BBDC-486D-4ECF-8DF1-352E5644A49F}">
  <cacheSource type="worksheet">
    <worksheetSource name="hrod_HR_DutySystem_1"/>
  </cacheSource>
  <cacheFields count="5">
    <cacheField name="Year" numFmtId="0">
      <sharedItems count="6">
        <s v="2018-19"/>
        <s v="2019-20"/>
        <s v="2020-21"/>
        <s v="2021-22"/>
        <s v="2022-23"/>
        <s v="2023-24"/>
      </sharedItems>
    </cacheField>
    <cacheField name="Operational Crewing" numFmtId="0">
      <sharedItems containsSemiMixedTypes="0" containsString="0" containsNumber="1" containsInteger="1" minValue="2798" maxValue="2966"/>
    </cacheField>
    <cacheField name="Incident Command Officers" numFmtId="0">
      <sharedItems containsSemiMixedTypes="0" containsString="0" containsNumber="1" containsInteger="1" minValue="262" maxValue="273"/>
    </cacheField>
    <cacheField name="Office Duties" numFmtId="0">
      <sharedItems containsSemiMixedTypes="0" containsString="0" containsNumber="1" containsInteger="1" minValue="327" maxValue="358"/>
    </cacheField>
    <cacheField name="Trainees" numFmtId="0">
      <sharedItems containsSemiMixedTypes="0" containsString="0" containsNumber="1" containsInteger="1" minValue="1" maxValue="103"/>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67.437942708333" createdVersion="8" refreshedVersion="8" minRefreshableVersion="3" recordCount="14" xr:uid="{A0A15A99-4428-40DE-9C13-096F2AF85391}">
  <cacheSource type="worksheet">
    <worksheetSource name="hrod_HR_StaffingHeadcount__4"/>
  </cacheSource>
  <cacheFields count="7">
    <cacheField name="Year" numFmtId="0">
      <sharedItems count="14">
        <s v="2022-23"/>
        <s v="2013-14"/>
        <s v="2017-18"/>
        <s v="2011-12"/>
        <s v="2023-24"/>
        <s v="2012-13"/>
        <s v="2014-15"/>
        <s v="2018-19"/>
        <s v="2019-20"/>
        <s v="2015-16"/>
        <s v="2016-17"/>
        <s v="2020-21"/>
        <s v="2010-11"/>
        <s v="2021-22"/>
      </sharedItems>
    </cacheField>
    <cacheField name="WholeTime Operational" numFmtId="0">
      <sharedItems containsSemiMixedTypes="0" containsString="0" containsNumber="1" containsInteger="1" minValue="3422" maxValue="4206"/>
    </cacheField>
    <cacheField name="Retained Duty System" numFmtId="0">
      <sharedItems containsSemiMixedTypes="0" containsString="0" containsNumber="1" containsInteger="1" minValue="2708" maxValue="3076"/>
    </cacheField>
    <cacheField name="RDS Fulltime" numFmtId="0">
      <sharedItems containsString="0" containsBlank="1" containsNumber="1" containsInteger="1" minValue="18" maxValue="55"/>
    </cacheField>
    <cacheField name="Control" numFmtId="0">
      <sharedItems containsSemiMixedTypes="0" containsString="0" containsNumber="1" containsInteger="1" minValue="165" maxValue="234"/>
    </cacheField>
    <cacheField name="Support" numFmtId="0">
      <sharedItems containsSemiMixedTypes="0" containsString="0" containsNumber="1" containsInteger="1" minValue="792" maxValue="1136"/>
    </cacheField>
    <cacheField name="Volunteer" numFmtId="0">
      <sharedItems containsSemiMixedTypes="0" containsString="0" containsNumber="1" containsInteger="1" minValue="266" maxValue="459"/>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430772916669" createdVersion="6" refreshedVersion="8" minRefreshableVersion="3" recordCount="311" xr:uid="{00000000-000A-0000-FFFF-FFFFB7000000}">
  <cacheSource type="worksheet">
    <worksheetSource name="hrod_HR_DutySystem_LA"/>
  </cacheSource>
  <cacheFields count="8">
    <cacheField name="Year" numFmtId="0">
      <sharedItems containsBlank="1" count="7">
        <s v="2018-19"/>
        <s v="2019-20"/>
        <s v="2020-21"/>
        <s v="2021-22"/>
        <s v="2022-23"/>
        <s v="2023-24"/>
        <m u="1"/>
      </sharedItems>
    </cacheField>
    <cacheField name="ReportingLevel" numFmtId="0">
      <sharedItems containsBlank="1" count="6">
        <s v="1:LA"/>
        <s v="2:LSO"/>
        <s v="3:SDA"/>
        <s v="4:National"/>
        <m u="1"/>
        <s v="1:SDA" u="1"/>
      </sharedItems>
    </cacheField>
    <cacheField name="lvl" numFmtId="0">
      <sharedItems containsBlank="1" count="60">
        <s v="Inverclyde"/>
        <s v="North Lanarkshire"/>
        <s v="Perth and Kinross"/>
        <s v="Fife"/>
        <s v="Argyll and Bute, East Dunbartonshire and West Dunbartonshire"/>
        <s v="Falkirk and West Lothian"/>
        <s v="Aberdeen City"/>
        <s v="Moray"/>
        <s v="East Ayrshire, North Ayrshire and South Ayrshire"/>
        <s v="Angus"/>
        <s v="Argyll and Bute"/>
        <s v="Dumfries and Gallowa"/>
        <s v="East Dunbartonshire"/>
        <s v="East Lothian"/>
        <s v="Glasgow City"/>
        <s v="North Ayrshire"/>
        <s v="North"/>
        <s v="Aberdeenshire"/>
        <s v="East Ayrshire"/>
        <s v="Renfrewshire"/>
        <s v="West Dunbartonshire"/>
        <s v="East"/>
        <s v="West Lothian"/>
        <s v="Edinburgh City"/>
        <s v="Dundee City"/>
        <s v="Highlands"/>
        <s v="Stirling, Clackmannanshire and Fife"/>
        <s v="Scotland"/>
        <s v="Clackmannanshire"/>
        <s v="Aberdeen City, Aberdeenshire and Moray"/>
        <s v="Dundee, Angus, Perth and Kinross"/>
        <s v="Midlothian"/>
        <s v="Western Isles, Orkney and Shetland Islands"/>
        <s v="South Lanarkshire"/>
        <s v="West"/>
        <s v="East Renfrewshire"/>
        <s v="East Lothian, Midlothian and the Scottish Borders"/>
        <s v="South Ayrshire"/>
        <s v="Stirling"/>
        <s v="Lanarkshire"/>
        <s v="East Renfrewshire, Renfrewshire and Inverclyde"/>
        <s v="Dumfries and Galloway"/>
        <s v="Falkirk"/>
        <s v="Scottish Borders"/>
        <s v="Shetland Islands"/>
        <s v="Aberdeenshire and Moray"/>
        <s v="Na h-Eileanan Siar"/>
        <s v="Orkney Islands"/>
        <s v="Stirling and Clackmannanshire"/>
        <m u="1"/>
        <s v="Argyll and Bute, West Dunbartonshire and East Dunbartonshire" u="1"/>
        <s v="Dumfries &amp; Galloway" u="1"/>
        <s v="Perth and Kinross, Dundee City and Angus" u="1"/>
        <s v="Argyll &amp; Bute" u="1"/>
        <s v="Highland" u="1"/>
        <s v="East, North and South Ayrshire" u="1"/>
        <s v="Midlothian, East Lothian and Scottish Borders" u="1"/>
        <s v="Orkney Islands, Shetland Islands and Na h-Eileanan" u="1"/>
        <s v="City of Edinburgh" u="1"/>
        <s v="NULL" u="1"/>
      </sharedItems>
    </cacheField>
    <cacheField name="Code" numFmtId="0">
      <sharedItems containsBlank="1"/>
    </cacheField>
    <cacheField name="Operational Crewing" numFmtId="0">
      <sharedItems containsSemiMixedTypes="0" containsString="0" containsNumber="1" containsInteger="1" minValue="0" maxValue="517"/>
    </cacheField>
    <cacheField name="Incident Command Officers" numFmtId="0">
      <sharedItems containsSemiMixedTypes="0" containsString="0" containsNumber="1" containsInteger="1" minValue="0" maxValue="60"/>
    </cacheField>
    <cacheField name="Office Duties" numFmtId="0">
      <sharedItems containsSemiMixedTypes="0" containsString="0" containsNumber="1" containsInteger="1" minValue="0" maxValue="76"/>
    </cacheField>
    <cacheField name="Trainees" numFmtId="0">
      <sharedItems containsSemiMixedTypes="0" containsString="0" containsNumber="1" containsInteger="1" minValue="0" maxValue="60"/>
    </cacheField>
  </cacheFields>
  <extLst>
    <ext xmlns:x14="http://schemas.microsoft.com/office/spreadsheetml/2009/9/main" uri="{725AE2AE-9491-48be-B2B4-4EB974FC3084}">
      <x14:pivotCacheDefinition pivotCacheId="132"/>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483089120367" createdVersion="6" refreshedVersion="8" minRefreshableVersion="3" recordCount="578" xr:uid="{00000000-000A-0000-FFFF-FFFFC2000000}">
  <cacheSource type="worksheet">
    <worksheetSource name="hrod_HR_StaffSmallArea"/>
  </cacheSource>
  <cacheFields count="11">
    <cacheField name="Year" numFmtId="0">
      <sharedItems containsBlank="1" count="12">
        <s v="2020-21"/>
        <s v="2023-24"/>
        <s v="2019-20"/>
        <s v="2021-22"/>
        <s v="2022-23"/>
        <s v="2018-19"/>
        <s v="2014-15"/>
        <s v="2013-14"/>
        <s v="2015-16"/>
        <s v="2017-18"/>
        <s v="2016-17"/>
        <m/>
      </sharedItems>
    </cacheField>
    <cacheField name="ReportingLevel" numFmtId="0">
      <sharedItems containsBlank="1" count="6">
        <s v="1:LA"/>
        <s v="2:LSO"/>
        <s v="3:SDA"/>
        <s v="4:National"/>
        <m/>
        <s v="04:National" u="1"/>
      </sharedItems>
    </cacheField>
    <cacheField name="lvl" numFmtId="0">
      <sharedItems containsBlank="1" count="65">
        <s v="Midlothian"/>
        <s v="East Ayrshire"/>
        <s v="Inverclyde"/>
        <s v="East Renfrewshire, Renfrewshire and Inverclyde"/>
        <s v="Shetland Islands"/>
        <s v="West Dunbartonshire"/>
        <s v="Dumfries and Galloway"/>
        <s v="South Ayrshire"/>
        <s v="North Ayrshire"/>
        <s v="Stirling, Clackmannanshire and Fife"/>
        <s v="Highlands"/>
        <s v="Aberdeen City"/>
        <s v="Glasgow City"/>
        <s v="East Lothian"/>
        <s v="Perth and Kinross"/>
        <s v="East"/>
        <s v="Aberdeenshire"/>
        <s v="Edinburgh City"/>
        <s v="Argyll and Bute"/>
        <s v="West Lothian"/>
        <s v="Na h-Eileanan Siar"/>
        <s v="North"/>
        <s v="Stirling"/>
        <s v="Lanarkshire"/>
        <s v="East Renfrewshire"/>
        <s v="Dundee City"/>
        <s v="West"/>
        <s v="North Lanarkshire"/>
        <s v="South Lanarkshire"/>
        <s v="Falkirk and West Lothian"/>
        <s v="Orkney Islands"/>
        <s v="Western Isles, Orkney and Shetland Islands"/>
        <s v="Falkirk"/>
        <s v="Angus"/>
        <s v="Aberdeenshire and Moray"/>
        <s v="Argyll and Bute, East Dunbartonshire and West Dunbartonshire"/>
        <s v="Dundee, Angus, Perth and Kinross"/>
        <s v="Scottish Borders"/>
        <s v="Aberdeen City, Aberdeenshire and Moray"/>
        <s v="Clackmannanshire"/>
        <s v="East Ayrshire, North Ayrshire and South Ayrshire"/>
        <s v="Fife"/>
        <s v="Moray"/>
        <s v="City of Edinburgh"/>
        <s v="Scotland"/>
        <s v="Stirling and Clackmannanshire"/>
        <s v="East Dunbartonshire"/>
        <s v="East Lothian, Midlothian and the Scottish Borders"/>
        <s v="Renfrewshire"/>
        <s v="Highland"/>
        <m/>
        <s v="Perth and Kinross, Dundee City and Angus" u="1"/>
        <s v="East Ayrshire, North Ayrshire &amp; South Ayrshire" u="1"/>
        <s v="Perth &amp; Kinross" u="1"/>
        <s v="Midlothian, East Lothian and Scottish Borders" u="1"/>
        <s v="Argyll and Bute, West Dunbartonshire and East Dunbartonshire" u="1"/>
        <s v="Dumfries and Gallowa" u="1"/>
        <s v="East, North and South Ayrshire" u="1"/>
        <s v="East Lothian, Midlothian and Scottish Borders" u="1"/>
        <s v="Dundee, Angus, Perth &amp; Kinross" u="1"/>
        <s v="Western Isles, Orkney and Shetland Isles" u="1"/>
        <s v="Argyll &amp; Bute" u="1"/>
        <s v="Dumfries &amp; Galloway" u="1"/>
        <s v="Orkney Islands, Shetland Islands and Na h-Eileanan" u="1"/>
        <s v="NULL" u="1"/>
      </sharedItems>
    </cacheField>
    <cacheField name="Code" numFmtId="0">
      <sharedItems containsBlank="1"/>
    </cacheField>
    <cacheField name="Total" numFmtId="0">
      <sharedItems containsString="0" containsBlank="1" containsNumber="1" containsInteger="1" minValue="0" maxValue="1182"/>
    </cacheField>
    <cacheField name="Control" numFmtId="0">
      <sharedItems containsString="0" containsBlank="1" containsNumber="1" containsInteger="1" minValue="0" maxValue="230"/>
    </cacheField>
    <cacheField name="RDS Fulltime" numFmtId="0">
      <sharedItems containsString="0" containsBlank="1" containsNumber="1" containsInteger="1" minValue="0" maxValue="11"/>
    </cacheField>
    <cacheField name="Retained Duty System" numFmtId="0">
      <sharedItems containsString="0" containsBlank="1" containsNumber="1" containsInteger="1" minValue="0" maxValue="564"/>
    </cacheField>
    <cacheField name="Support" numFmtId="0">
      <sharedItems containsString="0" containsBlank="1" containsNumber="1" containsInteger="1" minValue="0" maxValue="920"/>
    </cacheField>
    <cacheField name="Volunteer" numFmtId="0">
      <sharedItems containsString="0" containsBlank="1" containsNumber="1" containsInteger="1" minValue="0" maxValue="225"/>
    </cacheField>
    <cacheField name="Wholetime Operational" numFmtId="0">
      <sharedItems containsString="0" containsBlank="1" containsNumber="1" containsInteger="1" minValue="0" maxValue="560"/>
    </cacheField>
  </cacheFields>
  <extLst>
    <ext xmlns:x14="http://schemas.microsoft.com/office/spreadsheetml/2009/9/main" uri="{725AE2AE-9491-48be-B2B4-4EB974FC3084}">
      <x14:pivotCacheDefinition pivotCacheId="155"/>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603068865741" createdVersion="6" refreshedVersion="8" minRefreshableVersion="3" recordCount="24" xr:uid="{00000000-000A-0000-FFFF-FFFFBA000000}">
  <cacheSource type="worksheet">
    <worksheetSource name="hrod_HR_Role_DutySystem"/>
  </cacheSource>
  <cacheFields count="9">
    <cacheField name="Year" numFmtId="0">
      <sharedItems count="6">
        <s v="2018-19"/>
        <s v="2019-20"/>
        <s v="2020-21"/>
        <s v="2021-22"/>
        <s v="2022-23"/>
        <s v="2023-24"/>
      </sharedItems>
    </cacheField>
    <cacheField name="EmployeeGroup" numFmtId="0">
      <sharedItems count="4">
        <s v="Incident Command Officers"/>
        <s v="Office Duties"/>
        <s v="Operational Crews"/>
        <s v="Trainees"/>
      </sharedItems>
    </cacheField>
    <cacheField name="Brigade Commander" numFmtId="0">
      <sharedItems containsSemiMixedTypes="0" containsString="0" containsNumber="1" containsInteger="1" minValue="0" maxValue="6"/>
    </cacheField>
    <cacheField name="Area Commander" numFmtId="0">
      <sharedItems containsSemiMixedTypes="0" containsString="0" containsNumber="1" containsInteger="1" minValue="0" maxValue="35"/>
    </cacheField>
    <cacheField name="Group Commander" numFmtId="0">
      <sharedItems containsSemiMixedTypes="0" containsString="0" containsNumber="1" containsInteger="1" minValue="0" maxValue="80"/>
    </cacheField>
    <cacheField name="Station Commander" numFmtId="0">
      <sharedItems containsSemiMixedTypes="0" containsString="0" containsNumber="1" containsInteger="1" minValue="0" maxValue="157"/>
    </cacheField>
    <cacheField name="Watch Commander" numFmtId="0">
      <sharedItems containsSemiMixedTypes="0" containsString="0" containsNumber="1" containsInteger="1" minValue="0" maxValue="377"/>
    </cacheField>
    <cacheField name="Crew Commander" numFmtId="0">
      <sharedItems containsSemiMixedTypes="0" containsString="0" containsNumber="1" containsInteger="1" minValue="0" maxValue="597"/>
    </cacheField>
    <cacheField name="Firefighter" numFmtId="0">
      <sharedItems containsSemiMixedTypes="0" containsString="0" containsNumber="1" containsInteger="1" minValue="0" maxValue="1993"/>
    </cacheField>
  </cacheFields>
  <extLst>
    <ext xmlns:x14="http://schemas.microsoft.com/office/spreadsheetml/2009/9/main" uri="{725AE2AE-9491-48be-B2B4-4EB974FC3084}">
      <x14:pivotCacheDefinition pivotCacheId="135"/>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603553587964" createdVersion="6" refreshedVersion="8" minRefreshableVersion="3" recordCount="561" xr:uid="{00000000-000A-0000-FFFF-FFFFBB000000}">
  <cacheSource type="worksheet">
    <worksheetSource name="hrod_HR_WT_RoleArea"/>
  </cacheSource>
  <cacheFields count="11">
    <cacheField name="Year" numFmtId="0">
      <sharedItems containsBlank="1" count="12">
        <s v="2013-14"/>
        <s v="2014-15"/>
        <s v="2015-16"/>
        <s v="2016-17"/>
        <s v="2017-18"/>
        <s v="2018-19"/>
        <s v="2019-20"/>
        <s v="2020-21"/>
        <s v="2021-22"/>
        <s v="2022-23"/>
        <s v="2023-24"/>
        <m u="1"/>
      </sharedItems>
    </cacheField>
    <cacheField name="ReportingLevel" numFmtId="0">
      <sharedItems containsBlank="1" count="5">
        <s v="1:LA"/>
        <s v="2:LSO"/>
        <s v="3:SDA"/>
        <s v="4:National"/>
        <m u="1"/>
      </sharedItems>
    </cacheField>
    <cacheField name="Code" numFmtId="0">
      <sharedItems containsBlank="1"/>
    </cacheField>
    <cacheField name="lvl" numFmtId="0">
      <sharedItems containsBlank="1" count="111">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Aberdeenshire and Moray"/>
        <s v="Argyll and Bute, East Dunbartonshire and West Dunbartonshire"/>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Dundee, Angus, Perth and Kinross"/>
        <s v="West"/>
        <s v="East"/>
        <s v="North"/>
        <s v="Scotland"/>
        <s v="Stirling, Clackmannanshire and Fife"/>
        <s v="Aberdeen City, Aberdeenshire and Moray"/>
        <s v="Lanarkshire"/>
        <m u="1"/>
        <s v="Argyll and Bute, West Dunbartonshire and East Dunbartonshire" u="1"/>
        <s v="Perth &amp; Kinross" u="1"/>
        <s v="S12000017" u="1"/>
        <s v="S12000045" u="1"/>
        <s v="Perth and Kinross, Dundee City and Angus" u="1"/>
        <s v="S12000026" u="1"/>
        <s v="S39000008" u="1"/>
        <s v="S12000010" u="1"/>
        <s v="S39000014" u="1"/>
        <s v="S12000029" u="1"/>
        <s v="Midlothian, East Lothian and Scottish Borders" u="1"/>
        <s v="S12000035" u="1"/>
        <s v="Dumfries and Gallowa" u="1"/>
        <s v="S39000017" u="1"/>
        <s v="East, North and South Ayrshire" u="1"/>
        <s v="S12000041" u="1"/>
        <s v="S12000038" u="1"/>
        <s v="S39000001" u="1"/>
        <s v="S40000005" u="1"/>
        <s v="S12000044" u="1"/>
        <s v="S39000004" u="1"/>
        <s v="S12000019" u="1"/>
        <s v="S12000047" u="1"/>
        <s v="S39000010" u="1"/>
        <s v="S39000007" u="1"/>
        <s v="S39000013" u="1"/>
        <s v="S12000028" u="1"/>
        <s v="S12000006" u="1"/>
        <s v="S12000034" u="1"/>
        <s v="S39000016" u="1"/>
        <s v="S12000040" u="1"/>
        <s v="S92000003" u="1"/>
        <s v="S39000019" u="1"/>
        <s v="S40000004" u="1"/>
        <s v="S12000021" u="1"/>
        <s v="S39000003" u="1"/>
        <s v="S12000018" u="1"/>
        <s v="Argyll &amp; Bute" u="1"/>
        <s v="S12000046" u="1"/>
        <s v="S12000024" u="1"/>
        <s v="S39000006" u="1"/>
        <s v="Dumfries &amp; Galloway" u="1"/>
        <s v="S12000030" u="1"/>
        <s v="S39000012" u="1"/>
        <s v="S12000005" u="1"/>
        <s v="S39000009" u="1"/>
        <s v="S12000033" u="1"/>
        <s v="S12000011" u="1"/>
        <s v="S39000015" u="1"/>
        <s v="S12000008" u="1"/>
        <s v="Orkney Islands, Shetland Islands and Na h-Eileanan" u="1"/>
        <s v="S12000036" u="1"/>
        <s v="S12000014" u="1"/>
        <s v="S39000018" u="1"/>
        <s v="S40000003" u="1"/>
        <s v="NULL" u="1"/>
        <s v="S12000042" u="1"/>
        <s v="S12000020" u="1"/>
        <s v="S12000039" u="1"/>
        <s v="S39000002" u="1"/>
      </sharedItems>
    </cacheField>
    <cacheField name="Area Manager" numFmtId="0">
      <sharedItems containsString="0" containsBlank="1" containsNumber="1" containsInteger="1" minValue="0" maxValue="18"/>
    </cacheField>
    <cacheField name="Brigade Manager" numFmtId="0">
      <sharedItems containsString="0" containsBlank="1" containsNumber="1" containsInteger="1" minValue="0" maxValue="7"/>
    </cacheField>
    <cacheField name="Crew Manager" numFmtId="0">
      <sharedItems containsString="0" containsBlank="1" containsNumber="1" containsInteger="1" minValue="0" maxValue="119"/>
    </cacheField>
    <cacheField name="Firefighter" numFmtId="0">
      <sharedItems containsString="0" containsBlank="1" containsNumber="1" containsInteger="1" minValue="0" maxValue="373"/>
    </cacheField>
    <cacheField name="Group Manager" numFmtId="0">
      <sharedItems containsString="0" containsBlank="1" containsNumber="1" containsInteger="1" minValue="0" maxValue="22"/>
    </cacheField>
    <cacheField name="Station Manager" numFmtId="0">
      <sharedItems containsString="0" containsBlank="1" containsNumber="1" containsInteger="1" minValue="0" maxValue="24"/>
    </cacheField>
    <cacheField name="Watch Manager" numFmtId="0">
      <sharedItems containsSemiMixedTypes="0" containsString="0" containsNumber="1" containsInteger="1" minValue="0" maxValue="93"/>
    </cacheField>
  </cacheFields>
  <extLst>
    <ext xmlns:x14="http://schemas.microsoft.com/office/spreadsheetml/2009/9/main" uri="{725AE2AE-9491-48be-B2B4-4EB974FC3084}">
      <x14:pivotCacheDefinition pivotCacheId="137"/>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613612731482" createdVersion="6" refreshedVersion="8" minRefreshableVersion="3" recordCount="334" xr:uid="{00000000-000A-0000-FFFF-FFFFBD000000}">
  <cacheSource type="worksheet">
    <worksheetSource name="hrod_HR_RDS_RoleArea"/>
  </cacheSource>
  <cacheFields count="7">
    <cacheField name="Year" numFmtId="0">
      <sharedItems count="11">
        <s v="2013-14"/>
        <s v="2014-15"/>
        <s v="2015-16"/>
        <s v="2016-17"/>
        <s v="2017-18"/>
        <s v="2018-19"/>
        <s v="2019-20"/>
        <s v="2020-21"/>
        <s v="2021-22"/>
        <s v="2022-23"/>
        <s v="2023-24"/>
      </sharedItems>
    </cacheField>
    <cacheField name="ReportingLevel" numFmtId="0">
      <sharedItems/>
    </cacheField>
    <cacheField name="Area" numFmtId="0">
      <sharedItems count="38">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Dumfries &amp; Galloway" u="1"/>
        <s v="Edinburgh City" u="1"/>
        <s v="Perth &amp; Kinross" u="1"/>
        <s v="Dumfries and Gallowa" u="1"/>
        <s v="Argyll &amp; Bute" u="1"/>
        <s v="NULL" u="1"/>
      </sharedItems>
    </cacheField>
    <cacheField name="GSS Code" numFmtId="0">
      <sharedItems containsBlank="1"/>
    </cacheField>
    <cacheField name="Watch Manager" numFmtId="0">
      <sharedItems containsSemiMixedTypes="0" containsString="0" containsNumber="1" containsInteger="1" minValue="0" maxValue="115"/>
    </cacheField>
    <cacheField name="Crew Manager" numFmtId="0">
      <sharedItems containsSemiMixedTypes="0" containsString="0" containsNumber="1" containsInteger="1" minValue="0" maxValue="103"/>
    </cacheField>
    <cacheField name="Firefighter" numFmtId="0">
      <sharedItems containsSemiMixedTypes="0" containsString="0" containsNumber="1" containsInteger="1" minValue="0" maxValue="394"/>
    </cacheField>
  </cacheFields>
  <extLst>
    <ext xmlns:x14="http://schemas.microsoft.com/office/spreadsheetml/2009/9/main" uri="{725AE2AE-9491-48be-B2B4-4EB974FC3084}">
      <x14:pivotCacheDefinition pivotCacheId="138"/>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632696759261" createdVersion="6" refreshedVersion="8" minRefreshableVersion="3" recordCount="44" xr:uid="{00000000-000A-0000-FFFF-FFFFC8000000}">
  <cacheSource type="worksheet">
    <worksheetSource name="hrod_HR_Role_Area"/>
  </cacheSource>
  <cacheFields count="10">
    <cacheField name="Year" numFmtId="0">
      <sharedItems count="11">
        <s v="2013-14"/>
        <s v="2015-16"/>
        <s v="2021-22"/>
        <s v="2022-23"/>
        <s v="2014-15"/>
        <s v="2016-17"/>
        <s v="2017-18"/>
        <s v="2018-19"/>
        <s v="2020-21"/>
        <s v="2019-20"/>
        <s v="2023-24"/>
      </sharedItems>
    </cacheField>
    <cacheField name="ReportingLevel" numFmtId="0">
      <sharedItems containsBlank="1" count="5">
        <s v="1:LA"/>
        <s v="2:LSO"/>
        <s v="4:National"/>
        <s v="3:SDA"/>
        <m u="1"/>
      </sharedItems>
    </cacheField>
    <cacheField name="Brigade Manager" numFmtId="0">
      <sharedItems containsString="0" containsBlank="1" containsNumber="1" containsInteger="1" minValue="3" maxValue="7"/>
    </cacheField>
    <cacheField name="Area Manager" numFmtId="0">
      <sharedItems containsString="0" containsBlank="1" containsNumber="1" containsInteger="1" minValue="3" maxValue="18"/>
    </cacheField>
    <cacheField name="Group Manager" numFmtId="0">
      <sharedItems containsString="0" containsBlank="1" containsNumber="1" containsInteger="1" minValue="8" maxValue="69"/>
    </cacheField>
    <cacheField name="Station Manager" numFmtId="0">
      <sharedItems containsString="0" containsBlank="1" containsNumber="1" containsInteger="1" minValue="1" maxValue="119"/>
    </cacheField>
    <cacheField name="Watch Manager" numFmtId="0">
      <sharedItems containsSemiMixedTypes="0" containsString="0" containsNumber="1" containsInteger="1" minValue="7" maxValue="416"/>
    </cacheField>
    <cacheField name="Crew Manager" numFmtId="0">
      <sharedItems containsString="0" containsBlank="1" containsNumber="1" containsInteger="1" minValue="1" maxValue="608"/>
    </cacheField>
    <cacheField name="Firefighter" numFmtId="0">
      <sharedItems containsString="0" containsBlank="1" containsNumber="1" containsInteger="1" minValue="1" maxValue="2355"/>
    </cacheField>
    <cacheField name="Total" numFmtId="0">
      <sharedItems containsString="0" containsBlank="1" containsNumber="1" containsInteger="1" minValue="52" maxValue="2966"/>
    </cacheField>
  </cacheFields>
  <extLst>
    <ext xmlns:x14="http://schemas.microsoft.com/office/spreadsheetml/2009/9/main" uri="{725AE2AE-9491-48be-B2B4-4EB974FC3084}">
      <x14:pivotCacheDefinition pivotCacheId="136"/>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63907164352" createdVersion="6" refreshedVersion="8" minRefreshableVersion="3" recordCount="343" xr:uid="{00000000-000A-0000-FFFF-FFFFC3000000}">
  <cacheSource type="worksheet">
    <worksheetSource name="hrod_HR_RDS_FTE_RoleArea"/>
  </cacheSource>
  <cacheFields count="8">
    <cacheField name="Year" numFmtId="0">
      <sharedItems containsBlank="1" count="12">
        <m/>
        <s v="2013-14"/>
        <s v="2014-15"/>
        <s v="2015-16"/>
        <s v="2016-17"/>
        <s v="2017-18"/>
        <s v="2018-19"/>
        <s v="2019-20"/>
        <s v="2020-21"/>
        <s v="2021-22"/>
        <s v="2022-23"/>
        <s v="2023-24"/>
      </sharedItems>
    </cacheField>
    <cacheField name="ReportingLevel" numFmtId="0">
      <sharedItems containsBlank="1" count="2">
        <m/>
        <s v="1:LA"/>
      </sharedItems>
    </cacheField>
    <cacheField name="Code" numFmtId="0">
      <sharedItems containsBlank="1"/>
    </cacheField>
    <cacheField name="lvl" numFmtId="0">
      <sharedItems containsBlank="1" count="37">
        <m/>
        <s v="ALL"/>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Dumfries and Gallowa" u="1"/>
        <s v="Argyll &amp; Bute" u="1"/>
        <s v="NULL" u="1"/>
      </sharedItems>
    </cacheField>
    <cacheField name="Total" numFmtId="0">
      <sharedItems containsString="0" containsBlank="1" containsNumber="1" minValue="0" maxValue="2668.5"/>
    </cacheField>
    <cacheField name="Watch Manager" numFmtId="0">
      <sharedItems containsString="0" containsBlank="1" containsNumber="1" minValue="0" maxValue="263.75"/>
    </cacheField>
    <cacheField name="Crew Manager" numFmtId="0">
      <sharedItems containsString="0" containsBlank="1" containsNumber="1" minValue="0" maxValue="499"/>
    </cacheField>
    <cacheField name="Firefighter" numFmtId="0">
      <sharedItems containsString="0" containsBlank="1" containsNumber="1" minValue="0" maxValue="1913.55"/>
    </cacheField>
  </cacheFields>
  <extLst>
    <ext xmlns:x14="http://schemas.microsoft.com/office/spreadsheetml/2009/9/main" uri="{725AE2AE-9491-48be-B2B4-4EB974FC3084}">
      <x14:pivotCacheDefinition pivotCacheId="14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43.41029861111" createdVersion="8" refreshedVersion="8" minRefreshableVersion="3" recordCount="192" xr:uid="{C013C21D-AEEA-4A34-A01D-6728E901F424}">
  <cacheSource type="worksheet">
    <worksheetSource name="fleet_LocalAuthority__2"/>
  </cacheSource>
  <cacheFields count="10">
    <cacheField name="Year" numFmtId="0">
      <sharedItems count="6">
        <s v="2019-20"/>
        <s v="2022-23"/>
        <s v="2018-19"/>
        <s v="2021-22"/>
        <s v="2020-21"/>
        <s v="2023-24"/>
      </sharedItems>
    </cacheField>
    <cacheField name="LA Code" numFmtId="0">
      <sharedItems/>
    </cacheField>
    <cacheField name="Local Authority Area" numFmtId="0">
      <sharedItems count="32">
        <s v="Aberdeenshire"/>
        <s v="Angus"/>
        <s v="East Ayrshire"/>
        <s v="East Lothian"/>
        <s v="East Renfrewshire"/>
        <s v="Midlothian"/>
        <s v="Na h-Eileanan Siar"/>
        <s v="North Ayrshire"/>
        <s v="Scottish Borders"/>
        <s v="West Dunbartonshire"/>
        <s v="Clackmannanshire"/>
        <s v="Dumfries and Galloway"/>
        <s v="Dundee City"/>
        <s v="Glasgow City"/>
        <s v="Highland"/>
        <s v="Inverclyde"/>
        <s v="Renfrewshire"/>
        <s v="Shetland Islands"/>
        <s v="Argyll and Bute"/>
        <s v="East Dunbartonshire"/>
        <s v="Falkirk"/>
        <s v="Moray"/>
        <s v="North Lanarkshire"/>
        <s v="Orkney Islands"/>
        <s v="Perth and Kinross"/>
        <s v="South Ayrshire"/>
        <s v="South Lanarkshire"/>
        <s v="West Lothian"/>
        <s v="Aberdeen City"/>
        <s v="Stirling"/>
        <s v="City of Edinburgh"/>
        <s v="Fife"/>
      </sharedItems>
    </cacheField>
    <cacheField name="Pumping Appliances" numFmtId="0">
      <sharedItems containsSemiMixedTypes="0" containsString="0" containsNumber="1" containsInteger="1" minValue="2" maxValue="68"/>
    </cacheField>
    <cacheField name="Aerial Appliances" numFmtId="0">
      <sharedItems containsSemiMixedTypes="0" containsString="0" containsNumber="1" containsInteger="1" minValue="0" maxValue="4"/>
    </cacheField>
    <cacheField name="Resilience Appliances" numFmtId="0">
      <sharedItems containsSemiMixedTypes="0" containsString="0" containsNumber="1" containsInteger="1" minValue="0" maxValue="8"/>
    </cacheField>
    <cacheField name="Vehicles for Rescue Work" numFmtId="0">
      <sharedItems containsSemiMixedTypes="0" containsString="0" containsNumber="1" containsInteger="1" minValue="0" maxValue="3"/>
    </cacheField>
    <cacheField name="Small Firefighting Vehicles" numFmtId="0">
      <sharedItems containsSemiMixedTypes="0" containsString="0" containsNumber="1" containsInteger="1" minValue="0" maxValue="20"/>
    </cacheField>
    <cacheField name="Other Operational" numFmtId="0">
      <sharedItems containsSemiMixedTypes="0" containsString="0" containsNumber="1" containsInteger="1" minValue="0" maxValue="7"/>
    </cacheField>
    <cacheField name="Total Appliances" numFmtId="0">
      <sharedItems containsSemiMixedTypes="0" containsString="0" containsNumber="1" containsInteger="1" minValue="2" maxValue="88"/>
    </cacheField>
  </cacheFields>
  <extLst>
    <ext xmlns:x14="http://schemas.microsoft.com/office/spreadsheetml/2009/9/main" uri="{725AE2AE-9491-48be-B2B4-4EB974FC3084}">
      <x14:pivotCacheDefinition pivotCacheId="2080512633"/>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639324074073" createdVersion="6" refreshedVersion="8" minRefreshableVersion="3" recordCount="11" xr:uid="{00000000-000A-0000-FFFF-FFFFC7000000}">
  <cacheSource type="worksheet">
    <worksheetSource name="hrod_HR_CS_FTE_RoleArea_Control"/>
  </cacheSource>
  <cacheFields count="11">
    <cacheField name="Year" numFmtId="0">
      <sharedItems count="11">
        <s v="2013-14"/>
        <s v="2014-15"/>
        <s v="2015-16"/>
        <s v="2016-17"/>
        <s v="2017-18"/>
        <s v="2018-19"/>
        <s v="2019-20"/>
        <s v="2020-21"/>
        <s v="2021-22"/>
        <s v="2022-23"/>
        <s v="2023-24"/>
      </sharedItems>
    </cacheField>
    <cacheField name="ReportingLevel" numFmtId="0">
      <sharedItems count="2">
        <s v="4:National"/>
        <s v="3:SDA" u="1"/>
      </sharedItems>
    </cacheField>
    <cacheField name="lvl" numFmtId="0">
      <sharedItems/>
    </cacheField>
    <cacheField name="Code" numFmtId="0">
      <sharedItems/>
    </cacheField>
    <cacheField name="Total" numFmtId="0">
      <sharedItems containsSemiMixedTypes="0" containsString="0" containsNumber="1" minValue="160" maxValue="220.79"/>
    </cacheField>
    <cacheField name="Area Manager" numFmtId="0">
      <sharedItems containsSemiMixedTypes="0" containsString="0" containsNumber="1" containsInteger="1" minValue="0" maxValue="1"/>
    </cacheField>
    <cacheField name="Group Manager" numFmtId="0">
      <sharedItems containsSemiMixedTypes="0" containsString="0" containsNumber="1" containsInteger="1" minValue="4" maxValue="6"/>
    </cacheField>
    <cacheField name="Station Manager" numFmtId="0">
      <sharedItems containsSemiMixedTypes="0" containsString="0" containsNumber="1" minValue="6.8333333333333339" maxValue="12.85"/>
    </cacheField>
    <cacheField name="Watch Manager" numFmtId="0">
      <sharedItems containsSemiMixedTypes="0" containsString="0" containsNumber="1" minValue="36.86" maxValue="51.56"/>
    </cacheField>
    <cacheField name="Crew Manager" numFmtId="0">
      <sharedItems containsSemiMixedTypes="0" containsString="0" containsNumber="1" minValue="25.79" maxValue="51.01"/>
    </cacheField>
    <cacheField name="Control Operator" numFmtId="0">
      <sharedItems containsSemiMixedTypes="0" containsString="0" containsNumber="1" minValue="76" maxValue="119.33"/>
    </cacheField>
  </cacheFields>
  <extLst>
    <ext xmlns:x14="http://schemas.microsoft.com/office/spreadsheetml/2009/9/main" uri="{725AE2AE-9491-48be-B2B4-4EB974FC3084}">
      <x14:pivotCacheDefinition pivotCacheId="143"/>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639538194446" createdVersion="6" refreshedVersion="8" minRefreshableVersion="3" recordCount="11" xr:uid="{00000000-000A-0000-FFFF-FFFFC4000000}">
  <cacheSource type="worksheet">
    <worksheetSource name="hrod_HR_CS_FTE_RoleArea_Support"/>
  </cacheSource>
  <cacheFields count="12">
    <cacheField name="Year" numFmtId="0">
      <sharedItems count="11">
        <s v="2013-14"/>
        <s v="2014-15"/>
        <s v="2015-16"/>
        <s v="2016-17"/>
        <s v="2017-18"/>
        <s v="2018-19"/>
        <s v="2019-20"/>
        <s v="2020-21"/>
        <s v="2021-22"/>
        <s v="2022-23"/>
        <s v="2023-24"/>
      </sharedItems>
    </cacheField>
    <cacheField name="Code" numFmtId="0">
      <sharedItems/>
    </cacheField>
    <cacheField name="ReportingLevel" numFmtId="0">
      <sharedItems count="4">
        <s v="4:National"/>
        <s v="Total" u="1"/>
        <s v="04:National" u="1"/>
        <s v="3:SDA" u="1"/>
      </sharedItems>
    </cacheField>
    <cacheField name="lvl" numFmtId="0">
      <sharedItems/>
    </cacheField>
    <cacheField name="Director" numFmtId="0">
      <sharedItems containsString="0" containsBlank="1" containsNumber="1" containsInteger="1" minValue="2" maxValue="4"/>
    </cacheField>
    <cacheField name="Service Manager" numFmtId="0">
      <sharedItems containsSemiMixedTypes="0" containsString="0" containsNumber="1" minValue="40" maxValue="85.679999999999993"/>
    </cacheField>
    <cacheField name="Team Leader" numFmtId="0">
      <sharedItems containsSemiMixedTypes="0" containsString="0" containsNumber="1" minValue="19.8" maxValue="36"/>
    </cacheField>
    <cacheField name="Professional" numFmtId="0">
      <sharedItems containsSemiMixedTypes="0" containsString="0" containsNumber="1" minValue="42.3" maxValue="100.35"/>
    </cacheField>
    <cacheField name="Specialist Technical" numFmtId="0">
      <sharedItems containsSemiMixedTypes="0" containsString="0" containsNumber="1" minValue="256.40000000000003" maxValue="449.55000000000018"/>
    </cacheField>
    <cacheField name="Tech Support" numFmtId="0">
      <sharedItems containsSemiMixedTypes="0" containsString="0" containsNumber="1" minValue="53.880000000000038" maxValue="199.5"/>
    </cacheField>
    <cacheField name="Administration" numFmtId="0">
      <sharedItems containsSemiMixedTypes="0" containsString="0" containsNumber="1" minValue="123.36" maxValue="223.6"/>
    </cacheField>
    <cacheField name="Total" numFmtId="0">
      <sharedItems containsSemiMixedTypes="0" containsString="0" containsNumber="1" minValue="718.56228571428574" maxValue="862.46000000000026"/>
    </cacheField>
  </cacheFields>
  <extLst>
    <ext xmlns:x14="http://schemas.microsoft.com/office/spreadsheetml/2009/9/main" uri="{725AE2AE-9491-48be-B2B4-4EB974FC3084}">
      <x14:pivotCacheDefinition pivotCacheId="157"/>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641548726853" createdVersion="6" refreshedVersion="8" minRefreshableVersion="3" recordCount="61" xr:uid="{00000000-000A-0000-FFFF-FFFFC0000000}">
  <cacheSource type="worksheet">
    <worksheetSource name="hrod_HR_Gender"/>
  </cacheSource>
  <cacheFields count="5">
    <cacheField name="Year" numFmtId="0">
      <sharedItems count="11">
        <s v="2013-14"/>
        <s v="2014-15"/>
        <s v="2015-16"/>
        <s v="2018-19"/>
        <s v="2019-20"/>
        <s v="2020-21"/>
        <s v="2022-23"/>
        <s v="2023-24"/>
        <s v="2016-17"/>
        <s v="2021-22"/>
        <s v="2017-18"/>
      </sharedItems>
    </cacheField>
    <cacheField name="Type" numFmtId="0">
      <sharedItems count="6">
        <s v="Support"/>
        <s v="Control"/>
        <s v="Vol"/>
        <s v="WT"/>
        <s v="RDS Fulltime"/>
        <s v="RDS"/>
      </sharedItems>
    </cacheField>
    <cacheField name="Total" numFmtId="0">
      <sharedItems containsSemiMixedTypes="0" containsString="0" containsNumber="1" containsInteger="1" minValue="18" maxValue="4001"/>
    </cacheField>
    <cacheField name="Female" numFmtId="0">
      <sharedItems containsSemiMixedTypes="0" containsString="0" containsNumber="1" containsInteger="1" minValue="1" maxValue="545"/>
    </cacheField>
    <cacheField name="Male" numFmtId="0">
      <sharedItems containsSemiMixedTypes="0" containsString="0" containsNumber="1" containsInteger="1" minValue="17" maxValue="3842"/>
    </cacheField>
  </cacheFields>
  <extLst>
    <ext xmlns:x14="http://schemas.microsoft.com/office/spreadsheetml/2009/9/main" uri="{725AE2AE-9491-48be-B2B4-4EB974FC3084}">
      <x14:pivotCacheDefinition pivotCacheId="144"/>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670392939814" createdVersion="6" refreshedVersion="8" minRefreshableVersion="3" recordCount="63" xr:uid="{00000000-000A-0000-FFFF-FFFFAA000000}">
  <cacheSource type="worksheet">
    <worksheetSource name="hrod_HR_Service"/>
  </cacheSource>
  <cacheFields count="7">
    <cacheField name="Year" numFmtId="0">
      <sharedItems count="7">
        <s v="2019-20"/>
        <s v="2020-21"/>
        <s v="2023-24"/>
        <s v="2017-18"/>
        <s v="2018-19"/>
        <s v="2021-22"/>
        <s v="2022-23"/>
      </sharedItems>
    </cacheField>
    <cacheField name="Service Length (Years)" numFmtId="0">
      <sharedItems count="11">
        <s v="10-14"/>
        <s v="5-9"/>
        <s v="Over 40"/>
        <s v="30-34"/>
        <s v="35-39"/>
        <s v="25-29"/>
        <s v="15-19"/>
        <s v="Under 5"/>
        <s v="20-24"/>
        <s v="&gt;40" u="1"/>
        <s v="&lt;5" u="1"/>
      </sharedItems>
    </cacheField>
    <cacheField name="Wholetime Operational" numFmtId="0">
      <sharedItems containsSemiMixedTypes="0" containsString="0" containsNumber="1" containsInteger="1" minValue="1" maxValue="879"/>
    </cacheField>
    <cacheField name="Retained Duty System" numFmtId="0">
      <sharedItems containsSemiMixedTypes="0" containsString="0" containsNumber="1" containsInteger="1" minValue="22" maxValue="801"/>
    </cacheField>
    <cacheField name="Retained Full-time" numFmtId="0">
      <sharedItems containsString="0" containsBlank="1" containsNumber="1" containsInteger="1" minValue="1" maxValue="13"/>
    </cacheField>
    <cacheField name="Control" numFmtId="0">
      <sharedItems containsString="0" containsBlank="1" containsNumber="1" containsInteger="1" minValue="3" maxValue="62"/>
    </cacheField>
    <cacheField name="Volunteer" numFmtId="0">
      <sharedItems containsSemiMixedTypes="0" containsString="0" containsNumber="1" containsInteger="1" minValue="1" maxValue="97"/>
    </cacheField>
  </cacheFields>
  <extLst>
    <ext xmlns:x14="http://schemas.microsoft.com/office/spreadsheetml/2009/9/main" uri="{725AE2AE-9491-48be-B2B4-4EB974FC3084}">
      <x14:pivotCacheDefinition pivotCacheId="130"/>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0.674776041669" createdVersion="8" refreshedVersion="8" minRefreshableVersion="3" recordCount="10" xr:uid="{86D4460A-54F3-4608-98BD-6CDACAB80B4E}">
  <cacheSource type="worksheet">
    <worksheetSource name="hrod_HR_Disability_NotKnown__2"/>
  </cacheSource>
  <cacheFields count="9">
    <cacheField name="Year" numFmtId="0">
      <sharedItems count="10">
        <s v="2014-15"/>
        <s v="2015-16"/>
        <s v="2016-17"/>
        <s v="2017-18"/>
        <s v="2018-19"/>
        <s v="2019-20"/>
        <s v="2020-21"/>
        <s v="2021-22"/>
        <s v="2022-23"/>
        <s v="2023-24"/>
      </sharedItems>
    </cacheField>
    <cacheField name="Wholetime Operational" numFmtId="0">
      <sharedItems containsSemiMixedTypes="0" containsString="0" containsNumber="1" minValue="70.976176641487513" maxValue="100"/>
    </cacheField>
    <cacheField name="Retained Duty System" numFmtId="0">
      <sharedItems containsSemiMixedTypes="0" containsString="0" containsNumber="1" minValue="73.789366745682358" maxValue="98"/>
    </cacheField>
    <cacheField name="Retained Fulltime" numFmtId="0">
      <sharedItems containsString="0" containsBlank="1" containsNumber="1" minValue="55.555555555555557" maxValue="64.81481481481481"/>
    </cacheField>
    <cacheField name="Control" numFmtId="0">
      <sharedItems containsSemiMixedTypes="0" containsString="0" containsNumber="1" minValue="60.4" maxValue="100"/>
    </cacheField>
    <cacheField name="Support" numFmtId="0">
      <sharedItems containsSemiMixedTypes="0" containsString="0" containsNumber="1" minValue="57.41626794258373" maxValue="95"/>
    </cacheField>
    <cacheField name="Volunteer" numFmtId="0">
      <sharedItems containsSemiMixedTypes="0" containsString="0" containsNumber="1" minValue="47.4" maxValue="96.4"/>
    </cacheField>
    <cacheField name="Total" numFmtId="0">
      <sharedItems containsSemiMixedTypes="0" containsString="0" containsNumber="1" minValue="70.378447722899296" maxValue="99"/>
    </cacheField>
    <cacheField name="Total (excluding volunters)" numFmtId="0">
      <sharedItems containsSemiMixedTypes="0" containsString="0" containsNumber="1" minValue="70.722484807562452" maxValue="99"/>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1.402655787038" createdVersion="8" refreshedVersion="8" minRefreshableVersion="3" recordCount="106" xr:uid="{4FDCFA12-C4A5-42BC-854E-A3E4C39B018D}">
  <cacheSource type="worksheet">
    <worksheetSource name="hrod_HR_Ethnicity"/>
  </cacheSource>
  <cacheFields count="5">
    <cacheField name="FisYr" numFmtId="0">
      <sharedItems count="14">
        <s v="2010-11"/>
        <s v="2011-12"/>
        <s v="2012-13"/>
        <s v="2013-14"/>
        <s v="2014-15"/>
        <s v="2015-16"/>
        <s v="2016-17"/>
        <s v="2017-18"/>
        <s v="2018-19"/>
        <s v="2019-20"/>
        <s v="2020-21"/>
        <s v="2021-22"/>
        <s v="2022-23"/>
        <s v="2023-24"/>
      </sharedItems>
    </cacheField>
    <cacheField name="Type" numFmtId="0">
      <sharedItems containsBlank="1" count="9">
        <s v="Control"/>
        <s v="RDS"/>
        <s v="Support"/>
        <s v="Total"/>
        <s v="Total (ex Vol)"/>
        <s v="Vol"/>
        <s v="WT"/>
        <s v="RDS Fulltime"/>
        <m/>
      </sharedItems>
    </cacheField>
    <cacheField name="White" numFmtId="0">
      <sharedItems containsString="0" containsBlank="1" containsNumber="1" minValue="26.7" maxValue="90.6"/>
    </cacheField>
    <cacheField name="Ethnic Minority" numFmtId="0">
      <sharedItems containsString="0" containsBlank="1" containsNumber="1" minValue="0.1" maxValue="2.335456475583864"/>
    </cacheField>
    <cacheField name="Not Stated" numFmtId="0">
      <sharedItems containsString="0" containsBlank="1" containsNumber="1" minValue="9" maxValue="72.8"/>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1.404493865739" createdVersion="8" refreshedVersion="8" minRefreshableVersion="3" recordCount="13" xr:uid="{1A72196F-7A66-4A88-AA1E-6A63377881ED}">
  <cacheSource type="worksheet">
    <worksheetSource name="hrod_HR_Disability_Known"/>
  </cacheSource>
  <cacheFields count="9">
    <cacheField name="Year" numFmtId="0">
      <sharedItems count="13">
        <s v="2011-12"/>
        <s v="2012-13"/>
        <s v="2013-14"/>
        <s v="2014-15"/>
        <s v="2015-16"/>
        <s v="2016-17"/>
        <s v="2017-18"/>
        <s v="2018-19"/>
        <s v="2019-20"/>
        <s v="2020-21"/>
        <s v="2021-22"/>
        <s v="2022-23"/>
        <s v="2023-24"/>
      </sharedItems>
    </cacheField>
    <cacheField name="Wholetime Operational" numFmtId="0">
      <sharedItems containsSemiMixedTypes="0" containsString="0" containsNumber="1" minValue="0" maxValue="0.96728307254623047"/>
    </cacheField>
    <cacheField name="Retained Duty System" numFmtId="0">
      <sharedItems containsSemiMixedTypes="0" containsString="0" containsNumber="1" minValue="0.1" maxValue="0.45264623955431754"/>
    </cacheField>
    <cacheField name="Retained Fulltime" numFmtId="0">
      <sharedItems containsString="0" containsBlank="1" containsNumber="1" containsInteger="1" minValue="0" maxValue="0"/>
    </cacheField>
    <cacheField name="Control" numFmtId="0">
      <sharedItems containsSemiMixedTypes="0" containsString="0" containsNumber="1" minValue="0" maxValue="2.2000000000000002"/>
    </cacheField>
    <cacheField name="Support" numFmtId="0">
      <sharedItems containsSemiMixedTypes="0" containsString="0" containsNumber="1" minValue="0.4" maxValue="3.1100478468899522"/>
    </cacheField>
    <cacheField name="Volunteer" numFmtId="0">
      <sharedItems containsString="0" containsBlank="1" containsNumber="1" minValue="0.3" maxValue="0.5"/>
    </cacheField>
    <cacheField name="Total" numFmtId="0">
      <sharedItems containsSemiMixedTypes="0" containsString="0" containsNumber="1" minValue="0.1" maxValue="0.92366901860166761"/>
    </cacheField>
    <cacheField name="Total (excluding volunters)" numFmtId="0">
      <sharedItems containsSemiMixedTypes="0" containsString="0" containsNumber="1" minValue="0.1" maxValue="0.95881161377447677"/>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1.60212048611" createdVersion="6" refreshedVersion="8" minRefreshableVersion="3" recordCount="12" xr:uid="{00000000-000A-0000-FFFF-FFFFB3000000}">
  <cacheSource type="worksheet">
    <worksheetSource name="hrod_HR_Entrants_Gender"/>
  </cacheSource>
  <cacheFields count="8">
    <cacheField name="Year" numFmtId="0">
      <sharedItems count="6">
        <s v="2018-19"/>
        <s v="2019-20"/>
        <s v="2020-21"/>
        <s v="2021-22"/>
        <s v="2022-23"/>
        <s v="2023-24"/>
      </sharedItems>
    </cacheField>
    <cacheField name="Gender" numFmtId="0">
      <sharedItems count="2">
        <s v="Female"/>
        <s v="Male"/>
      </sharedItems>
    </cacheField>
    <cacheField name="Wholetime Operational" numFmtId="0">
      <sharedItems containsSemiMixedTypes="0" containsString="0" containsNumber="1" containsInteger="1" minValue="3" maxValue="212"/>
    </cacheField>
    <cacheField name="Retained Duty System" numFmtId="0">
      <sharedItems containsSemiMixedTypes="0" containsString="0" containsNumber="1" containsInteger="1" minValue="7" maxValue="222"/>
    </cacheField>
    <cacheField name="Control" numFmtId="0">
      <sharedItems containsSemiMixedTypes="0" containsString="0" containsNumber="1" containsInteger="1" minValue="0" maxValue="24"/>
    </cacheField>
    <cacheField name="Support" numFmtId="0">
      <sharedItems containsSemiMixedTypes="0" containsString="0" containsNumber="1" containsInteger="1" minValue="23" maxValue="69"/>
    </cacheField>
    <cacheField name="Volunteers" numFmtId="0">
      <sharedItems containsSemiMixedTypes="0" containsString="0" containsNumber="1" containsInteger="1" minValue="0" maxValue="16"/>
    </cacheField>
    <cacheField name="Total" numFmtId="0">
      <sharedItems containsSemiMixedTypes="0" containsString="0" containsNumber="1" containsInteger="1" minValue="48" maxValue="464"/>
    </cacheField>
  </cacheFields>
  <extLst>
    <ext xmlns:x14="http://schemas.microsoft.com/office/spreadsheetml/2009/9/main" uri="{725AE2AE-9491-48be-B2B4-4EB974FC3084}">
      <x14:pivotCacheDefinition pivotCacheId="158"/>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1.60215914352" createdVersion="6" refreshedVersion="8" minRefreshableVersion="3" recordCount="65" xr:uid="{00000000-000A-0000-FFFF-FFFFB4000000}">
  <cacheSource type="worksheet">
    <worksheetSource name="hrod_HR_Entrants_Age"/>
  </cacheSource>
  <cacheFields count="8">
    <cacheField name="Year" numFmtId="0">
      <sharedItems count="6">
        <s v="2018-19"/>
        <s v="2019-20"/>
        <s v="2020-21"/>
        <s v="2021-22"/>
        <s v="2022-23"/>
        <s v="2023-24"/>
      </sharedItems>
    </cacheField>
    <cacheField name="Age Range" numFmtId="0">
      <sharedItems count="12">
        <s v="20-24"/>
        <s v="25-29"/>
        <s v="30-34"/>
        <s v="35-39"/>
        <s v="40-44"/>
        <s v="45-49"/>
        <s v="50-54"/>
        <s v="55-59"/>
        <s v="60-64"/>
        <s v="65-69"/>
        <s v="Under 20"/>
        <s v="70-74"/>
      </sharedItems>
    </cacheField>
    <cacheField name="Wholetime Operational" numFmtId="0">
      <sharedItems containsSemiMixedTypes="0" containsString="0" containsNumber="1" containsInteger="1" minValue="0" maxValue="68"/>
    </cacheField>
    <cacheField name="Retained Duty System" numFmtId="0">
      <sharedItems containsSemiMixedTypes="0" containsString="0" containsNumber="1" containsInteger="1" minValue="0" maxValue="58"/>
    </cacheField>
    <cacheField name="Control" numFmtId="0">
      <sharedItems containsSemiMixedTypes="0" containsString="0" containsNumber="1" containsInteger="1" minValue="0" maxValue="9"/>
    </cacheField>
    <cacheField name="Support" numFmtId="0">
      <sharedItems containsSemiMixedTypes="0" containsString="0" containsNumber="1" containsInteger="1" minValue="0" maxValue="21"/>
    </cacheField>
    <cacheField name="Volunteers" numFmtId="0">
      <sharedItems containsSemiMixedTypes="0" containsString="0" containsNumber="1" containsInteger="1" minValue="0" maxValue="6"/>
    </cacheField>
    <cacheField name="Total" numFmtId="0">
      <sharedItems containsSemiMixedTypes="0" containsString="0" containsNumber="1" containsInteger="1" minValue="1" maxValue="137"/>
    </cacheField>
  </cacheFields>
  <extLst>
    <ext xmlns:x14="http://schemas.microsoft.com/office/spreadsheetml/2009/9/main" uri="{725AE2AE-9491-48be-B2B4-4EB974FC3084}">
      <x14:pivotCacheDefinition pivotCacheId="159"/>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1.602197337961" createdVersion="8" refreshedVersion="8" minRefreshableVersion="3" recordCount="17" xr:uid="{E7B7493F-78CB-451A-A158-C6FF2B683FE2}">
  <cacheSource type="worksheet">
    <worksheetSource name="hrod_HR_Entrants_Ethnicity__2"/>
  </cacheSource>
  <cacheFields count="7">
    <cacheField name="FiscalYr" numFmtId="0">
      <sharedItems count="6">
        <s v="2018-19"/>
        <s v="2019-20"/>
        <s v="2020-21"/>
        <s v="2021-22"/>
        <s v="2023-24"/>
        <s v="2022-23"/>
      </sharedItems>
    </cacheField>
    <cacheField name="EthStat" numFmtId="0">
      <sharedItems count="3">
        <s v="Ethnic Minority"/>
        <s v="Not Stated"/>
        <s v="White"/>
      </sharedItems>
    </cacheField>
    <cacheField name="WT" numFmtId="0">
      <sharedItems containsString="0" containsBlank="1" containsNumber="1" minValue="0.92592592592592582" maxValue="95.061728395061735"/>
    </cacheField>
    <cacheField name="RDS" numFmtId="0">
      <sharedItems containsString="0" containsBlank="1" containsNumber="1" minValue="0.6211180124223602" maxValue="94.409937888198755"/>
    </cacheField>
    <cacheField name="Control" numFmtId="0">
      <sharedItems containsString="0" containsBlank="1" containsNumber="1" minValue="10" maxValue="100"/>
    </cacheField>
    <cacheField name="Support" numFmtId="0">
      <sharedItems containsString="0" containsBlank="1" containsNumber="1" minValue="2.1739130434782608" maxValue="73.015873015873012"/>
    </cacheField>
    <cacheField name="Vol" numFmtId="0">
      <sharedItems containsString="0" containsBlank="1" containsNumber="1" minValue="4.7619047619047619" maxValue="100"/>
    </cacheField>
  </cacheFields>
  <extLst>
    <ext xmlns:x14="http://schemas.microsoft.com/office/spreadsheetml/2009/9/main" uri="{725AE2AE-9491-48be-B2B4-4EB974FC3084}">
      <x14:pivotCacheDefinition pivotCacheId="1464648369"/>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48.587099999997" createdVersion="8" refreshedVersion="8" minRefreshableVersion="3" recordCount="10" xr:uid="{B91153DA-3FE9-4D5E-9090-57B29B2A3C81}">
  <cacheSource type="worksheet">
    <worksheetSource name="pp_PPED_Workflows__2"/>
  </cacheSource>
  <cacheFields count="5">
    <cacheField name="Year" numFmtId="0">
      <sharedItems count="10">
        <s v="2016-17"/>
        <s v="2020-21"/>
        <s v="2021-22"/>
        <s v="2017-18"/>
        <s v="2015-16"/>
        <s v="2018-19"/>
        <s v="2014-15"/>
        <s v="2022-23"/>
        <s v="2023-24"/>
        <s v="2019-20"/>
      </sharedItems>
    </cacheField>
    <cacheField name="Audits" numFmtId="0">
      <sharedItems containsSemiMixedTypes="0" containsString="0" containsNumber="1" containsInteger="1" minValue="3319" maxValue="9834"/>
    </cacheField>
    <cacheField name="Post Fire Short Audits" numFmtId="0">
      <sharedItems containsString="0" containsBlank="1" containsNumber="1" containsInteger="1" minValue="192" maxValue="208"/>
    </cacheField>
    <cacheField name="Site Visits" numFmtId="0">
      <sharedItems containsSemiMixedTypes="0" containsString="0" containsNumber="1" containsInteger="1" minValue="603" maxValue="2592"/>
    </cacheField>
    <cacheField name="Consultations" numFmtId="0">
      <sharedItems containsSemiMixedTypes="0" containsString="0" containsNumber="1" containsInteger="1" minValue="1829" maxValue="3501"/>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1.602232638892" createdVersion="8" refreshedVersion="8" minRefreshableVersion="3" recordCount="17" xr:uid="{A26CDE1E-7426-49D6-9265-DECF3842B1DC}">
  <cacheSource type="worksheet">
    <worksheetSource name="hrod_HR_Entrants_Disability__2"/>
  </cacheSource>
  <cacheFields count="7">
    <cacheField name="FiscalYr" numFmtId="0">
      <sharedItems count="6">
        <s v="2018-19"/>
        <s v="2019-20"/>
        <s v="2020-21"/>
        <s v="2022-23"/>
        <s v="2023-24"/>
        <s v="2021-22"/>
      </sharedItems>
    </cacheField>
    <cacheField name="DisStat" numFmtId="0">
      <sharedItems count="3">
        <s v="Disabled"/>
        <s v="Not Disabled"/>
        <s v="Not Known"/>
      </sharedItems>
    </cacheField>
    <cacheField name="WT" numFmtId="0">
      <sharedItems containsString="0" containsBlank="1" containsNumber="1" minValue="0.84033613445378152" maxValue="95.061728395061735"/>
    </cacheField>
    <cacheField name="RDS" numFmtId="0">
      <sharedItems containsString="0" containsBlank="1" containsNumber="1" minValue="0.44843049327354262" maxValue="96.774193548387103"/>
    </cacheField>
    <cacheField name="Control" numFmtId="0">
      <sharedItems containsString="0" containsBlank="1" containsNumber="1" minValue="10" maxValue="100"/>
    </cacheField>
    <cacheField name="Support" numFmtId="0">
      <sharedItems containsString="0" containsBlank="1" containsNumber="1" minValue="2.1739130434782608" maxValue="80.821917808219183"/>
    </cacheField>
    <cacheField name="Vol" numFmtId="0">
      <sharedItems containsString="0" containsBlank="1" containsNumber="1" containsInteger="1" minValue="100" maxValue="100"/>
    </cacheField>
  </cacheFields>
  <extLst>
    <ext xmlns:x14="http://schemas.microsoft.com/office/spreadsheetml/2009/9/main" uri="{725AE2AE-9491-48be-B2B4-4EB974FC3084}">
      <x14:pivotCacheDefinition pivotCacheId="364994653"/>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5.6656806713" createdVersion="8" refreshedVersion="8" minRefreshableVersion="3" recordCount="9" xr:uid="{DA789DC7-E760-4FBF-93C2-327DF5CD5F1A}">
  <cacheSource type="worksheet">
    <worksheetSource name="hsw_Attacks_Operational"/>
  </cacheSource>
  <cacheFields count="7">
    <cacheField name="Op" numFmtId="0">
      <sharedItems count="1">
        <s v="Operational"/>
      </sharedItems>
    </cacheField>
    <cacheField name="FinYear" numFmtId="0">
      <sharedItems count="9">
        <s v="2015-16"/>
        <s v="2016-17"/>
        <s v="2017-18"/>
        <s v="2018-19"/>
        <s v="2019-20"/>
        <s v="2020-21"/>
        <s v="2021-22"/>
        <s v="2022-23"/>
        <s v="2023-24"/>
      </sharedItems>
    </cacheField>
    <cacheField name="Objects thrown at firefighters/appliances" numFmtId="0">
      <sharedItems containsSemiMixedTypes="0" containsString="0" containsNumber="1" containsInteger="1" minValue="27" maxValue="48"/>
    </cacheField>
    <cacheField name="Other acts of aggression" numFmtId="0">
      <sharedItems containsSemiMixedTypes="0" containsString="0" containsNumber="1" containsInteger="1" minValue="0" maxValue="5"/>
    </cacheField>
    <cacheField name="Verbal abuse" numFmtId="0">
      <sharedItems containsSemiMixedTypes="0" containsString="0" containsNumber="1" containsInteger="1" minValue="9" maxValue="39"/>
    </cacheField>
    <cacheField name="Physical abuse" numFmtId="0">
      <sharedItems containsSemiMixedTypes="0" containsString="0" containsNumber="1" containsInteger="1" minValue="0" maxValue="13"/>
    </cacheField>
    <cacheField name="Total" numFmtId="0">
      <sharedItems containsSemiMixedTypes="0" containsString="0" containsNumber="1" containsInteger="1" minValue="51" maxValue="90"/>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5.665708217595" createdVersion="8" refreshedVersion="8" minRefreshableVersion="3" recordCount="9" xr:uid="{22CE17DA-18EB-4B1B-B411-0A924CB9D7E4}">
  <cacheSource type="worksheet">
    <worksheetSource name="hsw_Attacks_Non_Operational"/>
  </cacheSource>
  <cacheFields count="7">
    <cacheField name="Op" numFmtId="0">
      <sharedItems count="1">
        <s v="Non-Operational"/>
      </sharedItems>
    </cacheField>
    <cacheField name="FinYear" numFmtId="0">
      <sharedItems count="9">
        <s v="2015-16"/>
        <s v="2016-17"/>
        <s v="2017-18"/>
        <s v="2018-19"/>
        <s v="2019-20"/>
        <s v="2020-21"/>
        <s v="2021-22"/>
        <s v="2022-23"/>
        <s v="2023-24"/>
      </sharedItems>
    </cacheField>
    <cacheField name="Objects thrown at firefighters/appliances" numFmtId="0">
      <sharedItems containsSemiMixedTypes="0" containsString="0" containsNumber="1" containsInteger="1" minValue="1" maxValue="5"/>
    </cacheField>
    <cacheField name="Other acts of aggression" numFmtId="0">
      <sharedItems containsSemiMixedTypes="0" containsString="0" containsNumber="1" containsInteger="1" minValue="0" maxValue="1"/>
    </cacheField>
    <cacheField name="Verbal abuse" numFmtId="0">
      <sharedItems containsSemiMixedTypes="0" containsString="0" containsNumber="1" containsInteger="1" minValue="1" maxValue="12"/>
    </cacheField>
    <cacheField name="Physical abuse" numFmtId="0">
      <sharedItems containsSemiMixedTypes="0" containsString="0" containsNumber="1" containsInteger="1" minValue="0" maxValue="2"/>
    </cacheField>
    <cacheField name="Total" numFmtId="0">
      <sharedItems containsSemiMixedTypes="0" containsString="0" containsNumber="1" containsInteger="1" minValue="3" maxValue="14"/>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5.665734953705" createdVersion="8" refreshedVersion="8" minRefreshableVersion="3" recordCount="9" xr:uid="{412B2D96-3BA2-430E-9074-CA7B4B044799}">
  <cacheSource type="worksheet">
    <worksheetSource name="hsw_Injuries_Operational"/>
  </cacheSource>
  <cacheFields count="7">
    <cacheField name="Op" numFmtId="0">
      <sharedItems count="1">
        <s v="Operational"/>
      </sharedItems>
    </cacheField>
    <cacheField name="FinYear" numFmtId="0">
      <sharedItems count="9">
        <s v="2015-16"/>
        <s v="2016-17"/>
        <s v="2017-18"/>
        <s v="2018-19"/>
        <s v="2019-20"/>
        <s v="2020-21"/>
        <s v="2021-22"/>
        <s v="2022-23"/>
        <s v="2023-24"/>
      </sharedItems>
    </cacheField>
    <cacheField name="Objects thrown at firefighters/appliances" numFmtId="0">
      <sharedItems containsSemiMixedTypes="0" containsString="0" containsNumber="1" containsInteger="1" minValue="0" maxValue="3"/>
    </cacheField>
    <cacheField name="Other acts of aggression" numFmtId="0">
      <sharedItems containsSemiMixedTypes="0" containsString="0" containsNumber="1" containsInteger="1" minValue="0" maxValue="0"/>
    </cacheField>
    <cacheField name="Verbal abuse" numFmtId="0">
      <sharedItems containsSemiMixedTypes="0" containsString="0" containsNumber="1" containsInteger="1" minValue="0" maxValue="1"/>
    </cacheField>
    <cacheField name="Physical abuse" numFmtId="0">
      <sharedItems containsSemiMixedTypes="0" containsString="0" containsNumber="1" containsInteger="1" minValue="0" maxValue="4"/>
    </cacheField>
    <cacheField name="Total" numFmtId="0">
      <sharedItems containsSemiMixedTypes="0" containsString="0" containsNumber="1" containsInteger="1" minValue="0" maxValue="7"/>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5.665769907406" createdVersion="8" refreshedVersion="8" minRefreshableVersion="3" recordCount="9" xr:uid="{20664FB6-8AC3-409A-B11F-D919776DE5D4}">
  <cacheSource type="worksheet">
    <worksheetSource name="hsw_Injuries_Non_Operational"/>
  </cacheSource>
  <cacheFields count="7">
    <cacheField name="Op" numFmtId="0">
      <sharedItems count="1">
        <s v="Non-Operational"/>
      </sharedItems>
    </cacheField>
    <cacheField name="FinYear" numFmtId="0">
      <sharedItems count="9">
        <s v="2015-16"/>
        <s v="2016-17"/>
        <s v="2017-18"/>
        <s v="2018-19"/>
        <s v="2019-20"/>
        <s v="2020-21"/>
        <s v="2021-22"/>
        <s v="2022-23"/>
        <s v="2023-24"/>
      </sharedItems>
    </cacheField>
    <cacheField name="Objects thrown at firefighters/appliances" numFmtId="0">
      <sharedItems containsSemiMixedTypes="0" containsString="0" containsNumber="1" containsInteger="1" minValue="0" maxValue="0"/>
    </cacheField>
    <cacheField name="Other acts of aggression" numFmtId="0">
      <sharedItems containsSemiMixedTypes="0" containsString="0" containsNumber="1" containsInteger="1" minValue="0" maxValue="0"/>
    </cacheField>
    <cacheField name="Verbal abuse" numFmtId="0">
      <sharedItems containsSemiMixedTypes="0" containsString="0" containsNumber="1" containsInteger="1" minValue="0" maxValue="0"/>
    </cacheField>
    <cacheField name="Physical abuse" numFmtId="0">
      <sharedItems containsSemiMixedTypes="0" containsString="0" containsNumber="1" containsInteger="1" minValue="0" maxValue="2"/>
    </cacheField>
    <cacheField name="Total" numFmtId="0">
      <sharedItems containsString="0" containsBlank="1" containsNumber="1" containsInteger="1" minValue="0" maxValue="2"/>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5.667846296295" createdVersion="8" refreshedVersion="8" minRefreshableVersion="3" recordCount="32" xr:uid="{28E96FA1-D022-4CFB-BFFB-66C365BA341F}">
  <cacheSource type="worksheet">
    <worksheetSource name="hsw_vlatable__2"/>
  </cacheSource>
  <cacheFields count="11">
    <cacheField name="Local Authority"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LA Code" numFmtId="0">
      <sharedItems/>
    </cacheField>
    <cacheField name="2015-16" numFmtId="0">
      <sharedItems containsString="0" containsBlank="1" containsNumber="1" containsInteger="1" minValue="1" maxValue="16"/>
    </cacheField>
    <cacheField name="2016-17" numFmtId="0">
      <sharedItems containsString="0" containsBlank="1" containsNumber="1" containsInteger="1" minValue="1" maxValue="19"/>
    </cacheField>
    <cacheField name="2017-18" numFmtId="0">
      <sharedItems containsString="0" containsBlank="1" containsNumber="1" containsInteger="1" minValue="1" maxValue="20"/>
    </cacheField>
    <cacheField name="2018-19" numFmtId="0">
      <sharedItems containsString="0" containsBlank="1" containsNumber="1" containsInteger="1" minValue="1" maxValue="23"/>
    </cacheField>
    <cacheField name="2019-20" numFmtId="0">
      <sharedItems containsString="0" containsBlank="1" containsNumber="1" containsInteger="1" minValue="1" maxValue="12"/>
    </cacheField>
    <cacheField name="2020-21" numFmtId="0">
      <sharedItems containsString="0" containsBlank="1" containsNumber="1" containsInteger="1" minValue="1" maxValue="14"/>
    </cacheField>
    <cacheField name="2021-22" numFmtId="0">
      <sharedItems containsString="0" containsBlank="1" containsNumber="1" containsInteger="1" minValue="1" maxValue="15"/>
    </cacheField>
    <cacheField name="2022-23" numFmtId="0">
      <sharedItems containsString="0" containsBlank="1" containsNumber="1" containsInteger="1" minValue="1" maxValue="8"/>
    </cacheField>
    <cacheField name="2023-24" numFmtId="0">
      <sharedItems containsString="0" containsBlank="1" containsNumber="1" containsInteger="1" minValue="1" maxValue="9"/>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76.583338425924" createdVersion="8" refreshedVersion="8" minRefreshableVersion="3" recordCount="24" xr:uid="{8D5A0897-B52E-4642-8963-19343D417C5F}">
  <cacheSource type="worksheet">
    <worksheetSource name="NR_Households"/>
  </cacheSource>
  <cacheFields count="3">
    <cacheField name="Council" numFmtId="0">
      <sharedItems/>
    </cacheField>
    <cacheField name="Year" numFmtId="0">
      <sharedItems containsSemiMixedTypes="0" containsString="0" containsNumber="1" containsInteger="1" minValue="1991" maxValue="2023" count="24">
        <n v="1991"/>
        <n v="2001"/>
        <n v="2002"/>
        <n v="2003"/>
        <n v="2004"/>
        <n v="2005"/>
        <n v="2006"/>
        <n v="2007"/>
        <n v="2008"/>
        <n v="2009"/>
        <n v="2010"/>
        <n v="2011"/>
        <n v="2012"/>
        <n v="2013"/>
        <n v="2014"/>
        <n v="2015"/>
        <n v="2016"/>
        <n v="2017"/>
        <n v="2018"/>
        <n v="2019"/>
        <n v="2020"/>
        <n v="2021"/>
        <n v="2022"/>
        <n v="2023"/>
      </sharedItems>
    </cacheField>
    <cacheField name="Households" numFmtId="0">
      <sharedItems containsSemiMixedTypes="0" containsString="0" containsNumber="1" containsInteger="1" minValue="2042809" maxValue="2549797"/>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3.418498611114" createdVersion="8" refreshedVersion="8" minRefreshableVersion="3" recordCount="5" xr:uid="{E88532CE-DE46-4337-AC45-34A27C055D0C}">
  <cacheSource type="worksheet">
    <worksheetSource name="pp_PPED_Workflow_FireEngineeringConsultations"/>
  </cacheSource>
  <cacheFields count="2">
    <cacheField name="Fiscal_Yr" numFmtId="0">
      <sharedItems count="5">
        <s v="2019-20"/>
        <s v="2020-21"/>
        <s v="2021-22"/>
        <s v="2022-23"/>
        <s v="2023-24"/>
      </sharedItems>
    </cacheField>
    <cacheField name="Count" numFmtId="0">
      <sharedItems containsSemiMixedTypes="0" containsString="0" containsNumber="1" containsInteger="1" minValue="551" maxValue="816"/>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3.421342824076" createdVersion="8" refreshedVersion="8" minRefreshableVersion="3" recordCount="10" xr:uid="{1F277800-EB11-4E72-B1B0-42612BFB82E1}">
  <cacheSource type="worksheet">
    <worksheetSource name="pp_PPED_Notices__2"/>
  </cacheSource>
  <cacheFields count="4">
    <cacheField name="Year" numFmtId="0">
      <sharedItems count="10">
        <s v="2014-15"/>
        <s v="2015-16"/>
        <s v="2016-17"/>
        <s v="2017-18"/>
        <s v="2018-19"/>
        <s v="2019-20"/>
        <s v="2020-21"/>
        <s v="2021-22"/>
        <s v="2022-23"/>
        <s v="2023-24"/>
      </sharedItems>
    </cacheField>
    <cacheField name="Enforcement Notice" numFmtId="0">
      <sharedItems containsSemiMixedTypes="0" containsString="0" containsNumber="1" containsInteger="1" minValue="2" maxValue="22"/>
    </cacheField>
    <cacheField name="Prohibition Notice" numFmtId="0">
      <sharedItems containsSemiMixedTypes="0" containsString="0" containsNumber="1" containsInteger="1" minValue="1" maxValue="26"/>
    </cacheField>
    <cacheField name="Alterations Notice" numFmtId="0">
      <sharedItems containsSemiMixedTypes="0" containsString="0" containsNumber="1" containsInteger="1" minValue="0" maxValue="2"/>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3.443527430558" createdVersion="6" refreshedVersion="8" minRefreshableVersion="3" recordCount="150" xr:uid="{00000000-000A-0000-FFFF-FFFFB0000000}">
  <cacheSource type="worksheet">
    <worksheetSource name="pp_PPED_Audits_Outcome_Premises"/>
  </cacheSource>
  <cacheFields count="11">
    <cacheField name="FisYr" numFmtId="0">
      <sharedItems count="10">
        <s v="2014-15"/>
        <s v="2015-16"/>
        <s v="2016-17"/>
        <s v="2017-18"/>
        <s v="2018-19"/>
        <s v="2019-20"/>
        <s v="2020-21"/>
        <s v="2021-22"/>
        <s v="2022-23"/>
        <s v="2023-24"/>
      </sharedItems>
    </cacheField>
    <cacheField name="FSEC" numFmtId="0">
      <sharedItems count="15">
        <s v="A"/>
        <s v="B"/>
        <s v="C"/>
        <s v="E"/>
        <s v="F"/>
        <s v="H"/>
        <s v="J"/>
        <s v="K"/>
        <s v="L"/>
        <s v="M"/>
        <s v="N"/>
        <s v="P"/>
        <s v="R"/>
        <s v="S"/>
        <s v="T"/>
      </sharedItems>
    </cacheField>
    <cacheField name="Type of Premises" numFmtId="0">
      <sharedItems/>
    </cacheField>
    <cacheField name="A_Tally" numFmtId="0">
      <sharedItems containsSemiMixedTypes="0" containsString="0" containsNumber="1" containsInteger="1" minValue="6" maxValue="2916"/>
    </cacheField>
    <cacheField name="A_Hours" numFmtId="0">
      <sharedItems containsString="0" containsBlank="1" containsNumber="1" minValue="28" maxValue="10482"/>
    </cacheField>
    <cacheField name="B_Tally" numFmtId="0">
      <sharedItems containsString="0" containsBlank="1" containsNumber="1" containsInteger="1" minValue="1" maxValue="213"/>
    </cacheField>
    <cacheField name="B_Hours" numFmtId="0">
      <sharedItems containsString="0" containsBlank="1" containsNumber="1" minValue="4" maxValue="2008.25"/>
    </cacheField>
    <cacheField name="Enforcement_Tally" numFmtId="0">
      <sharedItems containsString="0" containsBlank="1" containsNumber="1" containsInteger="1" minValue="1" maxValue="14"/>
    </cacheField>
    <cacheField name="Enforcement_Hours" numFmtId="0">
      <sharedItems containsString="0" containsBlank="1" containsNumber="1" minValue="3" maxValue="436.5"/>
    </cacheField>
    <cacheField name="Prohibition_Tally" numFmtId="0">
      <sharedItems containsString="0" containsBlank="1" containsNumber="1" containsInteger="1" minValue="1" maxValue="12"/>
    </cacheField>
    <cacheField name="Prohibition_Hours" numFmtId="0">
      <sharedItems containsString="0" containsBlank="1" containsNumber="1" minValue="2" maxValue="181.25"/>
    </cacheField>
  </cacheFields>
  <extLst>
    <ext xmlns:x14="http://schemas.microsoft.com/office/spreadsheetml/2009/9/main" uri="{725AE2AE-9491-48be-B2B4-4EB974FC3084}">
      <x14:pivotCacheDefinition pivotCacheId="126"/>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48.592992939812" createdVersion="6" refreshedVersion="8" minRefreshableVersion="3" recordCount="323" xr:uid="{00000000-000A-0000-FFFF-FFFFAE000000}">
  <cacheSource type="worksheet">
    <worksheetSource name="pp_PPED_Audits_LA"/>
  </cacheSource>
  <cacheFields count="18">
    <cacheField name="Year" numFmtId="0">
      <sharedItems count="10">
        <s v="2014-15"/>
        <s v="2015-16"/>
        <s v="2016-17"/>
        <s v="2017-18"/>
        <s v="2018-19"/>
        <s v="2019-20"/>
        <s v="2020-21"/>
        <s v="2021-22"/>
        <s v="2022-23"/>
        <s v="2023-24"/>
      </sharedItems>
    </cacheField>
    <cacheField name="Local Authority" numFmtId="0">
      <sharedItems containsBlank="1" count="38">
        <s v="East Lothian"/>
        <s v="Inverclyde"/>
        <s v="Clackmannanshire"/>
        <s v="Dundee City"/>
        <s v="East Dunbartonshire"/>
        <s v="East Renfrewshire"/>
        <s v="North Lanarkshire"/>
        <s v="Perth and Kinross"/>
        <s v="South Lanarkshire"/>
        <s v="Angus"/>
        <s v="Fife"/>
        <s v="Highland"/>
        <s v="North Ayrshire"/>
        <s v="Orkney Islands"/>
        <s v="Dumfries and Galloway"/>
        <s v="Argyll and Bute"/>
        <s v="Midlothian"/>
        <s v="Shetland Islands"/>
        <s v="Falkirk"/>
        <s v="Na h-Eileanan an Iar"/>
        <s v="Stirling"/>
        <s v="West Dunbartonshire"/>
        <s v="Glasgow City"/>
        <s v="East Ayrshire"/>
        <s v="South Ayrshire"/>
        <s v="Moray"/>
        <s v="Renfrewshire"/>
        <s v="Aberdeen City"/>
        <s v="City of Edinburgh"/>
        <s v="Aberdeenshire"/>
        <s v="West Lothian"/>
        <s v="Scottish Borders"/>
        <s v="ORDNANCE SURVEY"/>
        <m/>
        <s v="SCOTTISH FIRE AND RESCUE SERVICE"/>
        <s v="WESTERN ISLES" u="1"/>
        <s v="Na h-Eileanan Siar" u="1"/>
        <s v="Na h-Eileanan Iar" u="1"/>
      </sharedItems>
    </cacheField>
    <cacheField name="LA Code" numFmtId="0">
      <sharedItems containsBlank="1"/>
    </cacheField>
    <cacheField name="Hospital / Prison" numFmtId="0">
      <sharedItems containsString="0" containsBlank="1" containsNumber="1" containsInteger="1" minValue="1" maxValue="69"/>
    </cacheField>
    <cacheField name="Care Home" numFmtId="0">
      <sharedItems containsString="0" containsBlank="1" containsNumber="1" containsInteger="1" minValue="3" maxValue="165"/>
    </cacheField>
    <cacheField name="HMO" numFmtId="0">
      <sharedItems containsString="0" containsBlank="1" containsNumber="1" containsInteger="1" minValue="1" maxValue="1115"/>
    </cacheField>
    <cacheField name="Hostel" numFmtId="0">
      <sharedItems containsString="0" containsBlank="1" containsNumber="1" containsInteger="1" minValue="1" maxValue="69"/>
    </cacheField>
    <cacheField name="Hotel" numFmtId="0">
      <sharedItems containsString="0" containsBlank="1" containsNumber="1" containsInteger="1" minValue="1" maxValue="236"/>
    </cacheField>
    <cacheField name="Other Sleeping Accomm" numFmtId="0">
      <sharedItems containsString="0" containsBlank="1" containsNumber="1" containsInteger="1" minValue="1" maxValue="319"/>
    </cacheField>
    <cacheField name="Further Education" numFmtId="0">
      <sharedItems containsString="0" containsBlank="1" containsNumber="1" containsInteger="1" minValue="1" maxValue="12"/>
    </cacheField>
    <cacheField name="Public Building" numFmtId="0">
      <sharedItems containsString="0" containsBlank="1" containsNumber="1" containsInteger="1" minValue="1" maxValue="16"/>
    </cacheField>
    <cacheField name="Licensed Premises" numFmtId="0">
      <sharedItems containsString="0" containsBlank="1" containsNumber="1" containsInteger="1" minValue="1" maxValue="139"/>
    </cacheField>
    <cacheField name="School" numFmtId="0">
      <sharedItems containsString="0" containsBlank="1" containsNumber="1" containsInteger="1" minValue="1" maxValue="122"/>
    </cacheField>
    <cacheField name="Shop" numFmtId="0">
      <sharedItems containsString="0" containsBlank="1" containsNumber="1" containsInteger="1" minValue="1" maxValue="147"/>
    </cacheField>
    <cacheField name="Other Premises Open to Public" numFmtId="0">
      <sharedItems containsString="0" containsBlank="1" containsNumber="1" containsInteger="1" minValue="1" maxValue="108"/>
    </cacheField>
    <cacheField name="Factory or Warehouse" numFmtId="0">
      <sharedItems containsString="0" containsBlank="1" containsNumber="1" containsInteger="1" minValue="1" maxValue="117"/>
    </cacheField>
    <cacheField name="Office" numFmtId="0">
      <sharedItems containsString="0" containsBlank="1" containsNumber="1" containsInteger="1" minValue="1" maxValue="136"/>
    </cacheField>
    <cacheField name="Other Workplace" numFmtId="0">
      <sharedItems containsString="0" containsBlank="1" containsNumber="1" containsInteger="1" minValue="1" maxValue="89"/>
    </cacheField>
  </cacheFields>
  <extLst>
    <ext xmlns:x14="http://schemas.microsoft.com/office/spreadsheetml/2009/9/main" uri="{725AE2AE-9491-48be-B2B4-4EB974FC3084}">
      <x14:pivotCacheDefinition pivotCacheId="124"/>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3.456760185189" createdVersion="6" refreshedVersion="8" minRefreshableVersion="3" recordCount="150" xr:uid="{00000000-000A-0000-FFFF-FFFFB1000000}">
  <cacheSource type="worksheet">
    <worksheetSource name="pp_PPED_Risk"/>
  </cacheSource>
  <cacheFields count="10">
    <cacheField name="Year" numFmtId="0">
      <sharedItems count="10">
        <s v="2014-15"/>
        <s v="2015-16"/>
        <s v="2016-17"/>
        <s v="2017-18"/>
        <s v="2019-20"/>
        <s v="2021-22"/>
        <s v="2022-23"/>
        <s v="2023-24"/>
        <s v="2018-19"/>
        <s v="2020-21"/>
      </sharedItems>
    </cacheField>
    <cacheField name="FSEC" numFmtId="0">
      <sharedItems count="15">
        <s v="H"/>
        <s v="A"/>
        <s v="J"/>
        <s v="B"/>
        <s v="N"/>
        <s v="L"/>
        <s v="P"/>
        <s v="M"/>
        <s v="T"/>
        <s v="C"/>
        <s v="K"/>
        <s v="S"/>
        <s v="E"/>
        <s v="R"/>
        <s v="F"/>
      </sharedItems>
    </cacheField>
    <cacheField name="PremisesType" numFmtId="0">
      <sharedItems/>
    </cacheField>
    <cacheField name="VL" numFmtId="0">
      <sharedItems containsSemiMixedTypes="0" containsString="0" containsNumber="1" containsInteger="1" minValue="0" maxValue="173"/>
    </cacheField>
    <cacheField name="L" numFmtId="0">
      <sharedItems containsSemiMixedTypes="0" containsString="0" containsNumber="1" containsInteger="1" minValue="0" maxValue="734"/>
    </cacheField>
    <cacheField name="M" numFmtId="0">
      <sharedItems containsSemiMixedTypes="0" containsString="0" containsNumber="1" containsInteger="1" minValue="6" maxValue="2548"/>
    </cacheField>
    <cacheField name="H" numFmtId="0">
      <sharedItems containsSemiMixedTypes="0" containsString="0" containsNumber="1" containsInteger="1" minValue="0" maxValue="487"/>
    </cacheField>
    <cacheField name="VH" numFmtId="0">
      <sharedItems containsSemiMixedTypes="0" containsString="0" containsNumber="1" containsInteger="1" minValue="0" maxValue="86"/>
    </cacheField>
    <cacheField name="Not Known" numFmtId="0">
      <sharedItems containsString="0" containsBlank="1" containsNumber="1" containsInteger="1" minValue="0" maxValue="40"/>
    </cacheField>
    <cacheField name="Total" numFmtId="0">
      <sharedItems containsString="0" containsBlank="1" containsNumber="1" containsInteger="1" minValue="21" maxValue="3062"/>
    </cacheField>
  </cacheFields>
  <extLst>
    <ext xmlns:x14="http://schemas.microsoft.com/office/spreadsheetml/2009/9/main" uri="{725AE2AE-9491-48be-B2B4-4EB974FC3084}">
      <x14:pivotCacheDefinition pivotCacheId="127"/>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5.605265625003" createdVersion="6" refreshedVersion="8" minRefreshableVersion="3" recordCount="109" xr:uid="{06B906C3-4BE1-427E-A12E-AC67F9B2CCD6}">
  <cacheSource type="worksheet">
    <worksheetSource name="RR_vCapabilities_NEW"/>
  </cacheSource>
  <cacheFields count="4">
    <cacheField name="Fiscal_Yr" numFmtId="0">
      <sharedItems count="5">
        <s v="2019-20"/>
        <s v="2020-21"/>
        <s v="2021-22"/>
        <s v="2022-23"/>
        <s v="2023-24"/>
      </sharedItems>
    </cacheField>
    <cacheField name="CapabilityType" numFmtId="0">
      <sharedItems containsBlank="1" count="5">
        <m/>
        <s v="NationalFireResilience"/>
        <s v="Specialist"/>
        <s v="Tactical"/>
        <s v="WaterPumping"/>
      </sharedItems>
    </cacheField>
    <cacheField name="Capability" numFmtId="0">
      <sharedItems count="25">
        <s v="MTA"/>
        <s v="CSU"/>
        <s v="DIM"/>
        <s v="Flood"/>
        <s v="HSU"/>
        <s v="HVP"/>
        <s v="MD"/>
        <s v="SOR"/>
        <s v="SRT"/>
        <s v="USAR"/>
        <s v="EPU"/>
        <s v="HighR"/>
        <s v="HvR"/>
        <s v="Prime Movers"/>
        <s v="Rope"/>
        <s v="Welfare"/>
        <s v="Foam"/>
        <s v="MOG"/>
        <s v="RRU"/>
        <s v="Water C"/>
        <s v="Wildfire"/>
        <s v="ONE PUMP"/>
        <s v="THREE PUMPS"/>
        <s v="TWO PUMPS"/>
        <s v="PUMPS"/>
      </sharedItems>
    </cacheField>
    <cacheField name="Value" numFmtId="0">
      <sharedItems containsSemiMixedTypes="0" containsString="0" containsNumber="1" containsInteger="1" minValue="1" maxValue="245"/>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5.605373148152" createdVersion="6" refreshedVersion="8" minRefreshableVersion="3" recordCount="15" xr:uid="{6E7BAD77-91E1-4FF8-8B94-04C311A8C7A9}">
  <cacheSource type="worksheet">
    <worksheetSource name="RR_vCapabilities_StationsTotals"/>
  </cacheSource>
  <cacheFields count="3">
    <cacheField name="Fiscal_Yr" numFmtId="0">
      <sharedItems count="5">
        <s v="2019-20"/>
        <s v="2020-21"/>
        <s v="2021-22"/>
        <s v="2022-23"/>
        <s v="2023-24"/>
      </sharedItems>
    </cacheField>
    <cacheField name="CapabilityType" numFmtId="0">
      <sharedItems count="3">
        <s v="National Fire Resilience"/>
        <s v="Specialist"/>
        <s v="Tactical"/>
      </sharedItems>
    </cacheField>
    <cacheField name="Number of Stations with Capability" numFmtId="0">
      <sharedItems containsSemiMixedTypes="0" containsString="0" containsNumber="1" containsInteger="1" minValue="26" maxValue="105"/>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9.575400000002" createdVersion="8" refreshedVersion="8" minRefreshableVersion="3" recordCount="14" xr:uid="{D074CFB6-DA70-4D59-9BCF-8A5F75300A41}">
  <cacheSource type="worksheet">
    <worksheetSource name="cset_HFSV_Outcomev2"/>
  </cacheSource>
  <cacheFields count="7">
    <cacheField name="Year" numFmtId="0">
      <sharedItems count="14">
        <s v="2010-11"/>
        <s v="2011-12"/>
        <s v="2012-13"/>
        <s v="2013-14"/>
        <s v="2014-15"/>
        <s v="2015-16"/>
        <s v="2016-17"/>
        <s v="2017-18"/>
        <s v="2018-19"/>
        <s v="2019-20"/>
        <s v="2020-21"/>
        <s v="2021-22"/>
        <s v="2022-23"/>
        <s v="2023-24"/>
      </sharedItems>
    </cacheField>
    <cacheField name="HFSV - alarms installed" numFmtId="0">
      <sharedItems containsSemiMixedTypes="0" containsString="0" containsNumber="1" containsInteger="1" minValue="5922" maxValue="33998"/>
    </cacheField>
    <cacheField name="HFSV - advice only" numFmtId="0">
      <sharedItems containsSemiMixedTypes="0" containsString="0" containsNumber="1" containsInteger="1" minValue="12319" maxValue="46945"/>
    </cacheField>
    <cacheField name="Total HFSV" numFmtId="0">
      <sharedItems containsSemiMixedTypes="0" containsString="0" containsNumber="1" containsInteger="1" minValue="19998" maxValue="71717"/>
    </cacheField>
    <cacheField name="Total_Alarms" numFmtId="0">
      <sharedItems containsString="0" containsBlank="1" containsNumber="1" containsInteger="1" minValue="12535" maxValue="46395"/>
    </cacheField>
    <cacheField name="New" numFmtId="0">
      <sharedItems containsString="0" containsBlank="1" containsNumber="1" containsInteger="1" minValue="8696" maxValue="30359"/>
    </cacheField>
    <cacheField name="Replacement" numFmtId="0">
      <sharedItems containsString="0" containsBlank="1" containsNumber="1" containsInteger="1" minValue="3839" maxValue="16366"/>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9.582693171295" createdVersion="8" refreshedVersion="8" minRefreshableVersion="3" recordCount="6" xr:uid="{41DE2BDB-E1ED-4029-8E72-4F91417AE7C6}">
  <cacheSource type="worksheet">
    <worksheetSource name="cset_HFSV_Tenure_Outcome"/>
  </cacheSource>
  <cacheFields count="10">
    <cacheField name="Tenure" numFmtId="0">
      <sharedItems count="6">
        <s v="Housing Association"/>
        <s v="Local Authority"/>
        <s v="Not Known"/>
        <s v="Other"/>
        <s v="Owner Occupied"/>
        <s v="Private Let"/>
      </sharedItems>
    </cacheField>
    <cacheField name="2015-16" numFmtId="0">
      <sharedItems containsSemiMixedTypes="0" containsString="0" containsNumber="1" containsInteger="1" minValue="101" maxValue="37461"/>
    </cacheField>
    <cacheField name="2016-17" numFmtId="0">
      <sharedItems containsSemiMixedTypes="0" containsString="0" containsNumber="1" containsInteger="1" minValue="103" maxValue="39725"/>
    </cacheField>
    <cacheField name="2017-18" numFmtId="0">
      <sharedItems containsSemiMixedTypes="0" containsString="0" containsNumber="1" containsInteger="1" minValue="107" maxValue="38343"/>
    </cacheField>
    <cacheField name="2018-19" numFmtId="0">
      <sharedItems containsSemiMixedTypes="0" containsString="0" containsNumber="1" containsInteger="1" minValue="622" maxValue="35339"/>
    </cacheField>
    <cacheField name="2019-20" numFmtId="0">
      <sharedItems containsSemiMixedTypes="0" containsString="0" containsNumber="1" containsInteger="1" minValue="641" maxValue="34631"/>
    </cacheField>
    <cacheField name="2020-21" numFmtId="0">
      <sharedItems containsSemiMixedTypes="0" containsString="0" containsNumber="1" containsInteger="1" minValue="102" maxValue="10815"/>
    </cacheField>
    <cacheField name="2021-22" numFmtId="0">
      <sharedItems containsSemiMixedTypes="0" containsString="0" containsNumber="1" containsInteger="1" minValue="322" maxValue="27519"/>
    </cacheField>
    <cacheField name="2022-23" numFmtId="0">
      <sharedItems containsSemiMixedTypes="0" containsString="0" containsNumber="1" containsInteger="1" minValue="367" maxValue="19831"/>
    </cacheField>
    <cacheField name="2023-24" numFmtId="0">
      <sharedItems containsSemiMixedTypes="0" containsString="0" containsNumber="1" containsInteger="1" minValue="443" maxValue="17804"/>
    </cacheField>
  </cacheFields>
  <extLst>
    <ext xmlns:x14="http://schemas.microsoft.com/office/spreadsheetml/2009/9/main" uri="{725AE2AE-9491-48be-B2B4-4EB974FC3084}">
      <x14:pivotCacheDefinition/>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9.58327210648" createdVersion="8" refreshedVersion="8" minRefreshableVersion="3" recordCount="11" xr:uid="{E96A4C4A-B828-4DC1-B6D2-8E03C39317E4}">
  <cacheSource type="worksheet">
    <worksheetSource name="cset_AgeProfile_Residents"/>
  </cacheSource>
  <cacheFields count="8">
    <cacheField name="Year" numFmtId="0">
      <sharedItems count="11">
        <s v="2013-14"/>
        <s v="2014-15"/>
        <s v="2015-16"/>
        <s v="2016-17"/>
        <s v="2017-18"/>
        <s v="2018-19"/>
        <s v="2019-20"/>
        <s v="2020-21"/>
        <s v="2021-22"/>
        <s v="2022-23"/>
        <s v="2023-24"/>
      </sharedItems>
    </cacheField>
    <cacheField name="Under 5s" numFmtId="0">
      <sharedItems containsSemiMixedTypes="0" containsString="0" containsNumber="1" containsInteger="1" minValue="1270" maxValue="9522"/>
    </cacheField>
    <cacheField name="5 to 10" numFmtId="0">
      <sharedItems containsSemiMixedTypes="0" containsString="0" containsNumber="1" containsInteger="1" minValue="1639" maxValue="8385"/>
    </cacheField>
    <cacheField name="11 to 16" numFmtId="0">
      <sharedItems containsSemiMixedTypes="0" containsString="0" containsNumber="1" containsInteger="1" minValue="1291" maxValue="6148"/>
    </cacheField>
    <cacheField name="17 to 30" numFmtId="0">
      <sharedItems containsSemiMixedTypes="0" containsString="0" containsNumber="1" containsInteger="1" minValue="2992" maxValue="21422"/>
    </cacheField>
    <cacheField name="31 to 60" numFmtId="0">
      <sharedItems containsSemiMixedTypes="0" containsString="0" containsNumber="1" containsInteger="1" minValue="9416" maxValue="45974"/>
    </cacheField>
    <cacheField name="Over 60" numFmtId="0">
      <sharedItems containsSemiMixedTypes="0" containsString="0" containsNumber="1" containsInteger="1" minValue="16017" maxValue="52260"/>
    </cacheField>
    <cacheField name="All Residents" numFmtId="0">
      <sharedItems containsSemiMixedTypes="0" containsString="0" containsNumber="1" containsInteger="1" minValue="32625" maxValue="134893"/>
    </cacheField>
  </cacheFields>
  <extLst>
    <ext xmlns:x14="http://schemas.microsoft.com/office/spreadsheetml/2009/9/main" uri="{725AE2AE-9491-48be-B2B4-4EB974FC3084}">
      <x14:pivotCacheDefinition/>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9.583835879632" createdVersion="8" refreshedVersion="8" minRefreshableVersion="3" recordCount="11" xr:uid="{C30237A0-B707-4179-8EC0-829ECD2C267F}">
  <cacheSource type="worksheet">
    <worksheetSource name="cset_AgeProfile_Percent"/>
  </cacheSource>
  <cacheFields count="8">
    <cacheField name="Year" numFmtId="0">
      <sharedItems count="11">
        <s v="2013-14"/>
        <s v="2014-15"/>
        <s v="2015-16"/>
        <s v="2016-17"/>
        <s v="2017-18"/>
        <s v="2018-19"/>
        <s v="2019-20"/>
        <s v="2020-21"/>
        <s v="2021-22"/>
        <s v="2022-23"/>
        <s v="2023-24"/>
      </sharedItems>
    </cacheField>
    <cacheField name="Under 5s" numFmtId="0">
      <sharedItems containsSemiMixedTypes="0" containsString="0" containsNumber="1" minValue="0.48141437268295645" maxValue="3.2383018810173998"/>
    </cacheField>
    <cacheField name="5 to 10" numFmtId="0">
      <sharedItems containsSemiMixedTypes="0" containsString="0" containsNumber="1" minValue="0.45840896568505429" maxValue="2.4963871217651699"/>
    </cacheField>
    <cacheField name="11 to 16" numFmtId="0">
      <sharedItems containsSemiMixedTypes="0" containsString="0" containsNumber="1" minValue="0.36746497554977431" maxValue="1.7888109120957101"/>
    </cacheField>
    <cacheField name="17 to 30" numFmtId="0">
      <sharedItems containsSemiMixedTypes="0" containsString="0" containsNumber="1" minValue="0.31022444614256844" maxValue="2.17919399729813"/>
    </cacheField>
    <cacheField name="31 to 60" numFmtId="0">
      <sharedItems containsSemiMixedTypes="0" containsString="0" containsNumber="1" minValue="0.42915501219418262" maxValue="2.1170750711117798"/>
    </cacheField>
    <cacheField name="Over 60" numFmtId="0">
      <sharedItems containsSemiMixedTypes="0" containsString="0" containsNumber="1" minValue="1.1999685342583262" maxValue="4.1736147049239998"/>
    </cacheField>
    <cacheField name="All Residents" numFmtId="0">
      <sharedItems containsSemiMixedTypes="0" containsString="0" containsNumber="1" minValue="0.59687156970362243" maxValue="2.53191808848096"/>
    </cacheField>
  </cacheFields>
  <extLst>
    <ext xmlns:x14="http://schemas.microsoft.com/office/spreadsheetml/2009/9/main" uri="{725AE2AE-9491-48be-B2B4-4EB974FC3084}">
      <x14:pivotCacheDefinition/>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9.687107754631" createdVersion="8" refreshedVersion="8" minRefreshableVersion="3" recordCount="10" xr:uid="{781F4107-B0C5-4DE6-8674-DA44A1F9205A}">
  <cacheSource type="worksheet">
    <worksheetSource name="cset_SIMD_Alarms"/>
  </cacheSource>
  <cacheFields count="7">
    <cacheField name="Year" numFmtId="0">
      <sharedItems count="10">
        <s v="2014-15"/>
        <s v="2015-16"/>
        <s v="2016-17"/>
        <s v="2017-18"/>
        <s v="2018-19"/>
        <s v="2019-20"/>
        <s v="2020-21"/>
        <s v="2021-22"/>
        <s v="2022-23"/>
        <s v="2023-24"/>
      </sharedItems>
    </cacheField>
    <cacheField name="1 - Most Deprived 20%" numFmtId="0">
      <sharedItems containsString="0" containsBlank="1" containsNumber="1" containsInteger="1" minValue="1322" maxValue="5967"/>
    </cacheField>
    <cacheField name="2" numFmtId="0">
      <sharedItems containsString="0" containsBlank="1" containsNumber="1" containsInteger="1" minValue="1478" maxValue="6551"/>
    </cacheField>
    <cacheField name="3" numFmtId="0">
      <sharedItems containsString="0" containsBlank="1" containsNumber="1" containsInteger="1" minValue="1162" maxValue="5947"/>
    </cacheField>
    <cacheField name="4" numFmtId="0">
      <sharedItems containsString="0" containsBlank="1" containsNumber="1" containsInteger="1" minValue="1004" maxValue="5619"/>
    </cacheField>
    <cacheField name="5 - Least Deprived 20%" numFmtId="0">
      <sharedItems containsString="0" containsBlank="1" containsNumber="1" containsInteger="1" minValue="944" maxValue="5063"/>
    </cacheField>
    <cacheField name="All Scotland" numFmtId="0">
      <sharedItems containsString="0" containsBlank="1" containsNumber="1" containsInteger="1" minValue="5910" maxValue="28978"/>
    </cacheField>
  </cacheFields>
  <extLst>
    <ext xmlns:x14="http://schemas.microsoft.com/office/spreadsheetml/2009/9/main" uri="{725AE2AE-9491-48be-B2B4-4EB974FC3084}">
      <x14:pivotCacheDefinition/>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89.704961342592" createdVersion="8" refreshedVersion="8" minRefreshableVersion="3" recordCount="10" xr:uid="{7273E02F-CE0F-440E-BF7D-ACB09F8951DF}">
  <cacheSource type="worksheet">
    <worksheetSource name="cset_SIMD_Alarms_OccupiedDwellings"/>
  </cacheSource>
  <cacheFields count="7">
    <cacheField name="Year" numFmtId="0">
      <sharedItems count="10">
        <s v="2014-15"/>
        <s v="2015-16"/>
        <s v="2016-17"/>
        <s v="2017-18"/>
        <s v="2018-19"/>
        <s v="2019-20"/>
        <s v="2020-21"/>
        <s v="2021-22"/>
        <s v="2022-23"/>
        <s v="2023-24"/>
      </sharedItems>
    </cacheField>
    <cacheField name="1 - Most Deprived 20%" numFmtId="0">
      <sharedItems containsString="0" containsBlank="1" containsNumber="1" minValue="0.24299999999999999" maxValue="1.1000000000000001"/>
    </cacheField>
    <cacheField name="2" numFmtId="0">
      <sharedItems containsString="0" containsBlank="1" containsNumber="1" minValue="0.28000000000000003" maxValue="1.3"/>
    </cacheField>
    <cacheField name="3" numFmtId="0">
      <sharedItems containsString="0" containsBlank="1" containsNumber="1" minValue="0.222" maxValue="1.2"/>
    </cacheField>
    <cacheField name="4" numFmtId="0">
      <sharedItems containsString="0" containsBlank="1" containsNumber="1" minValue="0.189" maxValue="1.2"/>
    </cacheField>
    <cacheField name="5 - Least Deprived 20%" numFmtId="0">
      <sharedItems containsString="0" containsBlank="1" containsNumber="1" minValue="0.19700000000000001" maxValue="1.1000000000000001"/>
    </cacheField>
    <cacheField name="All Scotland" numFmtId="0">
      <sharedItems containsString="0" containsBlank="1" containsNumber="1" minValue="0.3" maxValue="1.2"/>
    </cacheField>
  </cacheFields>
  <extLst>
    <ext xmlns:x14="http://schemas.microsoft.com/office/spreadsheetml/2009/9/main" uri="{725AE2AE-9491-48be-B2B4-4EB974FC3084}">
      <x14:pivotCacheDefinition/>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90.453982060186" createdVersion="8" refreshedVersion="8" minRefreshableVersion="3" recordCount="352" xr:uid="{A911EEF7-2A77-4157-A87C-EC6C772837DE}">
  <cacheSource type="worksheet">
    <worksheetSource name="cset_HFSV_Rate_LA_All_Final"/>
  </cacheSource>
  <cacheFields count="15">
    <cacheField name="FisYr" numFmtId="0">
      <sharedItems count="11">
        <s v="2013-14"/>
        <s v="2014-15"/>
        <s v="2015-16"/>
        <s v="2016-17"/>
        <s v="2017-18"/>
        <s v="2018-19"/>
        <s v="2019-20"/>
        <s v="2020-21"/>
        <s v="2021-22"/>
        <s v="2022-23"/>
        <s v="2023-24"/>
      </sharedItems>
    </cacheField>
    <cacheField name="Council"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GSSCode" numFmtId="0">
      <sharedItems containsBlank="1"/>
    </cacheField>
    <cacheField name="HFSV - alarms installed" numFmtId="0">
      <sharedItems containsString="0" containsBlank="1" containsNumber="1" containsInteger="1" minValue="12" maxValue="3531"/>
    </cacheField>
    <cacheField name="HFSV - advice only" numFmtId="0">
      <sharedItems containsString="0" containsBlank="1" containsNumber="1" containsInteger="1" minValue="34" maxValue="7410"/>
    </cacheField>
    <cacheField name="Total HFSV" numFmtId="0">
      <sharedItems containsSemiMixedTypes="0" containsString="0" containsNumber="1" containsInteger="1" minValue="57" maxValue="10053"/>
    </cacheField>
    <cacheField name="TotalNewAlarms" numFmtId="0">
      <sharedItems containsString="0" containsBlank="1" containsNumber="1" containsInteger="1" minValue="8" maxValue="3943"/>
    </cacheField>
    <cacheField name="TotalReplacedAlarms" numFmtId="0">
      <sharedItems containsString="0" containsBlank="1" containsNumber="1" containsInteger="1" minValue="11" maxValue="1853"/>
    </cacheField>
    <cacheField name="TotalAlarms" numFmtId="0">
      <sharedItems containsString="0" containsBlank="1" containsNumber="1" containsInteger="1" minValue="34" maxValue="5634"/>
    </cacheField>
    <cacheField name="Dwellings" numFmtId="0">
      <sharedItems containsSemiMixedTypes="0" containsString="0" containsNumber="1" containsInteger="1" minValue="10717" maxValue="324431"/>
    </cacheField>
    <cacheField name="VisitsPer100Dwelling" numFmtId="0">
      <sharedItems containsSemiMixedTypes="0" containsString="0" containsNumber="1" minValue="0.36499999999999999" maxValue="10.023"/>
    </cacheField>
    <cacheField name="AlarmsPer100Dwelling" numFmtId="0">
      <sharedItems containsString="0" containsBlank="1" containsNumber="1" minValue="0.156" maxValue="3.7"/>
    </cacheField>
    <cacheField name="Households" numFmtId="0">
      <sharedItems containsSemiMixedTypes="0" containsString="0" containsNumber="1" containsInteger="1" minValue="9945" maxValue="300340"/>
    </cacheField>
    <cacheField name="VisitsPer100Household" numFmtId="0">
      <sharedItems containsSemiMixedTypes="0" containsString="0" containsNumber="1" minValue="0.38800000000000001" maxValue="10.609"/>
    </cacheField>
    <cacheField name="AlarmsPer100Household" numFmtId="0">
      <sharedItems containsString="0" containsBlank="1" containsNumber="1" minValue="0.17399999999999999" maxValue="3.996"/>
    </cacheField>
  </cacheFields>
  <extLst>
    <ext xmlns:x14="http://schemas.microsoft.com/office/spreadsheetml/2009/9/main" uri="{725AE2AE-9491-48be-B2B4-4EB974FC3084}">
      <x14:pivotCacheDefinition pivotCacheId="893933024"/>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62.367241087966" createdVersion="8" refreshedVersion="8" minRefreshableVersion="3" recordCount="13" xr:uid="{062F2FB0-1732-4973-AFA3-5A5A15BA4177}">
  <cacheSource type="worksheet">
    <worksheetSource name="hrod_HR_StaffingFTE__2_1"/>
  </cacheSource>
  <cacheFields count="6">
    <cacheField name="Year" numFmtId="0">
      <sharedItems count="13">
        <s v="2018-19"/>
        <s v="2013-14"/>
        <s v="2015-16"/>
        <s v="2019-20"/>
        <s v="2022-23"/>
        <s v="2012-13"/>
        <s v="2016-17"/>
        <s v="2021-22"/>
        <s v="2011-12"/>
        <s v="2014-15"/>
        <s v="2017-18"/>
        <s v="2020-21"/>
        <s v="2023-24"/>
      </sharedItems>
    </cacheField>
    <cacheField name="WholeTime Operational" numFmtId="0">
      <sharedItems containsSemiMixedTypes="0" containsString="0" containsNumber="1" minValue="3419.08" maxValue="4159"/>
    </cacheField>
    <cacheField name="Retained Duty System" numFmtId="0">
      <sharedItems containsSemiMixedTypes="0" containsString="0" containsNumber="1" minValue="2289.77" maxValue="2813"/>
    </cacheField>
    <cacheField name="RDS Fulltime" numFmtId="0">
      <sharedItems containsString="0" containsBlank="1" containsNumber="1" containsInteger="1" minValue="18" maxValue="55"/>
    </cacheField>
    <cacheField name="Control" numFmtId="0">
      <sharedItems containsSemiMixedTypes="0" containsString="0" containsNumber="1" minValue="160" maxValue="225"/>
    </cacheField>
    <cacheField name="Support" numFmtId="0">
      <sharedItems containsSemiMixedTypes="0" containsString="0" containsNumber="1" minValue="719" maxValue="961"/>
    </cacheField>
  </cacheFields>
  <extLst>
    <ext xmlns:x14="http://schemas.microsoft.com/office/spreadsheetml/2009/9/main" uri="{725AE2AE-9491-48be-B2B4-4EB974FC3084}">
      <x14:pivotCacheDefinition/>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90.56355752315" createdVersion="8" refreshedVersion="8" minRefreshableVersion="3" recordCount="11" xr:uid="{A80C9020-B8C0-4873-91F0-9E1A43089BA2}">
  <cacheSource type="worksheet">
    <worksheetSource name="cset_UrbanRural"/>
  </cacheSource>
  <cacheFields count="8">
    <cacheField name="Year" numFmtId="0">
      <sharedItems containsBlank="1" count="11">
        <m/>
        <s v="2014-15"/>
        <s v="2015-16"/>
        <s v="2016-17"/>
        <s v="2017-18"/>
        <s v="2018-19"/>
        <s v="2019-20"/>
        <s v="2020-21"/>
        <s v="2021-22"/>
        <s v="2022-23"/>
        <s v="2023-24"/>
      </sharedItems>
    </cacheField>
    <cacheField name="1 - Large Urban Areas" numFmtId="0">
      <sharedItems containsString="0" containsBlank="1" containsNumber="1" containsInteger="1" minValue="7468" maxValue="27047"/>
    </cacheField>
    <cacheField name="2 - Other Urban Areas" numFmtId="0">
      <sharedItems containsString="0" containsBlank="1" containsNumber="1" containsInteger="1" minValue="7728" maxValue="28276"/>
    </cacheField>
    <cacheField name="3 - Accessible Small Towns" numFmtId="0">
      <sharedItems containsString="0" containsBlank="1" containsNumber="1" containsInteger="1" minValue="1628" maxValue="5775"/>
    </cacheField>
    <cacheField name="4 - Remote Small Towns" numFmtId="0">
      <sharedItems containsString="0" containsBlank="1" containsNumber="1" containsInteger="1" minValue="610" maxValue="2648"/>
    </cacheField>
    <cacheField name="5 - Accessible Rural" numFmtId="0">
      <sharedItems containsString="0" containsBlank="1" containsNumber="1" containsInteger="1" minValue="1622" maxValue="6384"/>
    </cacheField>
    <cacheField name="6 - Remote Rural" numFmtId="0">
      <sharedItems containsString="0" containsBlank="1" containsNumber="1" containsInteger="1" minValue="905" maxValue="4513"/>
    </cacheField>
    <cacheField name="All Scotland" numFmtId="0">
      <sharedItems containsString="0" containsBlank="1" containsNumber="1" containsInteger="1" minValue="19961" maxValue="71485"/>
    </cacheField>
  </cacheFields>
  <extLst>
    <ext xmlns:x14="http://schemas.microsoft.com/office/spreadsheetml/2009/9/main" uri="{725AE2AE-9491-48be-B2B4-4EB974FC3084}">
      <x14:pivotCacheDefinition/>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90.587586689813" createdVersion="8" refreshedVersion="8" minRefreshableVersion="3" recordCount="11" xr:uid="{BBA6B352-5B09-4A22-9D1B-AD105B64C138}">
  <cacheSource type="worksheet">
    <worksheetSource name="cset_UrbanRural_OccupiedDwellings__2"/>
  </cacheSource>
  <cacheFields count="8">
    <cacheField name="Year" numFmtId="0">
      <sharedItems containsBlank="1" count="11">
        <m/>
        <s v="2014-15"/>
        <s v="2015-16"/>
        <s v="2016-17"/>
        <s v="2017-18"/>
        <s v="2018-19"/>
        <s v="2019-20"/>
        <s v="2020-21"/>
        <s v="2021-22"/>
        <s v="2022-23"/>
        <s v="2023-24"/>
      </sharedItems>
    </cacheField>
    <cacheField name="1 - Large Urban Areas" numFmtId="0">
      <sharedItems containsString="0" containsBlank="1" containsNumber="1" minValue="0.8" maxValue="2.8"/>
    </cacheField>
    <cacheField name="2 - Other Urban Areas" numFmtId="0">
      <sharedItems containsString="0" containsBlank="1" containsNumber="1" minValue="0.9" maxValue="3.4"/>
    </cacheField>
    <cacheField name="3 - Accessible Small Towns" numFmtId="0">
      <sharedItems containsString="0" containsBlank="1" containsNumber="1" minValue="0.8" maxValue="2.8"/>
    </cacheField>
    <cacheField name="4 - Remote Small Towns" numFmtId="0">
      <sharedItems containsString="0" containsBlank="1" containsNumber="1" minValue="0.9" maxValue="3.7"/>
    </cacheField>
    <cacheField name="5 - Accessible Rural" numFmtId="0">
      <sharedItems containsString="0" containsBlank="1" containsNumber="1" minValue="0.6" maxValue="2.4"/>
    </cacheField>
    <cacheField name="6 - Remote Rural" numFmtId="0">
      <sharedItems containsString="0" containsBlank="1" containsNumber="1" minValue="0.6" maxValue="3.2"/>
    </cacheField>
    <cacheField name="All Scotland" numFmtId="0">
      <sharedItems containsString="0" containsBlank="1" containsNumber="1" minValue="0.8" maxValue="2.9"/>
    </cacheField>
  </cacheFields>
  <extLst>
    <ext xmlns:x14="http://schemas.microsoft.com/office/spreadsheetml/2009/9/main" uri="{725AE2AE-9491-48be-B2B4-4EB974FC3084}">
      <x14:pivotCacheDefinition/>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92.499071874998" createdVersion="8" refreshedVersion="8" minRefreshableVersion="3" recordCount="11" xr:uid="{4DE10B33-DC6A-4F5D-B088-867B088955E3}">
  <cacheSource type="worksheet">
    <worksheetSource name="cset_DistinctProperties_"/>
  </cacheSource>
  <cacheFields count="5">
    <cacheField name="Year" numFmtId="0">
      <sharedItems count="11">
        <s v="2013-14"/>
        <s v="2014-15"/>
        <s v="2015-16"/>
        <s v="2016-17"/>
        <s v="2017-18"/>
        <s v="2018-19"/>
        <s v="2023-24"/>
        <s v="2020-21"/>
        <s v="2021-22"/>
        <s v="2019-20"/>
        <s v="2022-23"/>
      </sharedItems>
    </cacheField>
    <cacheField name="In One Year" numFmtId="0">
      <sharedItems containsSemiMixedTypes="0" containsString="0" containsNumber="1" containsInteger="1" minValue="19380" maxValue="69038"/>
    </cacheField>
    <cacheField name="Over Three Years" numFmtId="0">
      <sharedItems containsString="0" containsBlank="1" containsNumber="1" containsInteger="1" minValue="87999" maxValue="180398"/>
    </cacheField>
    <cacheField name="Over Five Years" numFmtId="0">
      <sharedItems containsString="0" containsBlank="1" containsNumber="1" containsInteger="1" minValue="168447" maxValue="272384"/>
    </cacheField>
    <cacheField name="Non-repeat Visits" numFmtId="0">
      <sharedItems containsString="0" containsBlank="1" containsNumber="1" containsInteger="1" minValue="12799" maxValue="47485"/>
    </cacheField>
  </cacheFields>
  <extLst>
    <ext xmlns:x14="http://schemas.microsoft.com/office/spreadsheetml/2009/9/main" uri="{725AE2AE-9491-48be-B2B4-4EB974FC3084}">
      <x14:pivotCacheDefinition/>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92.543962962962" createdVersion="8" refreshedVersion="8" minRefreshableVersion="3" recordCount="11" xr:uid="{32AF0E73-2114-49F3-831E-DE6C0321112D}">
  <cacheSource type="worksheet">
    <worksheetSource name="cset_DistinctVisits_percent_"/>
  </cacheSource>
  <cacheFields count="4">
    <cacheField name="Year" numFmtId="0">
      <sharedItems count="11">
        <s v="2013-14"/>
        <s v="2014-15"/>
        <s v="2015-16"/>
        <s v="2016-17"/>
        <s v="2017-18"/>
        <s v="2018-19"/>
        <s v="2023-24"/>
        <s v="2020-21"/>
        <s v="2021-22"/>
        <s v="2019-20"/>
        <s v="2022-23"/>
      </sharedItems>
    </cacheField>
    <cacheField name="In One Year" numFmtId="0">
      <sharedItems containsSemiMixedTypes="0" containsString="0" containsNumber="1" minValue="7.7000000000000002E-3" maxValue="2.8399999999999998E-2"/>
    </cacheField>
    <cacheField name="Over Three Years" numFmtId="0">
      <sharedItems containsString="0" containsBlank="1" containsNumber="1" minValue="3.4799999999999998E-2" maxValue="7.3700000000000002E-2"/>
    </cacheField>
    <cacheField name="Over Five Years" numFmtId="0">
      <sharedItems containsString="0" containsBlank="1" containsNumber="1" minValue="6.6400000000000001E-2" maxValue="0.1099"/>
    </cacheField>
  </cacheFields>
  <extLst>
    <ext xmlns:x14="http://schemas.microsoft.com/office/spreadsheetml/2009/9/main" uri="{725AE2AE-9491-48be-B2B4-4EB974FC3084}">
      <x14:pivotCacheDefinition/>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92.607497800927" createdVersion="8" refreshedVersion="8" minRefreshableVersion="3" recordCount="10" xr:uid="{74323536-7B92-4FED-87D6-4641B28EDEF0}">
  <cacheSource type="worksheet">
    <worksheetSource name="cset_DistinctAlarms__2"/>
  </cacheSource>
  <cacheFields count="4">
    <cacheField name="Year" numFmtId="0">
      <sharedItems count="10">
        <s v="2013-14"/>
        <s v="2014-15"/>
        <s v="2015-16"/>
        <s v="2016-17"/>
        <s v="2017-18"/>
        <s v="2018-19"/>
        <s v="2020-21"/>
        <s v="2019-20"/>
        <s v="2021-22"/>
        <s v="2023-24"/>
      </sharedItems>
    </cacheField>
    <cacheField name="In One Year" numFmtId="0">
      <sharedItems containsSemiMixedTypes="0" containsString="0" containsNumber="1" containsInteger="1" minValue="5788" maxValue="29094"/>
    </cacheField>
    <cacheField name="Over Three Years" numFmtId="0">
      <sharedItems containsString="0" containsBlank="1" containsNumber="1" containsInteger="1" minValue="34580" maxValue="79298"/>
    </cacheField>
    <cacheField name="Over Five Years" numFmtId="0">
      <sharedItems containsString="0" containsBlank="1" containsNumber="1" containsInteger="1" minValue="81267" maxValue="121558"/>
    </cacheField>
  </cacheFields>
  <extLst>
    <ext xmlns:x14="http://schemas.microsoft.com/office/spreadsheetml/2009/9/main" uri="{725AE2AE-9491-48be-B2B4-4EB974FC3084}">
      <x14:pivotCacheDefinition/>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92.615096412039" createdVersion="8" refreshedVersion="8" minRefreshableVersion="3" recordCount="10" xr:uid="{A8271D72-6C8D-445B-ADF9-D11CD03D7329}">
  <cacheSource type="worksheet">
    <worksheetSource name="cset_DistinctAlarms_percent__2"/>
  </cacheSource>
  <cacheFields count="4">
    <cacheField name="Year" numFmtId="0">
      <sharedItems count="10">
        <s v="2013-14"/>
        <s v="2014-15"/>
        <s v="2015-16"/>
        <s v="2016-17"/>
        <s v="2017-18"/>
        <s v="2018-19"/>
        <s v="2020-21"/>
        <s v="2019-20"/>
        <s v="2021-22"/>
        <s v="2023-24"/>
      </sharedItems>
    </cacheField>
    <cacheField name="In One Year" numFmtId="0">
      <sharedItems containsSemiMixedTypes="0" containsString="0" containsNumber="1" minValue="2.3E-3" maxValue="1.21E-2"/>
    </cacheField>
    <cacheField name="Over Three Years" numFmtId="0">
      <sharedItems containsString="0" containsBlank="1" containsNumber="1" minValue="1.38E-2" maxValue="3.2800000000000003E-2"/>
    </cacheField>
    <cacheField name="Over Five Years" numFmtId="0">
      <sharedItems containsString="0" containsBlank="1" containsNumber="1" minValue="3.2400000000000005E-2" maxValue="4.9699999999999994E-2"/>
    </cacheField>
  </cacheFields>
  <extLst>
    <ext xmlns:x14="http://schemas.microsoft.com/office/spreadsheetml/2009/9/main" uri="{725AE2AE-9491-48be-B2B4-4EB974FC3084}">
      <x14:pivotCacheDefinition/>
    </ext>
  </extLst>
</pivotCacheDefinition>
</file>

<file path=xl/pivotCache/pivotCacheDefinition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98.492391550928" createdVersion="8" refreshedVersion="8" minRefreshableVersion="3" recordCount="11" xr:uid="{B46E0F93-367C-47F1-A1BD-BA94EA3B20AA}">
  <cacheSource type="worksheet">
    <worksheetSource name="cset_SIMD_Visits_OccupiedDwellings"/>
  </cacheSource>
  <cacheFields count="7">
    <cacheField name="Year" numFmtId="0">
      <sharedItems containsBlank="1" count="11">
        <m/>
        <s v="2014-15"/>
        <s v="2015-16"/>
        <s v="2016-17"/>
        <s v="2017-18"/>
        <s v="2018-19"/>
        <s v="2019-20"/>
        <s v="2020-21"/>
        <s v="2021-22"/>
        <s v="2022-23"/>
        <s v="2023-24"/>
      </sharedItems>
    </cacheField>
    <cacheField name="1 - Most Deprived 20%" numFmtId="0">
      <sharedItems containsString="0" containsBlank="1" containsNumber="1" minValue="1" maxValue="3.7"/>
    </cacheField>
    <cacheField name="2" numFmtId="0">
      <sharedItems containsString="0" containsBlank="1" containsNumber="1" minValue="0.9" maxValue="3.4"/>
    </cacheField>
    <cacheField name="3" numFmtId="0">
      <sharedItems containsString="0" containsBlank="1" containsNumber="1" minValue="0.7" maxValue="2.9"/>
    </cacheField>
    <cacheField name="4" numFmtId="0">
      <sharedItems containsString="0" containsBlank="1" containsNumber="1" minValue="0.6" maxValue="2.6"/>
    </cacheField>
    <cacheField name="5 - Least Deprived 20%" numFmtId="0">
      <sharedItems containsString="0" containsBlank="1" containsNumber="1" minValue="0.5" maxValue="2.1"/>
    </cacheField>
    <cacheField name="All Scotland" numFmtId="0">
      <sharedItems containsString="0" containsBlank="1" containsNumber="1" minValue="0.8" maxValue="2.9"/>
    </cacheField>
  </cacheFields>
  <extLst>
    <ext xmlns:x14="http://schemas.microsoft.com/office/spreadsheetml/2009/9/main" uri="{725AE2AE-9491-48be-B2B4-4EB974FC3084}">
      <x14:pivotCacheDefinition/>
    </ext>
  </extLst>
</pivotCacheDefinition>
</file>

<file path=xl/pivotCache/pivotCacheDefinition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98.493091087963" createdVersion="8" refreshedVersion="8" minRefreshableVersion="3" recordCount="11" xr:uid="{52773434-FE5B-44C6-A047-B68982A06E34}">
  <cacheSource type="worksheet">
    <worksheetSource name="cset_SIMD_Visits"/>
  </cacheSource>
  <cacheFields count="8">
    <cacheField name="Year" numFmtId="0">
      <sharedItems containsBlank="1" count="11">
        <m/>
        <s v="2014-15"/>
        <s v="2015-16"/>
        <s v="2016-17"/>
        <s v="2017-18"/>
        <s v="2018-19"/>
        <s v="2019-20"/>
        <s v="2020-21"/>
        <s v="2021-22"/>
        <s v="2022-23"/>
        <s v="2023-24"/>
      </sharedItems>
    </cacheField>
    <cacheField name="1 - Most Deprived 20%" numFmtId="0">
      <sharedItems containsString="0" containsBlank="1" containsNumber="1" containsInteger="1" minValue="5590" maxValue="19653"/>
    </cacheField>
    <cacheField name="2" numFmtId="0">
      <sharedItems containsString="0" containsBlank="1" containsNumber="1" containsInteger="1" minValue="4810" maxValue="17395"/>
    </cacheField>
    <cacheField name="3" numFmtId="0">
      <sharedItems containsString="0" containsBlank="1" containsNumber="1" containsInteger="1" minValue="3757" maxValue="14119"/>
    </cacheField>
    <cacheField name="4" numFmtId="0">
      <sharedItems containsString="0" containsBlank="1" containsNumber="1" containsInteger="1" minValue="3262" maxValue="12424"/>
    </cacheField>
    <cacheField name="5 - Least Deprived 20%" numFmtId="0">
      <sharedItems containsString="0" containsBlank="1" containsNumber="1" containsInteger="1" minValue="2543" maxValue="9629"/>
    </cacheField>
    <cacheField name="NotKnown" numFmtId="0">
      <sharedItems containsNonDate="0" containsString="0" containsBlank="1"/>
    </cacheField>
    <cacheField name="All Scotland" numFmtId="0">
      <sharedItems containsString="0" containsBlank="1" containsNumber="1" containsInteger="1" minValue="19962" maxValue="71487"/>
    </cacheField>
  </cacheFields>
  <extLst>
    <ext xmlns:x14="http://schemas.microsoft.com/office/spreadsheetml/2009/9/main" uri="{725AE2AE-9491-48be-B2B4-4EB974FC3084}">
      <x14:pivotCacheDefinition/>
    </ext>
  </extLst>
</pivotCacheDefinition>
</file>

<file path=xl/pivotCache/pivotCacheDefinition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98.613269791669" createdVersion="8" refreshedVersion="8" minRefreshableVersion="3" recordCount="51" xr:uid="{746BA8B0-52DA-4563-A259-D455064A81FA}">
  <cacheSource type="worksheet">
    <worksheetSource name="cset_simd_ownerocc"/>
  </cacheSource>
  <cacheFields count="7">
    <cacheField name="FisYr" numFmtId="0">
      <sharedItems containsBlank="1" count="11">
        <m/>
        <s v="2014-15"/>
        <s v="2015-16"/>
        <s v="2016-17"/>
        <s v="2017-18"/>
        <s v="2018-19"/>
        <s v="2019-20"/>
        <s v="2020-21"/>
        <s v="2021-22"/>
        <s v="2022-23"/>
        <s v="2023-24"/>
      </sharedItems>
    </cacheField>
    <cacheField name="SIMD2020_Quintile" numFmtId="0">
      <sharedItems containsString="0" containsBlank="1" containsNumber="1" containsInteger="1" minValue="1" maxValue="5" count="6">
        <m/>
        <n v="1"/>
        <n v="2"/>
        <n v="3"/>
        <n v="4"/>
        <n v="5"/>
      </sharedItems>
    </cacheField>
    <cacheField name="Visits" numFmtId="0">
      <sharedItems containsString="0" containsBlank="1" containsNumber="1" containsInteger="1" minValue="1867" maxValue="8892"/>
    </cacheField>
    <cacheField name="WithAlarmsFitted" numFmtId="0">
      <sharedItems containsString="0" containsBlank="1" containsNumber="1" containsInteger="1" minValue="837" maxValue="4750"/>
    </cacheField>
    <cacheField name="pcAlarmsFitted" numFmtId="0">
      <sharedItems containsString="0" containsBlank="1" containsNumber="1" minValue="23.2" maxValue="57.6"/>
    </cacheField>
    <cacheField name="RateAlarmsFittedper100OccupiedDwellings" numFmtId="0">
      <sharedItems containsString="0" containsBlank="1" containsNumber="1" minValue="0.16" maxValue="0.99"/>
    </cacheField>
    <cacheField name="OccupiedDwellings" numFmtId="0">
      <sharedItems containsString="0" containsBlank="1" containsNumber="1" containsInteger="1" minValue="449892" maxValue="544255"/>
    </cacheField>
  </cacheFields>
  <extLst>
    <ext xmlns:x14="http://schemas.microsoft.com/office/spreadsheetml/2009/9/main" uri="{725AE2AE-9491-48be-B2B4-4EB974FC3084}">
      <x14:pivotCacheDefinition/>
    </ext>
  </extLst>
</pivotCacheDefinition>
</file>

<file path=xl/pivotCache/pivotCacheDefinition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511.392194444445" createdVersion="6" refreshedVersion="8" minRefreshableVersion="3" recordCount="132" xr:uid="{00000000-000A-0000-FFFF-FFFFAC000000}">
  <cacheSource type="worksheet">
    <worksheetSource name="hrod_HR_Age__2"/>
  </cacheSource>
  <cacheFields count="8">
    <cacheField name="Year" numFmtId="0">
      <sharedItems count="11">
        <s v="2015-16"/>
        <s v="2016-17"/>
        <s v="2017-18"/>
        <s v="2019-20"/>
        <s v="2020-21"/>
        <s v="2021-22"/>
        <s v="2022-23"/>
        <s v="2013-14"/>
        <s v="2014-15"/>
        <s v="2023-24"/>
        <s v="2018-19"/>
      </sharedItems>
    </cacheField>
    <cacheField name="Age Range" numFmtId="0">
      <sharedItems count="18">
        <s v="25-29"/>
        <s v="40-44"/>
        <s v="60-64"/>
        <s v="Under 20"/>
        <s v="50-54"/>
        <s v="55-59"/>
        <s v="Over 75"/>
        <s v="45-49"/>
        <s v="66 and over"/>
        <s v="35-39"/>
        <s v="20-24"/>
        <s v="65-69"/>
        <s v="30-34"/>
        <s v="70-74"/>
        <s v="20-29"/>
        <s v="55-65"/>
        <s v="Not Recorded"/>
        <s v="30-39"/>
      </sharedItems>
    </cacheField>
    <cacheField name="Wholetime Operational" numFmtId="0">
      <sharedItems containsString="0" containsBlank="1" containsNumber="1" containsInteger="1" minValue="1" maxValue="1254"/>
    </cacheField>
    <cacheField name="Retained Duty System" numFmtId="0">
      <sharedItems containsString="0" containsBlank="1" containsNumber="1" containsInteger="1" minValue="1" maxValue="691"/>
    </cacheField>
    <cacheField name="Retained Full-time" numFmtId="0">
      <sharedItems containsString="0" containsBlank="1" containsNumber="1" containsInteger="1" minValue="1" maxValue="19"/>
    </cacheField>
    <cacheField name="Control" numFmtId="0">
      <sharedItems containsString="0" containsBlank="1" containsNumber="1" containsInteger="1" minValue="1" maxValue="52"/>
    </cacheField>
    <cacheField name="Support Staff" numFmtId="0">
      <sharedItems containsString="0" containsBlank="1" containsNumber="1" containsInteger="1" minValue="1" maxValue="248"/>
    </cacheField>
    <cacheField name="Volunteer" numFmtId="0">
      <sharedItems containsString="0" containsBlank="1" containsNumber="1" containsInteger="1" minValue="1" maxValue="89"/>
    </cacheField>
  </cacheFields>
  <extLst>
    <ext xmlns:x14="http://schemas.microsoft.com/office/spreadsheetml/2009/9/main" uri="{725AE2AE-9491-48be-B2B4-4EB974FC3084}">
      <x14:pivotCacheDefinition pivotCacheId="129"/>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62.614991782408" createdVersion="6" refreshedVersion="8" minRefreshableVersion="3" recordCount="11" xr:uid="{00000000-000A-0000-FFFF-FFFFBC000000}">
  <cacheSource type="worksheet">
    <worksheetSource name="hrod_HR_CS_RoleArea_Control"/>
  </cacheSource>
  <cacheFields count="9">
    <cacheField name="Year" numFmtId="0">
      <sharedItems count="11">
        <s v="2013-14"/>
        <s v="2014-15"/>
        <s v="2015-16"/>
        <s v="2016-17"/>
        <s v="2017-18"/>
        <s v="2018-19"/>
        <s v="2019-20"/>
        <s v="2020-21"/>
        <s v="2021-22"/>
        <s v="2022-23"/>
        <s v="2023-24"/>
      </sharedItems>
    </cacheField>
    <cacheField name="Area" numFmtId="0">
      <sharedItems count="1">
        <s v="Scotland"/>
      </sharedItems>
    </cacheField>
    <cacheField name="GSS Code" numFmtId="0">
      <sharedItems/>
    </cacheField>
    <cacheField name="Area Manager" numFmtId="0">
      <sharedItems containsSemiMixedTypes="0" containsString="0" containsNumber="1" containsInteger="1" minValue="0" maxValue="1"/>
    </cacheField>
    <cacheField name="Group Manager" numFmtId="0">
      <sharedItems containsSemiMixedTypes="0" containsString="0" containsNumber="1" containsInteger="1" minValue="4" maxValue="52"/>
    </cacheField>
    <cacheField name="Station Manager" numFmtId="0">
      <sharedItems containsSemiMixedTypes="0" containsString="0" containsNumber="1" containsInteger="1" minValue="8" maxValue="110"/>
    </cacheField>
    <cacheField name="Watch Manager" numFmtId="0">
      <sharedItems containsSemiMixedTypes="0" containsString="0" containsNumber="1" containsInteger="1" minValue="5" maxValue="45"/>
    </cacheField>
    <cacheField name="Crew Manager" numFmtId="0">
      <sharedItems containsSemiMixedTypes="0" containsString="0" containsNumber="1" containsInteger="1" minValue="7" maxValue="31"/>
    </cacheField>
    <cacheField name="Control Operator" numFmtId="0">
      <sharedItems containsSemiMixedTypes="0" containsString="0" containsNumber="1" containsInteger="1" minValue="41" maxValue="124"/>
    </cacheField>
  </cacheFields>
  <extLst>
    <ext xmlns:x14="http://schemas.microsoft.com/office/spreadsheetml/2009/9/main" uri="{725AE2AE-9491-48be-B2B4-4EB974FC3084}">
      <x14:pivotCacheDefinition pivotCacheId="156"/>
    </ext>
  </extLst>
</pivotCacheDefinition>
</file>

<file path=xl/pivotCache/pivotCacheDefinition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511.657788310185" createdVersion="8" refreshedVersion="8" minRefreshableVersion="3" recordCount="192" xr:uid="{9EF016E6-6C3C-47D0-BFD8-319B9CA01DDB}">
  <cacheSource type="worksheet">
    <worksheetSource ref="A1:H193" sheet="CrewingModelAreaData"/>
  </cacheSource>
  <cacheFields count="8">
    <cacheField name="Year" numFmtId="0">
      <sharedItems count="6">
        <s v="2018-19"/>
        <s v="2019-20"/>
        <s v="2020-21"/>
        <s v="2021-22"/>
        <s v="2022-23"/>
        <s v="2023-24"/>
      </sharedItems>
    </cacheField>
    <cacheField name="LA"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Wholetime" numFmtId="0">
      <sharedItems containsString="0" containsBlank="1" containsNumber="1" containsInteger="1" minValue="1" maxValue="11"/>
    </cacheField>
    <cacheField name="Wholetime and Retained" numFmtId="0">
      <sharedItems containsString="0" containsBlank="1" containsNumber="1" containsInteger="1" minValue="1" maxValue="3"/>
    </cacheField>
    <cacheField name="Wholetime and Day" numFmtId="0">
      <sharedItems containsString="0" containsBlank="1" containsNumber="1" containsInteger="1" minValue="1" maxValue="1"/>
    </cacheField>
    <cacheField name="Volunteer" numFmtId="0">
      <sharedItems containsString="0" containsBlank="1" containsNumber="1" containsInteger="1" minValue="1" maxValue="25"/>
    </cacheField>
    <cacheField name="Retained" numFmtId="0">
      <sharedItems containsString="0" containsBlank="1" containsNumber="1" containsInteger="1" minValue="1" maxValue="51"/>
    </cacheField>
    <cacheField name="Total" numFmtId="0">
      <sharedItems containsSemiMixedTypes="0" containsString="0" containsNumber="1" containsInteger="1" minValue="2" maxValue="61"/>
    </cacheField>
  </cacheFields>
  <extLst>
    <ext xmlns:x14="http://schemas.microsoft.com/office/spreadsheetml/2009/9/main" uri="{725AE2AE-9491-48be-B2B4-4EB974FC3084}">
      <x14:pivotCacheDefinition pivotCacheId="146775136"/>
    </ext>
  </extLst>
</pivotCacheDefinition>
</file>

<file path=xl/pivotCache/pivotCacheDefinition6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511.668268171299" createdVersion="8" refreshedVersion="8" minRefreshableVersion="3" recordCount="320" xr:uid="{CECD3FA3-2C4E-4BF1-A839-B27A02578B9E}">
  <cacheSource type="worksheet">
    <worksheetSource ref="A1:F321" sheet="PrimaryCrewingAreaData"/>
  </cacheSource>
  <cacheFields count="6">
    <cacheField name="Year" numFmtId="0">
      <sharedItems count="10">
        <s v="2018-19"/>
        <s v="2019-20"/>
        <s v="2020-21"/>
        <s v="2017-18"/>
        <s v="2016-17"/>
        <s v="2015-16"/>
        <s v="2014-15"/>
        <s v="2021-22"/>
        <s v="2022-23"/>
        <s v="2023-24"/>
      </sharedItems>
    </cacheField>
    <cacheField name="LA"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Wholetime" numFmtId="0">
      <sharedItems containsString="0" containsBlank="1" containsNumber="1" containsInteger="1" minValue="1" maxValue="11"/>
    </cacheField>
    <cacheField name="Retained" numFmtId="0">
      <sharedItems containsString="0" containsBlank="1" containsNumber="1" containsInteger="1" minValue="1" maxValue="51"/>
    </cacheField>
    <cacheField name="Volunteer" numFmtId="0">
      <sharedItems containsString="0" containsBlank="1" containsNumber="1" containsInteger="1" minValue="1" maxValue="25"/>
    </cacheField>
    <cacheField name="Total" numFmtId="0">
      <sharedItems containsSemiMixedTypes="0" containsString="0" containsNumber="1" containsInteger="1" minValue="2" maxValue="61"/>
    </cacheField>
  </cacheFields>
  <extLst>
    <ext xmlns:x14="http://schemas.microsoft.com/office/spreadsheetml/2009/9/main" uri="{725AE2AE-9491-48be-B2B4-4EB974FC3084}">
      <x14:pivotCacheDefinition pivotCacheId="660575726"/>
    </ext>
  </extLst>
</pivotCacheDefinition>
</file>

<file path=xl/pivotCache/pivotCacheDefinition6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517.608421296296" createdVersion="6" refreshedVersion="8" minRefreshableVersion="3" recordCount="44" xr:uid="{00000000-000A-0000-FFFF-FFFFB8000000}">
  <cacheSource type="worksheet">
    <worksheetSource name="hrod_HR_GeographicStructure"/>
  </cacheSource>
  <cacheFields count="8">
    <cacheField name="Year" numFmtId="0">
      <sharedItems count="11">
        <s v="2013-14"/>
        <s v="2018-19"/>
        <s v="2021-22"/>
        <s v="2014-15"/>
        <s v="2016-17"/>
        <s v="2017-18"/>
        <s v="2023-24"/>
        <s v="2019-20"/>
        <s v="2022-23"/>
        <s v="2020-21"/>
        <s v="2015-16"/>
      </sharedItems>
    </cacheField>
    <cacheField name="ReportingLevel" numFmtId="0">
      <sharedItems containsBlank="1" count="7">
        <s v="4:National"/>
        <s v="2:LSO"/>
        <s v="3:SDA"/>
        <s v="1:LA"/>
        <m u="1"/>
        <s v="04:National" u="1"/>
        <s v="Scotland" u="1"/>
      </sharedItems>
    </cacheField>
    <cacheField name="Wholetime Operational" numFmtId="0">
      <sharedItems containsSemiMixedTypes="0" containsString="0" containsNumber="1" containsInteger="1" minValue="50" maxValue="3392"/>
    </cacheField>
    <cacheField name="RDS" numFmtId="0">
      <sharedItems containsString="0" containsBlank="1" containsNumber="1" containsInteger="1" minValue="0" maxValue="2950"/>
    </cacheField>
    <cacheField name="RDS Fulltime" numFmtId="0">
      <sharedItems containsString="0" containsBlank="1" containsNumber="1" containsInteger="1" minValue="0" maxValue="55"/>
    </cacheField>
    <cacheField name="Control" numFmtId="0">
      <sharedItems containsString="0" containsBlank="1" containsNumber="1" containsInteger="1" minValue="0" maxValue="230"/>
    </cacheField>
    <cacheField name="Support" numFmtId="0">
      <sharedItems containsString="0" containsBlank="1" containsNumber="1" containsInteger="1" minValue="0" maxValue="920"/>
    </cacheField>
    <cacheField name="Volunteer" numFmtId="0">
      <sharedItems containsString="0" containsBlank="1" containsNumber="1" containsInteger="1" minValue="0" maxValue="378"/>
    </cacheField>
  </cacheFields>
  <extLst>
    <ext xmlns:x14="http://schemas.microsoft.com/office/spreadsheetml/2009/9/main" uri="{725AE2AE-9491-48be-B2B4-4EB974FC3084}">
      <x14:pivotCacheDefinition pivotCacheId="133"/>
    </ext>
  </extLst>
</pivotCacheDefinition>
</file>

<file path=xl/pivotCache/pivotCacheDefinition6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517.634073379631" createdVersion="6" refreshedVersion="8" minRefreshableVersion="3" recordCount="56" xr:uid="{00000000-000A-0000-FFFF-FFFFB9000000}">
  <cacheSource type="worksheet">
    <worksheetSource name="hrod_HR_Role"/>
  </cacheSource>
  <cacheFields count="10">
    <cacheField name="Year" numFmtId="0">
      <sharedItems count="11">
        <s v="2015-16"/>
        <s v="2019-20"/>
        <s v="2022-23"/>
        <s v="2020-21"/>
        <s v="2016-17"/>
        <s v="2023-24"/>
        <s v="2013-14"/>
        <s v="2014-15"/>
        <s v="2017-18"/>
        <s v="2021-22"/>
        <s v="2018-19"/>
      </sharedItems>
    </cacheField>
    <cacheField name="Type" numFmtId="0">
      <sharedItems count="6">
        <s v="RDS"/>
        <s v="RDS Fulltime"/>
        <s v="Vol"/>
        <s v="WT"/>
        <s v="Control"/>
        <s v="Support"/>
      </sharedItems>
    </cacheField>
    <cacheField name="Total" numFmtId="0">
      <sharedItems containsSemiMixedTypes="0" containsString="0" containsNumber="1" containsInteger="1" minValue="0" maxValue="4001"/>
    </cacheField>
    <cacheField name="Brigade Manager" numFmtId="0">
      <sharedItems containsString="0" containsBlank="1" containsNumber="1" containsInteger="1" minValue="4" maxValue="9"/>
    </cacheField>
    <cacheField name="Area Manager" numFmtId="0">
      <sharedItems containsString="0" containsBlank="1" containsNumber="1" containsInteger="1" minValue="1" maxValue="35"/>
    </cacheField>
    <cacheField name="Group Manager" numFmtId="0">
      <sharedItems containsString="0" containsBlank="1" containsNumber="1" containsInteger="1" minValue="4" maxValue="115"/>
    </cacheField>
    <cacheField name="Station Manager" numFmtId="0">
      <sharedItems containsString="0" containsBlank="1" containsNumber="1" containsInteger="1" minValue="7" maxValue="157"/>
    </cacheField>
    <cacheField name="Watch Manager" numFmtId="0">
      <sharedItems containsString="0" containsBlank="1" containsNumber="1" containsInteger="1" minValue="9" maxValue="679"/>
    </cacheField>
    <cacheField name="Crew Manager" numFmtId="0">
      <sharedItems containsString="0" containsBlank="1" containsNumber="1" containsInteger="1" minValue="1" maxValue="689"/>
    </cacheField>
    <cacheField name="Firefighter" numFmtId="0">
      <sharedItems containsString="0" containsBlank="1" containsNumber="1" containsInteger="1" minValue="80" maxValue="2374"/>
    </cacheField>
  </cacheFields>
  <extLst>
    <ext xmlns:x14="http://schemas.microsoft.com/office/spreadsheetml/2009/9/main" uri="{725AE2AE-9491-48be-B2B4-4EB974FC3084}">
      <x14:pivotCacheDefinition pivotCacheId="134"/>
    </ext>
  </extLst>
</pivotCacheDefinition>
</file>

<file path=xl/pivotCache/pivotCacheDefinition6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518.566454398147" createdVersion="6" refreshedVersion="8" minRefreshableVersion="3" recordCount="319" xr:uid="{00000000-000A-0000-FFFF-FFFFAF000000}">
  <cacheSource type="worksheet">
    <worksheetSource name="pp_PPED_Audits_Outcome_LA"/>
  </cacheSource>
  <cacheFields count="11">
    <cacheField name="FisYr" numFmtId="0">
      <sharedItems count="11">
        <s v="2014-15"/>
        <s v="2015-16"/>
        <s v="2016-17"/>
        <s v="2017-18"/>
        <s v="2018-19"/>
        <s v="2019-20"/>
        <s v="2020-21"/>
        <s v="2021-22"/>
        <s v="2022-23"/>
        <s v="2023-24"/>
        <s v="..." u="1"/>
      </sharedItems>
    </cacheField>
    <cacheField name="Council" numFmtId="0">
      <sharedItems count="34">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Na h-Eileanan an Iar"/>
        <s v="..." u="1"/>
      </sharedItems>
    </cacheField>
    <cacheField name="GSSCode" numFmtId="0">
      <sharedItems/>
    </cacheField>
    <cacheField name="A_Tally" numFmtId="0">
      <sharedItems containsSemiMixedTypes="0" containsString="0" containsNumber="1" containsInteger="1" minValue="4" maxValue="1812"/>
    </cacheField>
    <cacheField name="A_Hours" numFmtId="0">
      <sharedItems containsString="0" containsBlank="1" containsNumber="1" minValue="16" maxValue="7682.25"/>
    </cacheField>
    <cacheField name="B_Tally" numFmtId="0">
      <sharedItems containsString="0" containsBlank="1" containsNumber="1" containsInteger="1" minValue="1" maxValue="144"/>
    </cacheField>
    <cacheField name="B_Hours" numFmtId="0">
      <sharedItems containsString="0" containsBlank="1" containsNumber="1" minValue="2.25" maxValue="1064.25"/>
    </cacheField>
    <cacheField name="Enforcement_Tally" numFmtId="0">
      <sharedItems containsString="0" containsBlank="1" containsNumber="1" containsInteger="1" minValue="1" maxValue="10"/>
    </cacheField>
    <cacheField name="Enforcement_Hours" numFmtId="0">
      <sharedItems containsString="0" containsBlank="1" containsNumber="1" minValue="5.5" maxValue="256.5"/>
    </cacheField>
    <cacheField name="Prohibition_Tally" numFmtId="0">
      <sharedItems containsString="0" containsBlank="1" containsNumber="1" containsInteger="1" minValue="1" maxValue="7"/>
    </cacheField>
    <cacheField name="Prohibition_Hours" numFmtId="0">
      <sharedItems containsString="0" containsBlank="1" containsNumber="1" minValue="1.25" maxValue="123"/>
    </cacheField>
  </cacheFields>
  <extLst>
    <ext xmlns:x14="http://schemas.microsoft.com/office/spreadsheetml/2009/9/main" uri="{725AE2AE-9491-48be-B2B4-4EB974FC3084}">
      <x14:pivotCacheDefinition pivotCacheId="125"/>
    </ext>
  </extLst>
</pivotCacheDefinition>
</file>

<file path=xl/pivotCache/pivotCacheDefinition6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518.602074189817" createdVersion="6" refreshedVersion="8" minRefreshableVersion="3" recordCount="564" xr:uid="{00000000-000A-0000-FFFF-FFFFC5000000}">
  <cacheSource type="worksheet">
    <worksheetSource name="hrod_HR_WT_FTE_RoleArea"/>
  </cacheSource>
  <cacheFields count="12">
    <cacheField name="Year" numFmtId="0">
      <sharedItems containsBlank="1" count="12">
        <s v="2013-14"/>
        <s v="2014-15"/>
        <s v="2015-16"/>
        <s v="2016-17"/>
        <s v="2017-18"/>
        <s v="2018-19"/>
        <s v="2019-20"/>
        <s v="2020-21"/>
        <s v="2021-22"/>
        <s v="2022-23"/>
        <s v="2023-24"/>
        <m u="1"/>
      </sharedItems>
    </cacheField>
    <cacheField name="ReportingLevel" numFmtId="0">
      <sharedItems containsBlank="1" count="7">
        <s v="1:LA"/>
        <s v="2:LSO"/>
        <s v="3:SDA"/>
        <s v="4:National"/>
        <s v="Total"/>
        <s v="4:SDA" u="1"/>
        <m u="1"/>
      </sharedItems>
    </cacheField>
    <cacheField name="Code" numFmtId="0">
      <sharedItems containsBlank="1"/>
    </cacheField>
    <cacheField name="lvl" numFmtId="0">
      <sharedItems containsBlank="1" count="61">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s v="Aberdeenshire and Moray"/>
        <s v="Argyll and Bute, East Dunbartonshire and West Dunbartonshire"/>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Dundee, Angus, Perth and Kinross"/>
        <s v="West"/>
        <s v="East"/>
        <s v="North"/>
        <s v="Scotland"/>
        <s v="Stirling, Clackmannanshire and Fife"/>
        <s v="Aberdeen City, Aberdeenshire and Moray"/>
        <s v="Lanarkshire"/>
        <s v="ALL" u="1"/>
        <m u="1"/>
        <s v="Argyll and Bute, West Dunbartonshire and East Dunbartonshire" u="1"/>
        <s v="Perth and Kinross, Dundee City and Angus" u="1"/>
        <s v="Midlothian, East Lothian and Scottish Borders" u="1"/>
        <s v="Dumfries and Gallowa" u="1"/>
        <s v="East, North and South Ayrshire" u="1"/>
        <s v="Argyll &amp; Bute" u="1"/>
        <s v="Dumfries &amp; Galloway" u="1"/>
        <s v="Orkney Islands, Shetland Islands and Na h-Eileanan" u="1"/>
        <s v="NULL" u="1"/>
      </sharedItems>
    </cacheField>
    <cacheField name="Total" numFmtId="0">
      <sharedItems containsString="0" containsBlank="1" containsNumber="1" minValue="0" maxValue="4000.76"/>
    </cacheField>
    <cacheField name="Area Manager" numFmtId="0">
      <sharedItems containsString="0" containsBlank="1" containsNumber="1" containsInteger="1" minValue="0" maxValue="35"/>
    </cacheField>
    <cacheField name="Brigade Manager" numFmtId="0">
      <sharedItems containsString="0" containsBlank="1" containsNumber="1" containsInteger="1" minValue="0" maxValue="10"/>
    </cacheField>
    <cacheField name="Crew Manager" numFmtId="0">
      <sharedItems containsString="0" containsBlank="1" containsNumber="1" minValue="0" maxValue="689"/>
    </cacheField>
    <cacheField name="Firefighter" numFmtId="0">
      <sharedItems containsString="0" containsBlank="1" containsNumber="1" minValue="0" maxValue="2373.7600000000002"/>
    </cacheField>
    <cacheField name="Group Manager" numFmtId="0">
      <sharedItems containsString="0" containsBlank="1" containsNumber="1" containsInteger="1" minValue="0" maxValue="115"/>
    </cacheField>
    <cacheField name="Station Manager" numFmtId="0">
      <sharedItems containsString="0" containsBlank="1" containsNumber="1" containsInteger="1" minValue="0" maxValue="153"/>
    </cacheField>
    <cacheField name="Watch Manager" numFmtId="0">
      <sharedItems containsString="0" containsBlank="1" containsNumber="1" minValue="0" maxValue="679"/>
    </cacheField>
  </cacheFields>
  <extLst>
    <ext xmlns:x14="http://schemas.microsoft.com/office/spreadsheetml/2009/9/main" uri="{725AE2AE-9491-48be-B2B4-4EB974FC3084}">
      <x14:pivotCacheDefinition pivotCacheId="141"/>
    </ext>
  </extLst>
</pivotCacheDefinition>
</file>

<file path=xl/pivotCache/pivotCacheDefinition6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518.623544675924" createdVersion="6" refreshedVersion="8" minRefreshableVersion="3" recordCount="289" xr:uid="{00000000-000A-0000-FFFF-FFFFC1000000}">
  <cacheSource type="worksheet">
    <worksheetSource name="hrod_HR_Gender_Role"/>
  </cacheSource>
  <cacheFields count="6">
    <cacheField name="Year" numFmtId="0">
      <sharedItems count="11">
        <s v="2013-14"/>
        <s v="2014-15"/>
        <s v="2015-16"/>
        <s v="2016-17"/>
        <s v="2017-18"/>
        <s v="2018-19"/>
        <s v="2020-21"/>
        <s v="2021-22"/>
        <s v="2022-23"/>
        <s v="2023-24"/>
        <s v="2019-20"/>
      </sharedItems>
    </cacheField>
    <cacheField name="Type" numFmtId="0">
      <sharedItems count="6">
        <s v="RDS"/>
        <s v="Support"/>
        <s v="Vol"/>
        <s v="Control"/>
        <s v="WT"/>
        <s v="RDS Fulltime"/>
      </sharedItems>
    </cacheField>
    <cacheField name="PostConv" numFmtId="0">
      <sharedItems containsBlank="1" count="17">
        <s v="Crew Manager"/>
        <s v="Firefighter"/>
        <s v="Professional"/>
        <s v="Team Leader"/>
        <s v="Watch manager"/>
        <s v="Group Manager"/>
        <s v="Area Manager"/>
        <s v="Specialist Technical"/>
        <s v="Tech Support"/>
        <s v="Station Manager"/>
        <s v="Brigade Manager"/>
        <s v="Administration"/>
        <s v="Service Manager"/>
        <s v="Director"/>
        <s v="Watch Manger"/>
        <m u="1"/>
        <s v="Technical Support" u="1"/>
      </sharedItems>
    </cacheField>
    <cacheField name="Total" numFmtId="0">
      <sharedItems containsSemiMixedTypes="0" containsString="0" containsNumber="1" containsInteger="1" minValue="0" maxValue="2374"/>
    </cacheField>
    <cacheField name="Female" numFmtId="0">
      <sharedItems containsString="0" containsBlank="1" containsNumber="1" containsInteger="1" minValue="0" maxValue="248"/>
    </cacheField>
    <cacheField name="Male" numFmtId="0">
      <sharedItems containsSemiMixedTypes="0" containsString="0" containsNumber="1" containsInteger="1" minValue="0" maxValue="2268"/>
    </cacheField>
  </cacheFields>
  <extLst>
    <ext xmlns:x14="http://schemas.microsoft.com/office/spreadsheetml/2009/9/main" uri="{725AE2AE-9491-48be-B2B4-4EB974FC3084}">
      <x14:pivotCacheDefinition pivotCacheId="128"/>
    </ext>
  </extLst>
</pivotCacheDefinition>
</file>

<file path=xl/pivotCache/pivotCacheDefinition6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518.629671527779" createdVersion="6" refreshedVersion="8" minRefreshableVersion="3" recordCount="256" xr:uid="{00000000-000A-0000-FFFF-FFFFC6000000}">
  <cacheSource type="worksheet">
    <worksheetSource name="hrod_HR_FTE_Gender_Role"/>
  </cacheSource>
  <cacheFields count="6">
    <cacheField name="Year" numFmtId="0">
      <sharedItems count="11">
        <s v="2013-14"/>
        <s v="2014-15"/>
        <s v="2015-16"/>
        <s v="2017-18"/>
        <s v="2018-19"/>
        <s v="2019-20"/>
        <s v="2020-21"/>
        <s v="2021-22"/>
        <s v="2022-23"/>
        <s v="2023-24"/>
        <s v="2016-17"/>
      </sharedItems>
    </cacheField>
    <cacheField name="Type" numFmtId="0">
      <sharedItems count="5">
        <s v="Support"/>
        <s v="WT"/>
        <s v="Control"/>
        <s v="RDS"/>
        <s v="RDS Fulltime"/>
      </sharedItems>
    </cacheField>
    <cacheField name="PostConv" numFmtId="0">
      <sharedItems containsBlank="1" count="16">
        <s v="Administration"/>
        <s v="Professional"/>
        <s v="Area Manager"/>
        <s v="Group Manager"/>
        <s v="Station Manager"/>
        <s v="Watch Manager"/>
        <s v="Team Leader"/>
        <s v="Tech Support"/>
        <s v="Firefighter"/>
        <s v="Service Manager"/>
        <s v="Specialist Technical"/>
        <s v="Crew Manager"/>
        <s v="Brigade Manager"/>
        <s v="Director"/>
        <s v="Watch Manger"/>
        <m u="1"/>
      </sharedItems>
    </cacheField>
    <cacheField name="Total" numFmtId="0">
      <sharedItems containsString="0" containsBlank="1" containsNumber="1" minValue="2" maxValue="2373.7600000000002"/>
    </cacheField>
    <cacheField name="Female" numFmtId="0">
      <sharedItems containsString="0" containsBlank="1" containsNumber="1" minValue="0" maxValue="204.51"/>
    </cacheField>
    <cacheField name="Male" numFmtId="0">
      <sharedItems containsString="0" containsBlank="1" containsNumber="1" minValue="0" maxValue="2267.7600000000002"/>
    </cacheField>
  </cacheFields>
  <extLst>
    <ext xmlns:x14="http://schemas.microsoft.com/office/spreadsheetml/2009/9/main" uri="{725AE2AE-9491-48be-B2B4-4EB974FC3084}">
      <x14:pivotCacheDefinition pivotCacheId="145"/>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62.617230555552" createdVersion="6" refreshedVersion="8" minRefreshableVersion="3" recordCount="44" xr:uid="{00000000-000A-0000-FFFF-FFFFBE000000}">
  <cacheSource type="worksheet">
    <worksheetSource name="hrod_HR_CS_RoleArea_Support"/>
  </cacheSource>
  <cacheFields count="12">
    <cacheField name="Year" numFmtId="0">
      <sharedItems count="11">
        <s v="2013-14"/>
        <s v="2014-15"/>
        <s v="2015-16"/>
        <s v="2016-17"/>
        <s v="2017-18"/>
        <s v="2018-19"/>
        <s v="2019-20"/>
        <s v="2020-21"/>
        <s v="2021-22"/>
        <s v="2022-23"/>
        <s v="2023-24"/>
      </sharedItems>
    </cacheField>
    <cacheField name="ReportingLevel" numFmtId="0">
      <sharedItems count="2">
        <s v="4:National"/>
        <s v="3:SDA"/>
      </sharedItems>
    </cacheField>
    <cacheField name="Code" numFmtId="0">
      <sharedItems containsBlank="1"/>
    </cacheField>
    <cacheField name="lvl" numFmtId="0">
      <sharedItems count="5">
        <s v="Scotland"/>
        <s v="West"/>
        <s v="East"/>
        <s v="North"/>
        <s v="NULL" u="1"/>
      </sharedItems>
    </cacheField>
    <cacheField name="Total" numFmtId="0">
      <sharedItems containsSemiMixedTypes="0" containsString="0" containsNumber="1" containsInteger="1" minValue="0" maxValue="920"/>
    </cacheField>
    <cacheField name="Director" numFmtId="0">
      <sharedItems containsString="0" containsBlank="1" containsNumber="1" containsInteger="1" minValue="2" maxValue="4"/>
    </cacheField>
    <cacheField name="Service Manager" numFmtId="0">
      <sharedItems containsSemiMixedTypes="0" containsString="0" containsNumber="1" containsInteger="1" minValue="0" maxValue="87"/>
    </cacheField>
    <cacheField name="Team Leader" numFmtId="0">
      <sharedItems containsSemiMixedTypes="0" containsString="0" containsNumber="1" containsInteger="1" minValue="0" maxValue="36"/>
    </cacheField>
    <cacheField name="Professional" numFmtId="0">
      <sharedItems containsSemiMixedTypes="0" containsString="0" containsNumber="1" containsInteger="1" minValue="0" maxValue="104"/>
    </cacheField>
    <cacheField name="Specialist Technical" numFmtId="0">
      <sharedItems containsSemiMixedTypes="0" containsString="0" containsNumber="1" containsInteger="1" minValue="0" maxValue="470"/>
    </cacheField>
    <cacheField name="Tech Support" numFmtId="0">
      <sharedItems containsSemiMixedTypes="0" containsString="0" containsNumber="1" containsInteger="1" minValue="0" maxValue="149"/>
    </cacheField>
    <cacheField name="Administration" numFmtId="0">
      <sharedItems containsSemiMixedTypes="0" containsString="0" containsNumber="1" containsInteger="1" minValue="0" maxValue="193"/>
    </cacheField>
  </cacheFields>
  <extLst>
    <ext xmlns:x14="http://schemas.microsoft.com/office/spreadsheetml/2009/9/main" uri="{725AE2AE-9491-48be-B2B4-4EB974FC3084}">
      <x14:pivotCacheDefinition pivotCacheId="147"/>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62.663326388887" createdVersion="6" refreshedVersion="8" minRefreshableVersion="3" recordCount="175" xr:uid="{00000000-000A-0000-FFFF-FFFFBF000000}">
  <cacheSource type="worksheet">
    <worksheetSource name="hrod_HR_Vol_RoleArea"/>
  </cacheSource>
  <cacheFields count="8">
    <cacheField name="Year" numFmtId="0">
      <sharedItems containsBlank="1" count="12">
        <s v="2013-14"/>
        <s v="2014-15"/>
        <s v="2015-16"/>
        <s v="2016-17"/>
        <s v="2017-18"/>
        <s v="2018-19"/>
        <s v="2019-20"/>
        <s v="2020-21"/>
        <s v="2021-22"/>
        <s v="2022-23"/>
        <s v="2023-24"/>
        <m u="1"/>
      </sharedItems>
    </cacheField>
    <cacheField name="ReportingLevel" numFmtId="0">
      <sharedItems containsBlank="1" count="2">
        <s v="1:LA"/>
        <m u="1"/>
      </sharedItems>
    </cacheField>
    <cacheField name="Code" numFmtId="0">
      <sharedItems containsBlank="1"/>
    </cacheField>
    <cacheField name="lvl" numFmtId="0">
      <sharedItems containsBlank="1" count="36">
        <s v="Clackmannanshire"/>
        <s v="Dumfries and Galloway"/>
        <s v="East Ayrshire"/>
        <s v="East Lothian"/>
        <s v="East Renfrewshire"/>
        <s v="Na h-Eileanan Siar"/>
        <s v="Falkirk"/>
        <s v="Highland"/>
        <s v="Inverclyde"/>
        <s v="Midlothian"/>
        <s v="Moray"/>
        <s v="North Ayrshire"/>
        <s v="Orkney Islands"/>
        <s v="Perth and Kinross"/>
        <s v="Scottish Borders"/>
        <s v="Shetland Islands"/>
        <s v="South Ayrshire"/>
        <s v="South Lanarkshire"/>
        <s v="Stirling"/>
        <s v="Aberdeen City"/>
        <s v="Aberdeenshire"/>
        <s v="Argyll and Bute"/>
        <s v="City of Edinburgh"/>
        <s v="Renfrewshire"/>
        <s v="West Dunbartonshire"/>
        <s v="West Lothian"/>
        <s v="Angus"/>
        <s v="Dundee City"/>
        <s v="North Lanarkshire"/>
        <s v="East Dunbartonshire"/>
        <s v="Glasgow City"/>
        <s v="Fife"/>
        <m u="1"/>
        <s v="Dumfries and Gallowa" u="1"/>
        <s v="Argyll &amp; Bute" u="1"/>
        <s v="NULL" u="1"/>
      </sharedItems>
    </cacheField>
    <cacheField name="Total" numFmtId="0">
      <sharedItems containsSemiMixedTypes="0" containsString="0" containsNumber="1" containsInteger="1" minValue="0" maxValue="225"/>
    </cacheField>
    <cacheField name="Watch Manager" numFmtId="0">
      <sharedItems containsString="0" containsBlank="1" containsNumber="1" containsInteger="1" minValue="0" maxValue="25"/>
    </cacheField>
    <cacheField name="Crew Manager" numFmtId="0">
      <sharedItems containsString="0" containsBlank="1" containsNumber="1" containsInteger="1" minValue="0" maxValue="47"/>
    </cacheField>
    <cacheField name="Firefighter" numFmtId="0">
      <sharedItems containsSemiMixedTypes="0" containsString="0" containsNumber="1" containsInteger="1" minValue="0" maxValue="180"/>
    </cacheField>
  </cacheFields>
  <extLst>
    <ext xmlns:x14="http://schemas.microsoft.com/office/spreadsheetml/2009/9/main" uri="{725AE2AE-9491-48be-B2B4-4EB974FC3084}">
      <x14:pivotCacheDefinition pivotCacheId="140"/>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eron, Rebecca" refreshedDate="45462.664179861109" createdVersion="8" refreshedVersion="8" minRefreshableVersion="3" recordCount="14" xr:uid="{AD8A7151-81E9-4F92-81C3-53CE0E8FFB89}">
  <cacheSource type="worksheet">
    <worksheetSource name="hrod_HR_Gender_Timeseries_1"/>
  </cacheSource>
  <cacheFields count="13">
    <cacheField name="Year" numFmtId="0">
      <sharedItems count="14">
        <s v="2010-11"/>
        <s v="2017-18"/>
        <s v="2011-12"/>
        <s v="2020-21"/>
        <s v="2012-13"/>
        <s v="2021-22"/>
        <s v="2022-23"/>
        <s v="2013-14"/>
        <s v="2014-15"/>
        <s v="2015-16"/>
        <s v="2016-17"/>
        <s v="2023-24"/>
        <s v="2018-19"/>
        <s v="2019-20"/>
      </sharedItems>
    </cacheField>
    <cacheField name="WTFemale" numFmtId="0">
      <sharedItems containsSemiMixedTypes="0" containsString="0" containsNumber="1" containsInteger="1" minValue="146" maxValue="227"/>
    </cacheField>
    <cacheField name="WTMale" numFmtId="0">
      <sharedItems containsSemiMixedTypes="0" containsString="0" containsNumber="1" containsInteger="1" minValue="3202" maxValue="4055"/>
    </cacheField>
    <cacheField name="RDSFemale" numFmtId="0">
      <sharedItems containsSemiMixedTypes="0" containsString="0" containsNumber="1" containsInteger="1" minValue="158" maxValue="208"/>
    </cacheField>
    <cacheField name="RDSMale" numFmtId="0">
      <sharedItems containsSemiMixedTypes="0" containsString="0" containsNumber="1" containsInteger="1" minValue="2517" maxValue="2903"/>
    </cacheField>
    <cacheField name="RDS FulltimeFemale" numFmtId="0">
      <sharedItems containsString="0" containsBlank="1" containsNumber="1" containsInteger="1" minValue="1" maxValue="11"/>
    </cacheField>
    <cacheField name="RDS FulltimeMale" numFmtId="0">
      <sharedItems containsString="0" containsBlank="1" containsNumber="1" containsInteger="1" minValue="17" maxValue="47"/>
    </cacheField>
    <cacheField name="ControlFemale" numFmtId="0">
      <sharedItems containsSemiMixedTypes="0" containsString="0" containsNumber="1" containsInteger="1" minValue="139" maxValue="203"/>
    </cacheField>
    <cacheField name="ControlMale" numFmtId="0">
      <sharedItems containsSemiMixedTypes="0" containsString="0" containsNumber="1" containsInteger="1" minValue="24" maxValue="38"/>
    </cacheField>
    <cacheField name="SupportFemale" numFmtId="0">
      <sharedItems containsSemiMixedTypes="0" containsString="0" containsNumber="1" containsInteger="1" minValue="427" maxValue="650"/>
    </cacheField>
    <cacheField name="SupportMale" numFmtId="0">
      <sharedItems containsSemiMixedTypes="0" containsString="0" containsNumber="1" containsInteger="1" minValue="365" maxValue="487"/>
    </cacheField>
    <cacheField name="VolFemale" numFmtId="0">
      <sharedItems containsSemiMixedTypes="0" containsString="0" containsNumber="1" containsInteger="1" minValue="40" maxValue="63"/>
    </cacheField>
    <cacheField name="VolMale" numFmtId="0">
      <sharedItems containsSemiMixedTypes="0" containsString="0" containsNumber="1" containsInteger="1" minValue="226" maxValue="4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n v="465"/>
    <n v="28"/>
    <n v="37"/>
    <n v="22"/>
    <n v="15"/>
    <n v="30"/>
    <n v="23"/>
    <n v="620"/>
    <m/>
    <n v="59"/>
    <n v="31"/>
    <n v="805"/>
    <n v="1515"/>
  </r>
  <r>
    <x v="1"/>
    <n v="452"/>
    <n v="31"/>
    <n v="21"/>
    <m/>
    <n v="19"/>
    <n v="29"/>
    <n v="25"/>
    <n v="577"/>
    <m/>
    <n v="65"/>
    <n v="31"/>
    <n v="628"/>
    <n v="1301"/>
  </r>
  <r>
    <x v="2"/>
    <n v="449"/>
    <n v="14"/>
    <n v="23"/>
    <n v="25"/>
    <n v="16"/>
    <n v="36"/>
    <n v="24"/>
    <n v="587"/>
    <m/>
    <n v="85"/>
    <n v="27"/>
    <n v="875"/>
    <n v="1574"/>
  </r>
  <r>
    <x v="3"/>
    <n v="438"/>
    <n v="12"/>
    <n v="14"/>
    <n v="24"/>
    <n v="18"/>
    <n v="39"/>
    <n v="47"/>
    <n v="592"/>
    <m/>
    <n v="65"/>
    <n v="42"/>
    <n v="811"/>
    <n v="1510"/>
  </r>
  <r>
    <x v="4"/>
    <n v="418"/>
    <n v="26"/>
    <n v="43"/>
    <n v="26"/>
    <n v="17"/>
    <n v="34"/>
    <n v="68"/>
    <n v="632"/>
    <m/>
    <n v="65"/>
    <n v="62"/>
    <n v="788"/>
    <n v="1547"/>
  </r>
  <r>
    <x v="5"/>
    <n v="417"/>
    <n v="25"/>
    <n v="43"/>
    <n v="27"/>
    <n v="20"/>
    <n v="41"/>
    <n v="59"/>
    <n v="632"/>
    <n v="95"/>
    <n v="74"/>
    <n v="64"/>
    <n v="641"/>
    <n v="1506"/>
  </r>
  <r>
    <x v="6"/>
    <n v="431"/>
    <n v="28"/>
    <n v="42"/>
    <n v="39"/>
    <n v="25"/>
    <n v="39"/>
    <n v="62"/>
    <n v="666"/>
    <n v="198"/>
    <n v="90"/>
    <n v="65"/>
    <n v="532"/>
    <n v="1551"/>
  </r>
  <r>
    <x v="7"/>
    <n v="421"/>
    <n v="26"/>
    <n v="39"/>
    <n v="41"/>
    <n v="29"/>
    <n v="36"/>
    <n v="63"/>
    <n v="655"/>
    <n v="285"/>
    <n v="86"/>
    <n v="71"/>
    <n v="470"/>
    <n v="1567"/>
  </r>
  <r>
    <x v="8"/>
    <n v="445"/>
    <n v="25"/>
    <n v="38"/>
    <n v="24"/>
    <n v="28"/>
    <n v="30"/>
    <n v="60"/>
    <n v="650"/>
    <n v="335"/>
    <n v="94"/>
    <n v="61"/>
    <n v="491"/>
    <n v="1631"/>
  </r>
  <r>
    <x v="9"/>
    <n v="427"/>
    <n v="25"/>
    <n v="23"/>
    <n v="25"/>
    <n v="28"/>
    <n v="30"/>
    <n v="77"/>
    <n v="635"/>
    <n v="313"/>
    <n v="109"/>
    <n v="60"/>
    <n v="560"/>
    <n v="1677"/>
  </r>
  <r>
    <x v="10"/>
    <n v="429"/>
    <n v="25"/>
    <n v="23"/>
    <n v="24"/>
    <n v="28"/>
    <n v="31"/>
    <n v="77"/>
    <n v="637"/>
    <n v="319"/>
    <n v="90"/>
    <n v="55"/>
    <n v="527"/>
    <n v="1628"/>
  </r>
  <r>
    <x v="11"/>
    <n v="424"/>
    <n v="16"/>
    <n v="21"/>
    <n v="24"/>
    <n v="28"/>
    <n v="35"/>
    <n v="73"/>
    <n v="621"/>
    <n v="327"/>
    <n v="85"/>
    <n v="61"/>
    <n v="491"/>
    <n v="1585"/>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
  <r>
    <x v="0"/>
    <x v="0"/>
    <n v="3"/>
    <n v="8"/>
    <n v="0"/>
    <n v="0"/>
    <n v="2"/>
    <n v="0"/>
    <n v="13"/>
  </r>
  <r>
    <x v="0"/>
    <x v="1"/>
    <n v="0"/>
    <n v="0"/>
    <n v="0"/>
    <n v="0"/>
    <n v="4"/>
    <n v="0"/>
    <n v="4"/>
  </r>
  <r>
    <x v="0"/>
    <x v="2"/>
    <n v="4"/>
    <n v="2"/>
    <n v="0"/>
    <n v="0"/>
    <n v="1"/>
    <n v="0"/>
    <n v="7"/>
  </r>
  <r>
    <x v="0"/>
    <x v="3"/>
    <n v="13"/>
    <n v="144"/>
    <n v="0"/>
    <n v="9"/>
    <n v="49"/>
    <n v="32"/>
    <n v="247"/>
  </r>
  <r>
    <x v="0"/>
    <x v="4"/>
    <n v="46"/>
    <n v="12"/>
    <n v="0"/>
    <n v="1"/>
    <n v="3"/>
    <n v="3"/>
    <n v="65"/>
  </r>
  <r>
    <x v="0"/>
    <x v="5"/>
    <n v="110"/>
    <n v="18"/>
    <n v="0"/>
    <n v="4"/>
    <n v="12"/>
    <n v="3"/>
    <n v="147"/>
  </r>
  <r>
    <x v="0"/>
    <x v="6"/>
    <n v="0"/>
    <n v="0"/>
    <n v="0"/>
    <n v="0"/>
    <n v="12"/>
    <n v="0"/>
    <n v="12"/>
  </r>
  <r>
    <x v="0"/>
    <x v="7"/>
    <n v="8"/>
    <n v="4"/>
    <n v="0"/>
    <n v="0"/>
    <n v="1"/>
    <n v="0"/>
    <n v="13"/>
  </r>
  <r>
    <x v="0"/>
    <x v="8"/>
    <n v="2"/>
    <n v="0"/>
    <n v="0"/>
    <n v="0"/>
    <n v="0"/>
    <n v="0"/>
    <n v="2"/>
  </r>
  <r>
    <x v="0"/>
    <x v="9"/>
    <n v="0"/>
    <n v="0"/>
    <n v="0"/>
    <n v="0"/>
    <n v="47"/>
    <n v="0"/>
    <n v="47"/>
  </r>
  <r>
    <x v="0"/>
    <x v="10"/>
    <n v="0"/>
    <n v="0"/>
    <n v="0"/>
    <n v="0"/>
    <n v="17"/>
    <n v="0"/>
    <n v="17"/>
  </r>
  <r>
    <x v="1"/>
    <x v="0"/>
    <n v="4"/>
    <n v="2"/>
    <n v="0"/>
    <n v="0"/>
    <n v="1"/>
    <n v="0"/>
    <n v="7"/>
  </r>
  <r>
    <x v="1"/>
    <x v="1"/>
    <n v="0"/>
    <n v="0"/>
    <n v="0"/>
    <n v="0"/>
    <n v="7"/>
    <n v="0"/>
    <n v="7"/>
  </r>
  <r>
    <x v="1"/>
    <x v="2"/>
    <n v="2"/>
    <n v="4"/>
    <n v="0"/>
    <n v="1"/>
    <n v="0"/>
    <n v="2"/>
    <n v="9"/>
  </r>
  <r>
    <x v="1"/>
    <x v="3"/>
    <n v="21"/>
    <n v="163"/>
    <n v="0"/>
    <n v="5"/>
    <n v="29"/>
    <n v="18"/>
    <n v="236"/>
  </r>
  <r>
    <x v="1"/>
    <x v="4"/>
    <n v="16"/>
    <n v="3"/>
    <n v="0"/>
    <n v="0"/>
    <n v="1"/>
    <n v="1"/>
    <n v="21"/>
  </r>
  <r>
    <x v="1"/>
    <x v="5"/>
    <n v="152"/>
    <n v="41"/>
    <n v="0"/>
    <n v="6"/>
    <n v="14"/>
    <n v="4"/>
    <n v="217"/>
  </r>
  <r>
    <x v="1"/>
    <x v="7"/>
    <n v="7"/>
    <n v="5"/>
    <n v="0"/>
    <n v="1"/>
    <n v="1"/>
    <n v="0"/>
    <n v="14"/>
  </r>
  <r>
    <x v="2"/>
    <x v="0"/>
    <n v="3"/>
    <n v="6"/>
    <n v="0"/>
    <n v="2"/>
    <n v="1"/>
    <n v="0"/>
    <n v="12"/>
  </r>
  <r>
    <x v="2"/>
    <x v="1"/>
    <n v="0"/>
    <n v="0"/>
    <n v="0"/>
    <n v="2"/>
    <n v="7"/>
    <n v="0"/>
    <n v="9"/>
  </r>
  <r>
    <x v="2"/>
    <x v="2"/>
    <n v="2"/>
    <n v="3"/>
    <n v="0"/>
    <n v="0"/>
    <n v="2"/>
    <n v="0"/>
    <n v="7"/>
  </r>
  <r>
    <x v="2"/>
    <x v="3"/>
    <n v="8"/>
    <n v="130"/>
    <n v="0"/>
    <n v="0"/>
    <n v="20"/>
    <n v="17"/>
    <n v="175"/>
  </r>
  <r>
    <x v="2"/>
    <x v="5"/>
    <n v="175"/>
    <n v="44"/>
    <n v="0"/>
    <n v="5"/>
    <n v="13"/>
    <n v="2"/>
    <n v="239"/>
  </r>
  <r>
    <x v="2"/>
    <x v="6"/>
    <n v="0"/>
    <n v="1"/>
    <n v="0"/>
    <n v="0"/>
    <n v="0"/>
    <n v="1"/>
    <n v="2"/>
  </r>
  <r>
    <x v="2"/>
    <x v="7"/>
    <n v="5"/>
    <n v="5"/>
    <n v="0"/>
    <n v="1"/>
    <n v="1"/>
    <n v="0"/>
    <n v="12"/>
  </r>
  <r>
    <x v="3"/>
    <x v="0"/>
    <n v="1"/>
    <n v="9"/>
    <n v="0"/>
    <n v="0"/>
    <n v="1"/>
    <n v="0"/>
    <n v="11"/>
  </r>
  <r>
    <x v="3"/>
    <x v="1"/>
    <n v="1"/>
    <n v="0"/>
    <n v="0"/>
    <n v="1"/>
    <n v="12"/>
    <n v="0"/>
    <n v="14"/>
  </r>
  <r>
    <x v="3"/>
    <x v="2"/>
    <n v="2"/>
    <n v="2"/>
    <n v="0"/>
    <n v="0"/>
    <n v="2"/>
    <n v="0"/>
    <n v="6"/>
  </r>
  <r>
    <x v="3"/>
    <x v="3"/>
    <n v="19"/>
    <n v="174"/>
    <n v="0"/>
    <n v="10"/>
    <n v="42"/>
    <n v="26"/>
    <n v="271"/>
  </r>
  <r>
    <x v="3"/>
    <x v="5"/>
    <n v="173"/>
    <n v="61"/>
    <n v="0"/>
    <n v="8"/>
    <n v="15"/>
    <n v="6"/>
    <n v="263"/>
  </r>
  <r>
    <x v="3"/>
    <x v="7"/>
    <n v="3"/>
    <n v="2"/>
    <n v="0"/>
    <n v="1"/>
    <n v="4"/>
    <n v="0"/>
    <n v="10"/>
  </r>
  <r>
    <x v="3"/>
    <x v="8"/>
    <n v="2"/>
    <n v="0"/>
    <n v="0"/>
    <n v="0"/>
    <n v="0"/>
    <n v="0"/>
    <n v="2"/>
  </r>
  <r>
    <x v="4"/>
    <x v="0"/>
    <n v="2"/>
    <n v="5"/>
    <n v="0"/>
    <n v="1"/>
    <n v="3"/>
    <n v="0"/>
    <n v="11"/>
  </r>
  <r>
    <x v="4"/>
    <x v="1"/>
    <n v="0"/>
    <n v="0"/>
    <n v="0"/>
    <n v="1"/>
    <n v="3"/>
    <n v="0"/>
    <n v="4"/>
  </r>
  <r>
    <x v="4"/>
    <x v="2"/>
    <n v="3"/>
    <n v="3"/>
    <n v="0"/>
    <n v="1"/>
    <n v="2"/>
    <n v="0"/>
    <n v="9"/>
  </r>
  <r>
    <x v="4"/>
    <x v="3"/>
    <n v="39"/>
    <n v="145"/>
    <n v="2"/>
    <n v="18"/>
    <n v="67"/>
    <n v="25"/>
    <n v="296"/>
  </r>
  <r>
    <x v="4"/>
    <x v="5"/>
    <n v="289"/>
    <n v="56"/>
    <n v="0"/>
    <n v="7"/>
    <n v="17"/>
    <n v="3"/>
    <n v="372"/>
  </r>
  <r>
    <x v="4"/>
    <x v="6"/>
    <n v="0"/>
    <n v="0"/>
    <n v="0"/>
    <n v="0"/>
    <n v="1"/>
    <n v="0"/>
    <n v="1"/>
  </r>
  <r>
    <x v="4"/>
    <x v="7"/>
    <n v="2"/>
    <n v="7"/>
    <n v="0"/>
    <n v="0"/>
    <n v="0"/>
    <n v="0"/>
    <n v="9"/>
  </r>
  <r>
    <x v="4"/>
    <x v="8"/>
    <n v="1"/>
    <n v="0"/>
    <n v="0"/>
    <n v="0"/>
    <n v="0"/>
    <n v="0"/>
    <n v="1"/>
  </r>
  <r>
    <x v="5"/>
    <x v="0"/>
    <n v="4"/>
    <n v="5"/>
    <n v="1"/>
    <n v="0"/>
    <n v="1"/>
    <n v="0"/>
    <n v="11"/>
  </r>
  <r>
    <x v="5"/>
    <x v="1"/>
    <n v="0"/>
    <n v="0"/>
    <n v="0"/>
    <n v="0"/>
    <n v="16"/>
    <n v="0"/>
    <n v="16"/>
  </r>
  <r>
    <x v="5"/>
    <x v="2"/>
    <n v="3"/>
    <n v="2"/>
    <n v="0"/>
    <n v="0"/>
    <n v="0"/>
    <n v="0"/>
    <n v="5"/>
  </r>
  <r>
    <x v="5"/>
    <x v="11"/>
    <n v="0"/>
    <n v="0"/>
    <n v="0"/>
    <n v="0"/>
    <n v="0"/>
    <n v="2"/>
    <n v="2"/>
  </r>
  <r>
    <x v="5"/>
    <x v="3"/>
    <n v="28"/>
    <n v="175"/>
    <n v="1"/>
    <n v="13"/>
    <n v="39"/>
    <n v="13"/>
    <n v="269"/>
  </r>
  <r>
    <x v="5"/>
    <x v="4"/>
    <n v="0"/>
    <n v="1"/>
    <n v="0"/>
    <n v="0"/>
    <n v="0"/>
    <n v="0"/>
    <n v="1"/>
  </r>
  <r>
    <x v="5"/>
    <x v="5"/>
    <n v="117"/>
    <n v="57"/>
    <n v="0"/>
    <n v="1"/>
    <n v="20"/>
    <n v="2"/>
    <n v="197"/>
  </r>
  <r>
    <x v="5"/>
    <x v="7"/>
    <n v="4"/>
    <n v="3"/>
    <n v="0"/>
    <n v="0"/>
    <n v="0"/>
    <n v="0"/>
    <n v="7"/>
  </r>
  <r>
    <x v="5"/>
    <x v="8"/>
    <n v="2"/>
    <n v="0"/>
    <n v="0"/>
    <n v="0"/>
    <n v="0"/>
    <n v="0"/>
    <n v="2"/>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
  <r>
    <x v="0"/>
    <n v="2955"/>
    <n v="264"/>
    <n v="358"/>
    <n v="60"/>
  </r>
  <r>
    <x v="1"/>
    <n v="2966"/>
    <n v="270"/>
    <n v="351"/>
    <n v="49"/>
  </r>
  <r>
    <x v="2"/>
    <n v="2903"/>
    <n v="271"/>
    <n v="348"/>
    <n v="59"/>
  </r>
  <r>
    <x v="3"/>
    <n v="2843"/>
    <n v="273"/>
    <n v="349"/>
    <n v="65"/>
  </r>
  <r>
    <x v="4"/>
    <n v="2798"/>
    <n v="262"/>
    <n v="327"/>
    <n v="103"/>
  </r>
  <r>
    <x v="5"/>
    <n v="2823"/>
    <n v="263"/>
    <n v="335"/>
    <n v="1"/>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n v="3490"/>
    <n v="2735"/>
    <n v="55"/>
    <n v="172"/>
    <n v="901"/>
    <n v="266"/>
  </r>
  <r>
    <x v="1"/>
    <n v="4001"/>
    <n v="2940"/>
    <m/>
    <n v="223"/>
    <n v="961"/>
    <n v="359"/>
  </r>
  <r>
    <x v="2"/>
    <n v="3546"/>
    <n v="2863"/>
    <m/>
    <n v="189"/>
    <n v="846"/>
    <n v="336"/>
  </r>
  <r>
    <x v="3"/>
    <n v="4159"/>
    <n v="3052"/>
    <m/>
    <n v="234"/>
    <n v="1136"/>
    <n v="459"/>
  </r>
  <r>
    <x v="4"/>
    <n v="3422"/>
    <n v="2708"/>
    <n v="55"/>
    <n v="171"/>
    <n v="887"/>
    <n v="269"/>
  </r>
  <r>
    <x v="5"/>
    <n v="4151"/>
    <n v="3076"/>
    <m/>
    <n v="234"/>
    <n v="1086"/>
    <n v="417"/>
  </r>
  <r>
    <x v="6"/>
    <n v="3856"/>
    <n v="2950"/>
    <m/>
    <n v="230"/>
    <n v="867"/>
    <n v="382"/>
  </r>
  <r>
    <x v="7"/>
    <n v="3637"/>
    <n v="2935"/>
    <n v="18"/>
    <n v="207"/>
    <n v="792"/>
    <n v="321"/>
  </r>
  <r>
    <x v="8"/>
    <n v="3636"/>
    <n v="2937"/>
    <n v="36"/>
    <n v="188"/>
    <n v="817"/>
    <n v="315"/>
  </r>
  <r>
    <x v="9"/>
    <n v="3690"/>
    <n v="2870"/>
    <m/>
    <n v="203"/>
    <n v="828"/>
    <n v="342"/>
  </r>
  <r>
    <x v="10"/>
    <n v="3645"/>
    <n v="2870"/>
    <m/>
    <n v="165"/>
    <n v="838"/>
    <n v="320"/>
  </r>
  <r>
    <x v="11"/>
    <n v="3581"/>
    <n v="2872"/>
    <n v="54"/>
    <n v="182"/>
    <n v="835"/>
    <n v="303"/>
  </r>
  <r>
    <x v="12"/>
    <n v="4206"/>
    <n v="3066"/>
    <m/>
    <n v="233"/>
    <n v="1114"/>
    <n v="437"/>
  </r>
  <r>
    <x v="13"/>
    <n v="3530"/>
    <n v="2758"/>
    <n v="53"/>
    <n v="174"/>
    <n v="920"/>
    <n v="277"/>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
  <r>
    <x v="0"/>
    <x v="0"/>
    <x v="0"/>
    <s v="S12000018"/>
    <n v="72"/>
    <n v="0"/>
    <n v="0"/>
    <n v="0"/>
  </r>
  <r>
    <x v="0"/>
    <x v="0"/>
    <x v="1"/>
    <s v="S12000044"/>
    <n v="166"/>
    <n v="0"/>
    <n v="0"/>
    <n v="0"/>
  </r>
  <r>
    <x v="0"/>
    <x v="0"/>
    <x v="2"/>
    <s v="S12000048"/>
    <n v="69"/>
    <n v="0"/>
    <n v="0"/>
    <n v="0"/>
  </r>
  <r>
    <x v="1"/>
    <x v="0"/>
    <x v="3"/>
    <s v="S40000004"/>
    <n v="269"/>
    <n v="0"/>
    <n v="0"/>
    <n v="0"/>
  </r>
  <r>
    <x v="2"/>
    <x v="0"/>
    <x v="1"/>
    <s v="S40000003"/>
    <n v="160"/>
    <n v="0"/>
    <n v="0"/>
    <n v="0"/>
  </r>
  <r>
    <x v="2"/>
    <x v="1"/>
    <x v="4"/>
    <s v="S40000003"/>
    <n v="0"/>
    <n v="11"/>
    <n v="15"/>
    <n v="0"/>
  </r>
  <r>
    <x v="2"/>
    <x v="1"/>
    <x v="5"/>
    <s v="S40000004"/>
    <n v="0"/>
    <n v="8"/>
    <n v="11"/>
    <n v="0"/>
  </r>
  <r>
    <x v="2"/>
    <x v="1"/>
    <x v="1"/>
    <s v="S40000003"/>
    <n v="0"/>
    <n v="8"/>
    <n v="7"/>
    <n v="0"/>
  </r>
  <r>
    <x v="3"/>
    <x v="0"/>
    <x v="6"/>
    <m/>
    <n v="154"/>
    <n v="0"/>
    <n v="0"/>
    <n v="0"/>
  </r>
  <r>
    <x v="3"/>
    <x v="0"/>
    <x v="7"/>
    <m/>
    <n v="30"/>
    <n v="0"/>
    <n v="0"/>
    <n v="0"/>
  </r>
  <r>
    <x v="3"/>
    <x v="1"/>
    <x v="4"/>
    <m/>
    <n v="0"/>
    <n v="13"/>
    <n v="15"/>
    <n v="0"/>
  </r>
  <r>
    <x v="3"/>
    <x v="1"/>
    <x v="8"/>
    <m/>
    <n v="0"/>
    <n v="15"/>
    <n v="12"/>
    <n v="0"/>
  </r>
  <r>
    <x v="3"/>
    <x v="1"/>
    <x v="5"/>
    <s v="S40000004"/>
    <n v="0"/>
    <n v="0"/>
    <n v="2"/>
    <n v="0"/>
  </r>
  <r>
    <x v="4"/>
    <x v="0"/>
    <x v="9"/>
    <m/>
    <n v="24"/>
    <n v="0"/>
    <n v="0"/>
    <n v="0"/>
  </r>
  <r>
    <x v="4"/>
    <x v="0"/>
    <x v="10"/>
    <m/>
    <n v="50"/>
    <n v="0"/>
    <n v="0"/>
    <n v="0"/>
  </r>
  <r>
    <x v="4"/>
    <x v="0"/>
    <x v="11"/>
    <m/>
    <n v="51"/>
    <n v="0"/>
    <n v="0"/>
    <n v="0"/>
  </r>
  <r>
    <x v="4"/>
    <x v="0"/>
    <x v="12"/>
    <m/>
    <n v="71"/>
    <n v="0"/>
    <n v="0"/>
    <n v="0"/>
  </r>
  <r>
    <x v="4"/>
    <x v="0"/>
    <x v="13"/>
    <s v="S40000004"/>
    <n v="24"/>
    <n v="0"/>
    <n v="0"/>
    <n v="0"/>
  </r>
  <r>
    <x v="4"/>
    <x v="0"/>
    <x v="14"/>
    <m/>
    <n v="481"/>
    <n v="0"/>
    <n v="10"/>
    <n v="0"/>
  </r>
  <r>
    <x v="4"/>
    <x v="0"/>
    <x v="15"/>
    <m/>
    <n v="75"/>
    <n v="0"/>
    <n v="0"/>
    <n v="0"/>
  </r>
  <r>
    <x v="4"/>
    <x v="1"/>
    <x v="14"/>
    <m/>
    <n v="0"/>
    <n v="14"/>
    <n v="9"/>
    <n v="0"/>
  </r>
  <r>
    <x v="4"/>
    <x v="2"/>
    <x v="16"/>
    <m/>
    <n v="0"/>
    <n v="11"/>
    <n v="34"/>
    <n v="25"/>
  </r>
  <r>
    <x v="5"/>
    <x v="0"/>
    <x v="17"/>
    <m/>
    <n v="28"/>
    <n v="0"/>
    <n v="0"/>
    <n v="0"/>
  </r>
  <r>
    <x v="5"/>
    <x v="0"/>
    <x v="18"/>
    <m/>
    <n v="47"/>
    <n v="0"/>
    <n v="1"/>
    <n v="0"/>
  </r>
  <r>
    <x v="5"/>
    <x v="0"/>
    <x v="1"/>
    <m/>
    <n v="167"/>
    <n v="0"/>
    <n v="2"/>
    <n v="0"/>
  </r>
  <r>
    <x v="5"/>
    <x v="0"/>
    <x v="19"/>
    <m/>
    <n v="102"/>
    <n v="0"/>
    <n v="0"/>
    <n v="0"/>
  </r>
  <r>
    <x v="5"/>
    <x v="0"/>
    <x v="20"/>
    <m/>
    <n v="75"/>
    <n v="0"/>
    <n v="0"/>
    <n v="0"/>
  </r>
  <r>
    <x v="5"/>
    <x v="2"/>
    <x v="21"/>
    <s v="S40000004"/>
    <n v="0"/>
    <n v="8"/>
    <n v="21"/>
    <n v="0"/>
  </r>
  <r>
    <x v="0"/>
    <x v="0"/>
    <x v="19"/>
    <s v="S12000038"/>
    <n v="99"/>
    <n v="0"/>
    <n v="0"/>
    <n v="0"/>
  </r>
  <r>
    <x v="0"/>
    <x v="0"/>
    <x v="22"/>
    <s v="S40000004"/>
    <n v="56"/>
    <n v="0"/>
    <n v="0"/>
    <n v="0"/>
  </r>
  <r>
    <x v="0"/>
    <x v="1"/>
    <x v="23"/>
    <s v="S40000004"/>
    <n v="0"/>
    <n v="10"/>
    <n v="20"/>
    <n v="0"/>
  </r>
  <r>
    <x v="1"/>
    <x v="0"/>
    <x v="24"/>
    <s v="S40000005"/>
    <n v="182"/>
    <n v="0"/>
    <n v="0"/>
    <n v="0"/>
  </r>
  <r>
    <x v="1"/>
    <x v="0"/>
    <x v="25"/>
    <s v="S40000005"/>
    <n v="71"/>
    <n v="0"/>
    <n v="0"/>
    <n v="0"/>
  </r>
  <r>
    <x v="1"/>
    <x v="0"/>
    <x v="0"/>
    <s v="S40000003"/>
    <n v="70"/>
    <n v="0"/>
    <n v="0"/>
    <n v="0"/>
  </r>
  <r>
    <x v="1"/>
    <x v="0"/>
    <x v="1"/>
    <s v="S40000003"/>
    <n v="163"/>
    <n v="0"/>
    <n v="0"/>
    <n v="0"/>
  </r>
  <r>
    <x v="1"/>
    <x v="0"/>
    <x v="19"/>
    <s v="S40000003"/>
    <n v="102"/>
    <n v="0"/>
    <n v="0"/>
    <n v="0"/>
  </r>
  <r>
    <x v="1"/>
    <x v="0"/>
    <x v="20"/>
    <s v="S40000003"/>
    <n v="73"/>
    <n v="0"/>
    <n v="0"/>
    <n v="0"/>
  </r>
  <r>
    <x v="1"/>
    <x v="1"/>
    <x v="5"/>
    <s v="S40000004"/>
    <n v="0"/>
    <n v="9"/>
    <n v="10"/>
    <n v="0"/>
  </r>
  <r>
    <x v="1"/>
    <x v="1"/>
    <x v="26"/>
    <s v="S40000004"/>
    <n v="0"/>
    <n v="9"/>
    <n v="10"/>
    <n v="0"/>
  </r>
  <r>
    <x v="2"/>
    <x v="0"/>
    <x v="11"/>
    <s v="S40000003"/>
    <n v="51"/>
    <n v="0"/>
    <n v="0"/>
    <n v="0"/>
  </r>
  <r>
    <x v="2"/>
    <x v="0"/>
    <x v="12"/>
    <s v="S40000003"/>
    <n v="76"/>
    <n v="0"/>
    <n v="0"/>
    <n v="0"/>
  </r>
  <r>
    <x v="2"/>
    <x v="0"/>
    <x v="13"/>
    <s v="S40000004"/>
    <n v="26"/>
    <n v="0"/>
    <n v="0"/>
    <n v="0"/>
  </r>
  <r>
    <x v="2"/>
    <x v="0"/>
    <x v="15"/>
    <s v="S40000003"/>
    <n v="75"/>
    <n v="0"/>
    <n v="0"/>
    <n v="0"/>
  </r>
  <r>
    <x v="2"/>
    <x v="1"/>
    <x v="14"/>
    <s v="S40000003"/>
    <n v="0"/>
    <n v="15"/>
    <n v="11"/>
    <n v="0"/>
  </r>
  <r>
    <x v="2"/>
    <x v="3"/>
    <x v="27"/>
    <s v="S40000004"/>
    <n v="0"/>
    <n v="0"/>
    <n v="6"/>
    <n v="0"/>
  </r>
  <r>
    <x v="3"/>
    <x v="1"/>
    <x v="23"/>
    <m/>
    <n v="0"/>
    <n v="9"/>
    <n v="13"/>
    <n v="0"/>
  </r>
  <r>
    <x v="3"/>
    <x v="3"/>
    <x v="27"/>
    <s v="S40000004"/>
    <n v="0"/>
    <n v="0"/>
    <n v="3"/>
    <n v="0"/>
  </r>
  <r>
    <x v="4"/>
    <x v="0"/>
    <x v="6"/>
    <m/>
    <n v="150"/>
    <n v="0"/>
    <n v="5"/>
    <n v="0"/>
  </r>
  <r>
    <x v="4"/>
    <x v="0"/>
    <x v="28"/>
    <s v="S40000004"/>
    <n v="24"/>
    <n v="0"/>
    <n v="1"/>
    <n v="0"/>
  </r>
  <r>
    <x v="4"/>
    <x v="0"/>
    <x v="0"/>
    <m/>
    <n v="67"/>
    <n v="0"/>
    <n v="0"/>
    <n v="0"/>
  </r>
  <r>
    <x v="4"/>
    <x v="0"/>
    <x v="22"/>
    <m/>
    <n v="0"/>
    <n v="0"/>
    <n v="2"/>
    <n v="0"/>
  </r>
  <r>
    <x v="4"/>
    <x v="1"/>
    <x v="29"/>
    <m/>
    <n v="0"/>
    <n v="15"/>
    <n v="9"/>
    <n v="0"/>
  </r>
  <r>
    <x v="4"/>
    <x v="1"/>
    <x v="30"/>
    <m/>
    <n v="0"/>
    <n v="12"/>
    <n v="11"/>
    <n v="0"/>
  </r>
  <r>
    <x v="5"/>
    <x v="0"/>
    <x v="13"/>
    <s v="S40000004"/>
    <n v="25"/>
    <n v="0"/>
    <n v="0"/>
    <n v="0"/>
  </r>
  <r>
    <x v="5"/>
    <x v="0"/>
    <x v="31"/>
    <s v="S40000004"/>
    <n v="26"/>
    <n v="0"/>
    <n v="3"/>
    <n v="0"/>
  </r>
  <r>
    <x v="5"/>
    <x v="1"/>
    <x v="32"/>
    <m/>
    <n v="0"/>
    <n v="10"/>
    <n v="0"/>
    <n v="0"/>
  </r>
  <r>
    <x v="5"/>
    <x v="2"/>
    <x v="16"/>
    <m/>
    <n v="0"/>
    <n v="12"/>
    <n v="40"/>
    <n v="0"/>
  </r>
  <r>
    <x v="5"/>
    <x v="3"/>
    <x v="27"/>
    <s v="S92000003"/>
    <n v="0"/>
    <n v="56"/>
    <n v="28"/>
    <n v="0"/>
  </r>
  <r>
    <x v="0"/>
    <x v="0"/>
    <x v="11"/>
    <s v="S12000006"/>
    <n v="53"/>
    <n v="0"/>
    <n v="0"/>
    <n v="0"/>
  </r>
  <r>
    <x v="0"/>
    <x v="0"/>
    <x v="13"/>
    <s v="S40000004"/>
    <n v="24"/>
    <n v="0"/>
    <n v="0"/>
    <n v="0"/>
  </r>
  <r>
    <x v="0"/>
    <x v="0"/>
    <x v="25"/>
    <s v="S12000017"/>
    <n v="70"/>
    <n v="0"/>
    <n v="0"/>
    <n v="0"/>
  </r>
  <r>
    <x v="0"/>
    <x v="0"/>
    <x v="33"/>
    <s v="S12000029"/>
    <n v="167"/>
    <n v="0"/>
    <n v="0"/>
    <n v="0"/>
  </r>
  <r>
    <x v="0"/>
    <x v="0"/>
    <x v="20"/>
    <s v="S12000039"/>
    <n v="73"/>
    <n v="0"/>
    <n v="0"/>
    <n v="0"/>
  </r>
  <r>
    <x v="0"/>
    <x v="1"/>
    <x v="3"/>
    <s v="S40000004"/>
    <n v="0"/>
    <n v="8"/>
    <n v="10"/>
    <n v="0"/>
  </r>
  <r>
    <x v="0"/>
    <x v="1"/>
    <x v="32"/>
    <s v="S39000017"/>
    <n v="0"/>
    <n v="9"/>
    <n v="7"/>
    <n v="0"/>
  </r>
  <r>
    <x v="1"/>
    <x v="0"/>
    <x v="18"/>
    <s v="S40000003"/>
    <n v="49"/>
    <n v="0"/>
    <n v="0"/>
    <n v="0"/>
  </r>
  <r>
    <x v="1"/>
    <x v="0"/>
    <x v="2"/>
    <s v="S40000005"/>
    <n v="67"/>
    <n v="0"/>
    <n v="0"/>
    <n v="0"/>
  </r>
  <r>
    <x v="1"/>
    <x v="1"/>
    <x v="4"/>
    <s v="S40000003"/>
    <n v="0"/>
    <n v="12"/>
    <n v="16"/>
    <n v="0"/>
  </r>
  <r>
    <x v="1"/>
    <x v="1"/>
    <x v="30"/>
    <s v="S40000005"/>
    <n v="0"/>
    <n v="14"/>
    <n v="17"/>
    <n v="0"/>
  </r>
  <r>
    <x v="1"/>
    <x v="1"/>
    <x v="1"/>
    <s v="S40000003"/>
    <n v="0"/>
    <n v="8"/>
    <n v="8"/>
    <n v="0"/>
  </r>
  <r>
    <x v="1"/>
    <x v="2"/>
    <x v="34"/>
    <s v="S40000003"/>
    <n v="0"/>
    <n v="27"/>
    <n v="76"/>
    <n v="0"/>
  </r>
  <r>
    <x v="1"/>
    <x v="3"/>
    <x v="27"/>
    <s v="S92000003"/>
    <n v="0"/>
    <n v="34"/>
    <n v="7"/>
    <n v="49"/>
  </r>
  <r>
    <x v="2"/>
    <x v="0"/>
    <x v="35"/>
    <s v="S40000003"/>
    <n v="48"/>
    <n v="0"/>
    <n v="0"/>
    <n v="0"/>
  </r>
  <r>
    <x v="2"/>
    <x v="1"/>
    <x v="36"/>
    <s v="S40000004"/>
    <n v="0"/>
    <n v="11"/>
    <n v="17"/>
    <n v="0"/>
  </r>
  <r>
    <x v="3"/>
    <x v="0"/>
    <x v="11"/>
    <m/>
    <n v="50"/>
    <n v="0"/>
    <n v="0"/>
    <n v="0"/>
  </r>
  <r>
    <x v="3"/>
    <x v="0"/>
    <x v="24"/>
    <m/>
    <n v="174"/>
    <n v="0"/>
    <n v="0"/>
    <n v="0"/>
  </r>
  <r>
    <x v="3"/>
    <x v="0"/>
    <x v="12"/>
    <m/>
    <n v="75"/>
    <n v="0"/>
    <n v="0"/>
    <n v="0"/>
  </r>
  <r>
    <x v="3"/>
    <x v="0"/>
    <x v="13"/>
    <s v="S40000004"/>
    <n v="24"/>
    <n v="0"/>
    <n v="0"/>
    <n v="0"/>
  </r>
  <r>
    <x v="3"/>
    <x v="0"/>
    <x v="35"/>
    <m/>
    <n v="47"/>
    <n v="0"/>
    <n v="0"/>
    <n v="0"/>
  </r>
  <r>
    <x v="3"/>
    <x v="0"/>
    <x v="25"/>
    <m/>
    <n v="70"/>
    <n v="0"/>
    <n v="0"/>
    <n v="0"/>
  </r>
  <r>
    <x v="3"/>
    <x v="0"/>
    <x v="2"/>
    <m/>
    <n v="66"/>
    <n v="0"/>
    <n v="0"/>
    <n v="0"/>
  </r>
  <r>
    <x v="3"/>
    <x v="0"/>
    <x v="37"/>
    <m/>
    <n v="47"/>
    <n v="0"/>
    <n v="0"/>
    <n v="0"/>
  </r>
  <r>
    <x v="3"/>
    <x v="0"/>
    <x v="38"/>
    <s v="S40000004"/>
    <n v="48"/>
    <n v="0"/>
    <n v="0"/>
    <n v="0"/>
  </r>
  <r>
    <x v="3"/>
    <x v="1"/>
    <x v="25"/>
    <m/>
    <n v="0"/>
    <n v="15"/>
    <n v="18"/>
    <n v="0"/>
  </r>
  <r>
    <x v="3"/>
    <x v="1"/>
    <x v="39"/>
    <m/>
    <n v="0"/>
    <n v="15"/>
    <n v="15"/>
    <n v="0"/>
  </r>
  <r>
    <x v="3"/>
    <x v="1"/>
    <x v="36"/>
    <m/>
    <n v="0"/>
    <n v="10"/>
    <n v="12"/>
    <n v="0"/>
  </r>
  <r>
    <x v="3"/>
    <x v="1"/>
    <x v="26"/>
    <m/>
    <n v="0"/>
    <n v="14"/>
    <n v="13"/>
    <n v="0"/>
  </r>
  <r>
    <x v="4"/>
    <x v="0"/>
    <x v="31"/>
    <s v="S40000004"/>
    <n v="25"/>
    <n v="0"/>
    <n v="0"/>
    <n v="0"/>
  </r>
  <r>
    <x v="4"/>
    <x v="0"/>
    <x v="33"/>
    <m/>
    <n v="164"/>
    <n v="0"/>
    <n v="0"/>
    <n v="0"/>
  </r>
  <r>
    <x v="4"/>
    <x v="1"/>
    <x v="23"/>
    <m/>
    <n v="0"/>
    <n v="12"/>
    <n v="13"/>
    <n v="0"/>
  </r>
  <r>
    <x v="4"/>
    <x v="2"/>
    <x v="34"/>
    <m/>
    <n v="0"/>
    <n v="18"/>
    <n v="53"/>
    <n v="48"/>
  </r>
  <r>
    <x v="5"/>
    <x v="0"/>
    <x v="7"/>
    <m/>
    <n v="30"/>
    <n v="0"/>
    <n v="0"/>
    <n v="0"/>
  </r>
  <r>
    <x v="5"/>
    <x v="1"/>
    <x v="32"/>
    <m/>
    <n v="0"/>
    <n v="1"/>
    <n v="0"/>
    <n v="0"/>
  </r>
  <r>
    <x v="0"/>
    <x v="0"/>
    <x v="17"/>
    <s v="S12000034"/>
    <n v="30"/>
    <n v="0"/>
    <n v="0"/>
    <n v="0"/>
  </r>
  <r>
    <x v="0"/>
    <x v="0"/>
    <x v="18"/>
    <s v="S12000008"/>
    <n v="47"/>
    <n v="0"/>
    <n v="0"/>
    <n v="0"/>
  </r>
  <r>
    <x v="0"/>
    <x v="0"/>
    <x v="35"/>
    <s v="S12000011"/>
    <n v="52"/>
    <n v="0"/>
    <n v="0"/>
    <n v="0"/>
  </r>
  <r>
    <x v="0"/>
    <x v="0"/>
    <x v="15"/>
    <s v="S12000021"/>
    <n v="76"/>
    <n v="0"/>
    <n v="0"/>
    <n v="0"/>
  </r>
  <r>
    <x v="0"/>
    <x v="0"/>
    <x v="38"/>
    <s v="S40000004"/>
    <n v="49"/>
    <n v="0"/>
    <n v="0"/>
    <n v="0"/>
  </r>
  <r>
    <x v="0"/>
    <x v="1"/>
    <x v="40"/>
    <s v="S39000008"/>
    <n v="0"/>
    <n v="9"/>
    <n v="5"/>
    <n v="0"/>
  </r>
  <r>
    <x v="0"/>
    <x v="2"/>
    <x v="16"/>
    <s v="S40000005"/>
    <n v="0"/>
    <n v="12"/>
    <n v="18"/>
    <n v="0"/>
  </r>
  <r>
    <x v="0"/>
    <x v="2"/>
    <x v="34"/>
    <s v="S40000003"/>
    <n v="0"/>
    <n v="18"/>
    <n v="61"/>
    <n v="0"/>
  </r>
  <r>
    <x v="0"/>
    <x v="3"/>
    <x v="27"/>
    <s v="S92000003"/>
    <n v="0"/>
    <n v="43"/>
    <n v="46"/>
    <n v="60"/>
  </r>
  <r>
    <x v="1"/>
    <x v="0"/>
    <x v="28"/>
    <s v="S40000004"/>
    <n v="25"/>
    <n v="0"/>
    <n v="0"/>
    <n v="0"/>
  </r>
  <r>
    <x v="1"/>
    <x v="1"/>
    <x v="41"/>
    <s v="S40000003"/>
    <n v="0"/>
    <n v="9"/>
    <n v="13"/>
    <n v="0"/>
  </r>
  <r>
    <x v="1"/>
    <x v="1"/>
    <x v="8"/>
    <s v="S40000003"/>
    <n v="0"/>
    <n v="14"/>
    <n v="14"/>
    <n v="0"/>
  </r>
  <r>
    <x v="1"/>
    <x v="2"/>
    <x v="21"/>
    <s v="S40000004"/>
    <n v="0"/>
    <n v="13"/>
    <n v="39"/>
    <n v="0"/>
  </r>
  <r>
    <x v="2"/>
    <x v="0"/>
    <x v="42"/>
    <s v="S40000004"/>
    <n v="88"/>
    <n v="0"/>
    <n v="0"/>
    <n v="0"/>
  </r>
  <r>
    <x v="2"/>
    <x v="0"/>
    <x v="3"/>
    <s v="S40000004"/>
    <n v="254"/>
    <n v="0"/>
    <n v="0"/>
    <n v="0"/>
  </r>
  <r>
    <x v="2"/>
    <x v="0"/>
    <x v="2"/>
    <s v="S40000005"/>
    <n v="63"/>
    <n v="0"/>
    <n v="0"/>
    <n v="0"/>
  </r>
  <r>
    <x v="2"/>
    <x v="1"/>
    <x v="40"/>
    <s v="S40000003"/>
    <n v="0"/>
    <n v="10"/>
    <n v="7"/>
    <n v="0"/>
  </r>
  <r>
    <x v="3"/>
    <x v="0"/>
    <x v="9"/>
    <m/>
    <n v="26"/>
    <n v="0"/>
    <n v="0"/>
    <n v="0"/>
  </r>
  <r>
    <x v="3"/>
    <x v="0"/>
    <x v="10"/>
    <m/>
    <n v="46"/>
    <n v="0"/>
    <n v="0"/>
    <n v="0"/>
  </r>
  <r>
    <x v="3"/>
    <x v="0"/>
    <x v="31"/>
    <s v="S40000004"/>
    <n v="26"/>
    <n v="0"/>
    <n v="0"/>
    <n v="0"/>
  </r>
  <r>
    <x v="3"/>
    <x v="0"/>
    <x v="15"/>
    <m/>
    <n v="74"/>
    <n v="0"/>
    <n v="0"/>
    <n v="0"/>
  </r>
  <r>
    <x v="3"/>
    <x v="1"/>
    <x v="14"/>
    <m/>
    <n v="0"/>
    <n v="14"/>
    <n v="9"/>
    <n v="0"/>
  </r>
  <r>
    <x v="3"/>
    <x v="2"/>
    <x v="16"/>
    <m/>
    <n v="0"/>
    <n v="11"/>
    <n v="27"/>
    <n v="10"/>
  </r>
  <r>
    <x v="4"/>
    <x v="0"/>
    <x v="17"/>
    <m/>
    <n v="28"/>
    <n v="0"/>
    <n v="0"/>
    <n v="0"/>
  </r>
  <r>
    <x v="4"/>
    <x v="0"/>
    <x v="23"/>
    <s v="S40000004"/>
    <n v="283"/>
    <n v="0"/>
    <n v="0"/>
    <n v="0"/>
  </r>
  <r>
    <x v="4"/>
    <x v="0"/>
    <x v="18"/>
    <m/>
    <n v="46"/>
    <n v="0"/>
    <n v="1"/>
    <n v="0"/>
  </r>
  <r>
    <x v="4"/>
    <x v="0"/>
    <x v="7"/>
    <m/>
    <n v="29"/>
    <n v="0"/>
    <n v="0"/>
    <n v="0"/>
  </r>
  <r>
    <x v="4"/>
    <x v="0"/>
    <x v="1"/>
    <m/>
    <n v="158"/>
    <n v="0"/>
    <n v="1"/>
    <n v="0"/>
  </r>
  <r>
    <x v="4"/>
    <x v="0"/>
    <x v="43"/>
    <s v="S40000004"/>
    <n v="56"/>
    <n v="0"/>
    <n v="0"/>
    <n v="0"/>
  </r>
  <r>
    <x v="4"/>
    <x v="1"/>
    <x v="4"/>
    <m/>
    <n v="0"/>
    <n v="15"/>
    <n v="15"/>
    <n v="0"/>
  </r>
  <r>
    <x v="4"/>
    <x v="1"/>
    <x v="41"/>
    <m/>
    <n v="0"/>
    <n v="9"/>
    <n v="9"/>
    <n v="0"/>
  </r>
  <r>
    <x v="4"/>
    <x v="1"/>
    <x v="8"/>
    <m/>
    <n v="0"/>
    <n v="15"/>
    <n v="11"/>
    <n v="0"/>
  </r>
  <r>
    <x v="4"/>
    <x v="2"/>
    <x v="21"/>
    <s v="S40000004"/>
    <n v="0"/>
    <n v="8"/>
    <n v="29"/>
    <n v="30"/>
  </r>
  <r>
    <x v="5"/>
    <x v="0"/>
    <x v="9"/>
    <m/>
    <n v="27"/>
    <n v="0"/>
    <n v="0"/>
    <n v="0"/>
  </r>
  <r>
    <x v="5"/>
    <x v="0"/>
    <x v="42"/>
    <s v="S40000004"/>
    <n v="91"/>
    <n v="0"/>
    <n v="0"/>
    <n v="0"/>
  </r>
  <r>
    <x v="5"/>
    <x v="0"/>
    <x v="3"/>
    <s v="S40000004"/>
    <n v="214"/>
    <n v="0"/>
    <n v="2"/>
    <n v="0"/>
  </r>
  <r>
    <x v="5"/>
    <x v="0"/>
    <x v="44"/>
    <m/>
    <n v="0"/>
    <n v="0"/>
    <n v="1"/>
    <n v="0"/>
  </r>
  <r>
    <x v="0"/>
    <x v="0"/>
    <x v="24"/>
    <s v="S12000042"/>
    <n v="177"/>
    <n v="0"/>
    <n v="0"/>
    <n v="0"/>
  </r>
  <r>
    <x v="0"/>
    <x v="0"/>
    <x v="12"/>
    <s v="S12000045"/>
    <n v="78"/>
    <n v="0"/>
    <n v="0"/>
    <n v="0"/>
  </r>
  <r>
    <x v="0"/>
    <x v="0"/>
    <x v="42"/>
    <s v="S40000004"/>
    <n v="88"/>
    <n v="0"/>
    <n v="0"/>
    <n v="0"/>
  </r>
  <r>
    <x v="0"/>
    <x v="1"/>
    <x v="25"/>
    <s v="S39000013"/>
    <n v="0"/>
    <n v="19"/>
    <n v="26"/>
    <n v="0"/>
  </r>
  <r>
    <x v="1"/>
    <x v="0"/>
    <x v="12"/>
    <s v="S40000003"/>
    <n v="79"/>
    <n v="0"/>
    <n v="0"/>
    <n v="0"/>
  </r>
  <r>
    <x v="1"/>
    <x v="0"/>
    <x v="13"/>
    <s v="S40000004"/>
    <n v="25"/>
    <n v="0"/>
    <n v="0"/>
    <n v="0"/>
  </r>
  <r>
    <x v="1"/>
    <x v="0"/>
    <x v="35"/>
    <s v="S40000003"/>
    <n v="50"/>
    <n v="0"/>
    <n v="0"/>
    <n v="0"/>
  </r>
  <r>
    <x v="1"/>
    <x v="0"/>
    <x v="43"/>
    <s v="S40000004"/>
    <n v="53"/>
    <n v="0"/>
    <n v="0"/>
    <n v="0"/>
  </r>
  <r>
    <x v="1"/>
    <x v="0"/>
    <x v="37"/>
    <s v="S40000003"/>
    <n v="50"/>
    <n v="0"/>
    <n v="0"/>
    <n v="0"/>
  </r>
  <r>
    <x v="1"/>
    <x v="1"/>
    <x v="45"/>
    <s v="S40000005"/>
    <n v="0"/>
    <n v="13"/>
    <n v="12"/>
    <n v="0"/>
  </r>
  <r>
    <x v="1"/>
    <x v="1"/>
    <x v="36"/>
    <s v="S40000004"/>
    <n v="0"/>
    <n v="11"/>
    <n v="18"/>
    <n v="0"/>
  </r>
  <r>
    <x v="1"/>
    <x v="1"/>
    <x v="25"/>
    <s v="S40000005"/>
    <n v="0"/>
    <n v="18"/>
    <n v="20"/>
    <n v="0"/>
  </r>
  <r>
    <x v="1"/>
    <x v="1"/>
    <x v="26"/>
    <m/>
    <n v="0"/>
    <n v="8"/>
    <n v="11"/>
    <n v="0"/>
  </r>
  <r>
    <x v="2"/>
    <x v="0"/>
    <x v="10"/>
    <s v="S40000003"/>
    <n v="52"/>
    <n v="0"/>
    <n v="0"/>
    <n v="0"/>
  </r>
  <r>
    <x v="2"/>
    <x v="0"/>
    <x v="24"/>
    <s v="S40000005"/>
    <n v="182"/>
    <n v="0"/>
    <n v="0"/>
    <n v="0"/>
  </r>
  <r>
    <x v="2"/>
    <x v="0"/>
    <x v="18"/>
    <s v="S40000003"/>
    <n v="47"/>
    <n v="0"/>
    <n v="0"/>
    <n v="0"/>
  </r>
  <r>
    <x v="2"/>
    <x v="0"/>
    <x v="14"/>
    <s v="S40000003"/>
    <n v="499"/>
    <n v="0"/>
    <n v="0"/>
    <n v="0"/>
  </r>
  <r>
    <x v="2"/>
    <x v="0"/>
    <x v="20"/>
    <s v="S40000003"/>
    <n v="73"/>
    <n v="0"/>
    <n v="0"/>
    <n v="0"/>
  </r>
  <r>
    <x v="2"/>
    <x v="1"/>
    <x v="30"/>
    <s v="S40000005"/>
    <n v="0"/>
    <n v="13"/>
    <n v="15"/>
    <n v="0"/>
  </r>
  <r>
    <x v="2"/>
    <x v="1"/>
    <x v="32"/>
    <s v="S40000005"/>
    <n v="0"/>
    <n v="11"/>
    <n v="4"/>
    <n v="0"/>
  </r>
  <r>
    <x v="2"/>
    <x v="3"/>
    <x v="27"/>
    <s v="S92000003"/>
    <n v="0"/>
    <n v="59"/>
    <n v="24"/>
    <n v="1"/>
  </r>
  <r>
    <x v="3"/>
    <x v="0"/>
    <x v="28"/>
    <s v="S40000004"/>
    <n v="24"/>
    <n v="0"/>
    <n v="0"/>
    <n v="0"/>
  </r>
  <r>
    <x v="3"/>
    <x v="0"/>
    <x v="0"/>
    <m/>
    <n v="68"/>
    <n v="0"/>
    <n v="0"/>
    <n v="0"/>
  </r>
  <r>
    <x v="3"/>
    <x v="0"/>
    <x v="33"/>
    <m/>
    <n v="155"/>
    <n v="0"/>
    <n v="0"/>
    <n v="0"/>
  </r>
  <r>
    <x v="3"/>
    <x v="0"/>
    <x v="22"/>
    <s v="S40000004"/>
    <n v="58"/>
    <n v="0"/>
    <n v="0"/>
    <n v="0"/>
  </r>
  <r>
    <x v="3"/>
    <x v="1"/>
    <x v="30"/>
    <m/>
    <n v="0"/>
    <n v="13"/>
    <n v="18"/>
    <n v="0"/>
  </r>
  <r>
    <x v="3"/>
    <x v="2"/>
    <x v="34"/>
    <m/>
    <n v="0"/>
    <n v="14"/>
    <n v="59"/>
    <n v="34"/>
  </r>
  <r>
    <x v="3"/>
    <x v="3"/>
    <x v="27"/>
    <s v="S92000003"/>
    <n v="0"/>
    <n v="60"/>
    <n v="25"/>
    <n v="0"/>
  </r>
  <r>
    <x v="4"/>
    <x v="0"/>
    <x v="46"/>
    <m/>
    <n v="0"/>
    <n v="0"/>
    <n v="3"/>
    <n v="0"/>
  </r>
  <r>
    <x v="4"/>
    <x v="0"/>
    <x v="19"/>
    <m/>
    <n v="95"/>
    <n v="0"/>
    <n v="0"/>
    <n v="0"/>
  </r>
  <r>
    <x v="4"/>
    <x v="0"/>
    <x v="44"/>
    <m/>
    <n v="0"/>
    <n v="0"/>
    <n v="1"/>
    <n v="0"/>
  </r>
  <r>
    <x v="4"/>
    <x v="1"/>
    <x v="23"/>
    <s v="S40000004"/>
    <n v="0"/>
    <n v="0"/>
    <n v="1"/>
    <n v="0"/>
  </r>
  <r>
    <x v="4"/>
    <x v="1"/>
    <x v="32"/>
    <m/>
    <n v="0"/>
    <n v="1"/>
    <n v="0"/>
    <n v="0"/>
  </r>
  <r>
    <x v="4"/>
    <x v="1"/>
    <x v="26"/>
    <m/>
    <n v="0"/>
    <n v="13"/>
    <n v="13"/>
    <n v="0"/>
  </r>
  <r>
    <x v="5"/>
    <x v="0"/>
    <x v="23"/>
    <s v="S40000004"/>
    <n v="293"/>
    <n v="0"/>
    <n v="0"/>
    <n v="0"/>
  </r>
  <r>
    <x v="5"/>
    <x v="0"/>
    <x v="14"/>
    <m/>
    <n v="452"/>
    <n v="0"/>
    <n v="11"/>
    <n v="0"/>
  </r>
  <r>
    <x v="5"/>
    <x v="1"/>
    <x v="40"/>
    <m/>
    <n v="0"/>
    <n v="10"/>
    <n v="8"/>
    <n v="0"/>
  </r>
  <r>
    <x v="5"/>
    <x v="1"/>
    <x v="5"/>
    <m/>
    <n v="0"/>
    <n v="9"/>
    <n v="10"/>
    <n v="0"/>
  </r>
  <r>
    <x v="5"/>
    <x v="1"/>
    <x v="14"/>
    <m/>
    <n v="0"/>
    <n v="13"/>
    <n v="10"/>
    <n v="0"/>
  </r>
  <r>
    <x v="5"/>
    <x v="1"/>
    <x v="26"/>
    <s v="S40000004"/>
    <n v="0"/>
    <n v="2"/>
    <n v="2"/>
    <n v="0"/>
  </r>
  <r>
    <x v="0"/>
    <x v="0"/>
    <x v="31"/>
    <s v="S40000004"/>
    <n v="26"/>
    <n v="0"/>
    <n v="0"/>
    <n v="0"/>
  </r>
  <r>
    <x v="0"/>
    <x v="0"/>
    <x v="43"/>
    <s v="S40000004"/>
    <n v="56"/>
    <n v="0"/>
    <n v="0"/>
    <n v="0"/>
  </r>
  <r>
    <x v="1"/>
    <x v="0"/>
    <x v="6"/>
    <s v="S40000005"/>
    <n v="155"/>
    <n v="0"/>
    <n v="0"/>
    <n v="0"/>
  </r>
  <r>
    <x v="1"/>
    <x v="0"/>
    <x v="9"/>
    <s v="S40000005"/>
    <n v="27"/>
    <n v="0"/>
    <n v="0"/>
    <n v="0"/>
  </r>
  <r>
    <x v="1"/>
    <x v="0"/>
    <x v="42"/>
    <s v="S40000004"/>
    <n v="88"/>
    <n v="0"/>
    <n v="0"/>
    <n v="0"/>
  </r>
  <r>
    <x v="1"/>
    <x v="0"/>
    <x v="38"/>
    <s v="S40000004"/>
    <n v="51"/>
    <n v="0"/>
    <n v="0"/>
    <n v="0"/>
  </r>
  <r>
    <x v="1"/>
    <x v="1"/>
    <x v="6"/>
    <s v="S40000005"/>
    <n v="0"/>
    <n v="6"/>
    <n v="7"/>
    <n v="0"/>
  </r>
  <r>
    <x v="1"/>
    <x v="2"/>
    <x v="16"/>
    <s v="S40000005"/>
    <n v="0"/>
    <n v="12"/>
    <n v="30"/>
    <n v="0"/>
  </r>
  <r>
    <x v="2"/>
    <x v="0"/>
    <x v="17"/>
    <s v="S40000005"/>
    <n v="29"/>
    <n v="0"/>
    <n v="0"/>
    <n v="0"/>
  </r>
  <r>
    <x v="2"/>
    <x v="0"/>
    <x v="23"/>
    <s v="S40000004"/>
    <n v="300"/>
    <n v="0"/>
    <n v="0"/>
    <n v="0"/>
  </r>
  <r>
    <x v="2"/>
    <x v="0"/>
    <x v="31"/>
    <s v="S40000004"/>
    <n v="27"/>
    <n v="0"/>
    <n v="0"/>
    <n v="0"/>
  </r>
  <r>
    <x v="2"/>
    <x v="0"/>
    <x v="7"/>
    <s v="S40000005"/>
    <n v="30"/>
    <n v="0"/>
    <n v="0"/>
    <n v="0"/>
  </r>
  <r>
    <x v="2"/>
    <x v="0"/>
    <x v="33"/>
    <s v="S40000003"/>
    <n v="168"/>
    <n v="0"/>
    <n v="0"/>
    <n v="0"/>
  </r>
  <r>
    <x v="2"/>
    <x v="0"/>
    <x v="22"/>
    <s v="S40000004"/>
    <n v="57"/>
    <n v="0"/>
    <n v="0"/>
    <n v="0"/>
  </r>
  <r>
    <x v="2"/>
    <x v="2"/>
    <x v="21"/>
    <s v="S40000004"/>
    <n v="0"/>
    <n v="8"/>
    <n v="38"/>
    <n v="20"/>
  </r>
  <r>
    <x v="2"/>
    <x v="2"/>
    <x v="34"/>
    <s v="S40000003"/>
    <n v="0"/>
    <n v="13"/>
    <n v="53"/>
    <n v="25"/>
  </r>
  <r>
    <x v="3"/>
    <x v="0"/>
    <x v="17"/>
    <m/>
    <n v="28"/>
    <n v="0"/>
    <n v="0"/>
    <n v="0"/>
  </r>
  <r>
    <x v="3"/>
    <x v="0"/>
    <x v="23"/>
    <s v="S40000004"/>
    <n v="295"/>
    <n v="0"/>
    <n v="0"/>
    <n v="0"/>
  </r>
  <r>
    <x v="3"/>
    <x v="0"/>
    <x v="3"/>
    <s v="S40000004"/>
    <n v="254"/>
    <n v="0"/>
    <n v="0"/>
    <n v="0"/>
  </r>
  <r>
    <x v="3"/>
    <x v="0"/>
    <x v="14"/>
    <m/>
    <n v="493"/>
    <n v="0"/>
    <n v="0"/>
    <n v="0"/>
  </r>
  <r>
    <x v="3"/>
    <x v="0"/>
    <x v="38"/>
    <m/>
    <n v="1"/>
    <n v="0"/>
    <n v="0"/>
    <n v="0"/>
  </r>
  <r>
    <x v="3"/>
    <x v="1"/>
    <x v="23"/>
    <s v="S40000004"/>
    <n v="0"/>
    <n v="2"/>
    <n v="3"/>
    <n v="0"/>
  </r>
  <r>
    <x v="3"/>
    <x v="1"/>
    <x v="40"/>
    <m/>
    <n v="0"/>
    <n v="10"/>
    <n v="9"/>
    <n v="0"/>
  </r>
  <r>
    <x v="3"/>
    <x v="1"/>
    <x v="5"/>
    <m/>
    <n v="0"/>
    <n v="7"/>
    <n v="9"/>
    <n v="0"/>
  </r>
  <r>
    <x v="3"/>
    <x v="1"/>
    <x v="36"/>
    <s v="S40000004"/>
    <n v="0"/>
    <n v="1"/>
    <n v="6"/>
    <n v="0"/>
  </r>
  <r>
    <x v="4"/>
    <x v="0"/>
    <x v="24"/>
    <m/>
    <n v="167"/>
    <n v="0"/>
    <n v="2"/>
    <n v="0"/>
  </r>
  <r>
    <x v="4"/>
    <x v="0"/>
    <x v="35"/>
    <m/>
    <n v="47"/>
    <n v="0"/>
    <n v="0"/>
    <n v="0"/>
  </r>
  <r>
    <x v="4"/>
    <x v="0"/>
    <x v="25"/>
    <m/>
    <n v="73"/>
    <n v="0"/>
    <n v="0"/>
    <n v="0"/>
  </r>
  <r>
    <x v="4"/>
    <x v="0"/>
    <x v="47"/>
    <m/>
    <n v="0"/>
    <n v="0"/>
    <n v="1"/>
    <n v="0"/>
  </r>
  <r>
    <x v="4"/>
    <x v="0"/>
    <x v="2"/>
    <m/>
    <n v="69"/>
    <n v="0"/>
    <n v="0"/>
    <n v="0"/>
  </r>
  <r>
    <x v="4"/>
    <x v="0"/>
    <x v="37"/>
    <m/>
    <n v="48"/>
    <n v="0"/>
    <n v="0"/>
    <n v="0"/>
  </r>
  <r>
    <x v="4"/>
    <x v="0"/>
    <x v="38"/>
    <s v="S40000004"/>
    <n v="46"/>
    <n v="0"/>
    <n v="0"/>
    <n v="0"/>
  </r>
  <r>
    <x v="4"/>
    <x v="1"/>
    <x v="36"/>
    <s v="S40000004"/>
    <n v="0"/>
    <n v="0"/>
    <n v="5"/>
    <n v="0"/>
  </r>
  <r>
    <x v="4"/>
    <x v="1"/>
    <x v="39"/>
    <m/>
    <n v="0"/>
    <n v="12"/>
    <n v="15"/>
    <n v="0"/>
  </r>
  <r>
    <x v="5"/>
    <x v="0"/>
    <x v="6"/>
    <m/>
    <n v="155"/>
    <n v="0"/>
    <n v="7"/>
    <n v="0"/>
  </r>
  <r>
    <x v="5"/>
    <x v="0"/>
    <x v="28"/>
    <s v="S40000004"/>
    <n v="26"/>
    <n v="0"/>
    <n v="1"/>
    <n v="0"/>
  </r>
  <r>
    <x v="5"/>
    <x v="0"/>
    <x v="33"/>
    <m/>
    <n v="161"/>
    <n v="0"/>
    <n v="0"/>
    <n v="0"/>
  </r>
  <r>
    <x v="5"/>
    <x v="0"/>
    <x v="22"/>
    <s v="S40000004"/>
    <n v="60"/>
    <n v="0"/>
    <n v="3"/>
    <n v="0"/>
  </r>
  <r>
    <x v="5"/>
    <x v="1"/>
    <x v="4"/>
    <m/>
    <n v="0"/>
    <n v="14"/>
    <n v="14"/>
    <n v="0"/>
  </r>
  <r>
    <x v="5"/>
    <x v="1"/>
    <x v="30"/>
    <m/>
    <n v="0"/>
    <n v="14"/>
    <n v="9"/>
    <n v="0"/>
  </r>
  <r>
    <x v="5"/>
    <x v="2"/>
    <x v="34"/>
    <m/>
    <n v="0"/>
    <n v="13"/>
    <n v="46"/>
    <n v="1"/>
  </r>
  <r>
    <x v="0"/>
    <x v="0"/>
    <x v="9"/>
    <s v="S12000041"/>
    <n v="28"/>
    <n v="0"/>
    <n v="0"/>
    <n v="0"/>
  </r>
  <r>
    <x v="0"/>
    <x v="0"/>
    <x v="23"/>
    <s v="S40000004"/>
    <n v="297"/>
    <n v="0"/>
    <n v="0"/>
    <n v="0"/>
  </r>
  <r>
    <x v="0"/>
    <x v="0"/>
    <x v="28"/>
    <s v="S40000004"/>
    <n v="25"/>
    <n v="0"/>
    <n v="0"/>
    <n v="0"/>
  </r>
  <r>
    <x v="0"/>
    <x v="0"/>
    <x v="14"/>
    <s v="S12000046"/>
    <n v="515"/>
    <n v="0"/>
    <n v="0"/>
    <n v="0"/>
  </r>
  <r>
    <x v="0"/>
    <x v="1"/>
    <x v="6"/>
    <s v="S39000001"/>
    <n v="0"/>
    <n v="7"/>
    <n v="9"/>
    <n v="0"/>
  </r>
  <r>
    <x v="0"/>
    <x v="1"/>
    <x v="4"/>
    <s v="S39000003"/>
    <n v="0"/>
    <n v="12"/>
    <n v="14"/>
    <n v="0"/>
  </r>
  <r>
    <x v="0"/>
    <x v="1"/>
    <x v="30"/>
    <s v="S39000018"/>
    <n v="0"/>
    <n v="13"/>
    <n v="16"/>
    <n v="0"/>
  </r>
  <r>
    <x v="0"/>
    <x v="1"/>
    <x v="36"/>
    <s v="S40000004"/>
    <n v="0"/>
    <n v="11"/>
    <n v="14"/>
    <n v="0"/>
  </r>
  <r>
    <x v="0"/>
    <x v="1"/>
    <x v="1"/>
    <s v="S39000014"/>
    <n v="0"/>
    <n v="8"/>
    <n v="9"/>
    <n v="0"/>
  </r>
  <r>
    <x v="0"/>
    <x v="1"/>
    <x v="33"/>
    <s v="S39000015"/>
    <n v="0"/>
    <n v="9"/>
    <n v="7"/>
    <n v="0"/>
  </r>
  <r>
    <x v="0"/>
    <x v="1"/>
    <x v="48"/>
    <s v="S40000004"/>
    <n v="0"/>
    <n v="9"/>
    <n v="9"/>
    <n v="0"/>
  </r>
  <r>
    <x v="1"/>
    <x v="0"/>
    <x v="17"/>
    <s v="S40000005"/>
    <n v="32"/>
    <n v="0"/>
    <n v="0"/>
    <n v="0"/>
  </r>
  <r>
    <x v="1"/>
    <x v="0"/>
    <x v="11"/>
    <s v="S40000003"/>
    <n v="52"/>
    <n v="0"/>
    <n v="0"/>
    <n v="0"/>
  </r>
  <r>
    <x v="1"/>
    <x v="0"/>
    <x v="15"/>
    <s v="S40000003"/>
    <n v="75"/>
    <n v="0"/>
    <n v="0"/>
    <n v="0"/>
  </r>
  <r>
    <x v="1"/>
    <x v="0"/>
    <x v="22"/>
    <s v="S40000004"/>
    <n v="58"/>
    <n v="0"/>
    <n v="0"/>
    <n v="0"/>
  </r>
  <r>
    <x v="1"/>
    <x v="1"/>
    <x v="23"/>
    <s v="S40000004"/>
    <n v="0"/>
    <n v="10"/>
    <n v="18"/>
    <n v="0"/>
  </r>
  <r>
    <x v="1"/>
    <x v="1"/>
    <x v="14"/>
    <s v="S40000003"/>
    <n v="0"/>
    <n v="16"/>
    <n v="9"/>
    <n v="0"/>
  </r>
  <r>
    <x v="2"/>
    <x v="0"/>
    <x v="28"/>
    <s v="S40000004"/>
    <n v="24"/>
    <n v="0"/>
    <n v="0"/>
    <n v="0"/>
  </r>
  <r>
    <x v="2"/>
    <x v="0"/>
    <x v="25"/>
    <s v="S40000005"/>
    <n v="74"/>
    <n v="0"/>
    <n v="0"/>
    <n v="0"/>
  </r>
  <r>
    <x v="2"/>
    <x v="0"/>
    <x v="0"/>
    <s v="S40000003"/>
    <n v="70"/>
    <n v="0"/>
    <n v="0"/>
    <n v="0"/>
  </r>
  <r>
    <x v="2"/>
    <x v="0"/>
    <x v="19"/>
    <s v="S40000003"/>
    <n v="100"/>
    <n v="0"/>
    <n v="0"/>
    <n v="0"/>
  </r>
  <r>
    <x v="2"/>
    <x v="0"/>
    <x v="43"/>
    <s v="S40000004"/>
    <n v="51"/>
    <n v="0"/>
    <n v="0"/>
    <n v="0"/>
  </r>
  <r>
    <x v="2"/>
    <x v="1"/>
    <x v="41"/>
    <s v="S40000003"/>
    <n v="0"/>
    <n v="9"/>
    <n v="12"/>
    <n v="0"/>
  </r>
  <r>
    <x v="2"/>
    <x v="1"/>
    <x v="8"/>
    <s v="S40000003"/>
    <n v="0"/>
    <n v="13"/>
    <n v="14"/>
    <n v="0"/>
  </r>
  <r>
    <x v="2"/>
    <x v="1"/>
    <x v="25"/>
    <s v="S40000005"/>
    <n v="0"/>
    <n v="17"/>
    <n v="18"/>
    <n v="0"/>
  </r>
  <r>
    <x v="2"/>
    <x v="1"/>
    <x v="33"/>
    <s v="S40000003"/>
    <n v="0"/>
    <n v="9"/>
    <n v="7"/>
    <n v="0"/>
  </r>
  <r>
    <x v="2"/>
    <x v="1"/>
    <x v="26"/>
    <s v="S40000004"/>
    <n v="0"/>
    <n v="4"/>
    <n v="11"/>
    <n v="0"/>
  </r>
  <r>
    <x v="3"/>
    <x v="0"/>
    <x v="18"/>
    <m/>
    <n v="46"/>
    <n v="0"/>
    <n v="0"/>
    <n v="0"/>
  </r>
  <r>
    <x v="3"/>
    <x v="0"/>
    <x v="1"/>
    <m/>
    <n v="156"/>
    <n v="0"/>
    <n v="0"/>
    <n v="0"/>
  </r>
  <r>
    <x v="3"/>
    <x v="0"/>
    <x v="19"/>
    <m/>
    <n v="99"/>
    <n v="0"/>
    <n v="0"/>
    <n v="0"/>
  </r>
  <r>
    <x v="3"/>
    <x v="0"/>
    <x v="20"/>
    <m/>
    <n v="69"/>
    <n v="0"/>
    <n v="0"/>
    <n v="0"/>
  </r>
  <r>
    <x v="3"/>
    <x v="1"/>
    <x v="41"/>
    <m/>
    <n v="0"/>
    <n v="9"/>
    <n v="13"/>
    <n v="0"/>
  </r>
  <r>
    <x v="3"/>
    <x v="1"/>
    <x v="26"/>
    <s v="S40000004"/>
    <n v="0"/>
    <n v="4"/>
    <n v="7"/>
    <n v="0"/>
  </r>
  <r>
    <x v="3"/>
    <x v="2"/>
    <x v="21"/>
    <s v="S40000004"/>
    <n v="0"/>
    <n v="8"/>
    <n v="37"/>
    <n v="21"/>
  </r>
  <r>
    <x v="4"/>
    <x v="0"/>
    <x v="42"/>
    <s v="S40000004"/>
    <n v="84"/>
    <n v="0"/>
    <n v="0"/>
    <n v="0"/>
  </r>
  <r>
    <x v="4"/>
    <x v="0"/>
    <x v="3"/>
    <s v="S40000004"/>
    <n v="238"/>
    <n v="0"/>
    <n v="1"/>
    <n v="0"/>
  </r>
  <r>
    <x v="4"/>
    <x v="0"/>
    <x v="25"/>
    <m/>
    <n v="0"/>
    <n v="0"/>
    <n v="11"/>
    <n v="0"/>
  </r>
  <r>
    <x v="4"/>
    <x v="1"/>
    <x v="40"/>
    <m/>
    <n v="0"/>
    <n v="10"/>
    <n v="9"/>
    <n v="0"/>
  </r>
  <r>
    <x v="4"/>
    <x v="1"/>
    <x v="5"/>
    <m/>
    <n v="0"/>
    <n v="8"/>
    <n v="11"/>
    <n v="0"/>
  </r>
  <r>
    <x v="4"/>
    <x v="1"/>
    <x v="25"/>
    <m/>
    <n v="0"/>
    <n v="15"/>
    <n v="5"/>
    <n v="0"/>
  </r>
  <r>
    <x v="4"/>
    <x v="1"/>
    <x v="32"/>
    <m/>
    <n v="0"/>
    <n v="9"/>
    <n v="0"/>
    <n v="0"/>
  </r>
  <r>
    <x v="5"/>
    <x v="0"/>
    <x v="24"/>
    <m/>
    <n v="166"/>
    <n v="0"/>
    <n v="2"/>
    <n v="0"/>
  </r>
  <r>
    <x v="5"/>
    <x v="0"/>
    <x v="0"/>
    <m/>
    <n v="63"/>
    <n v="0"/>
    <n v="0"/>
    <n v="0"/>
  </r>
  <r>
    <x v="5"/>
    <x v="0"/>
    <x v="43"/>
    <s v="S40000004"/>
    <n v="57"/>
    <n v="0"/>
    <n v="0"/>
    <n v="0"/>
  </r>
  <r>
    <x v="5"/>
    <x v="1"/>
    <x v="29"/>
    <m/>
    <n v="0"/>
    <n v="16"/>
    <n v="6"/>
    <n v="0"/>
  </r>
  <r>
    <x v="5"/>
    <x v="1"/>
    <x v="8"/>
    <m/>
    <n v="0"/>
    <n v="13"/>
    <n v="12"/>
    <n v="0"/>
  </r>
  <r>
    <x v="0"/>
    <x v="0"/>
    <x v="6"/>
    <s v="S12000033"/>
    <n v="154"/>
    <n v="0"/>
    <n v="0"/>
    <n v="0"/>
  </r>
  <r>
    <x v="0"/>
    <x v="0"/>
    <x v="10"/>
    <s v="S12000035"/>
    <n v="54"/>
    <n v="0"/>
    <n v="0"/>
    <n v="0"/>
  </r>
  <r>
    <x v="0"/>
    <x v="0"/>
    <x v="3"/>
    <s v="S40000004"/>
    <n v="274"/>
    <n v="0"/>
    <n v="0"/>
    <n v="0"/>
  </r>
  <r>
    <x v="0"/>
    <x v="0"/>
    <x v="7"/>
    <s v="S12000020"/>
    <n v="30"/>
    <n v="0"/>
    <n v="0"/>
    <n v="0"/>
  </r>
  <r>
    <x v="0"/>
    <x v="0"/>
    <x v="37"/>
    <s v="S12000028"/>
    <n v="50"/>
    <n v="0"/>
    <n v="0"/>
    <n v="0"/>
  </r>
  <r>
    <x v="0"/>
    <x v="1"/>
    <x v="45"/>
    <s v="S39000002"/>
    <n v="0"/>
    <n v="11"/>
    <n v="14"/>
    <n v="0"/>
  </r>
  <r>
    <x v="0"/>
    <x v="1"/>
    <x v="41"/>
    <s v="S39000004"/>
    <n v="0"/>
    <n v="9"/>
    <n v="13"/>
    <n v="0"/>
  </r>
  <r>
    <x v="0"/>
    <x v="1"/>
    <x v="8"/>
    <s v="S39000006"/>
    <n v="0"/>
    <n v="13"/>
    <n v="12"/>
    <n v="0"/>
  </r>
  <r>
    <x v="0"/>
    <x v="1"/>
    <x v="5"/>
    <s v="S40000004"/>
    <n v="0"/>
    <n v="9"/>
    <n v="11"/>
    <n v="0"/>
  </r>
  <r>
    <x v="0"/>
    <x v="1"/>
    <x v="14"/>
    <s v="S39000012"/>
    <n v="0"/>
    <n v="14"/>
    <n v="11"/>
    <n v="0"/>
  </r>
  <r>
    <x v="0"/>
    <x v="2"/>
    <x v="21"/>
    <s v="S40000004"/>
    <n v="0"/>
    <n v="11"/>
    <n v="26"/>
    <n v="0"/>
  </r>
  <r>
    <x v="1"/>
    <x v="0"/>
    <x v="10"/>
    <s v="S40000003"/>
    <n v="53"/>
    <n v="0"/>
    <n v="0"/>
    <n v="0"/>
  </r>
  <r>
    <x v="1"/>
    <x v="0"/>
    <x v="23"/>
    <s v="S40000004"/>
    <n v="306"/>
    <n v="0"/>
    <n v="0"/>
    <n v="0"/>
  </r>
  <r>
    <x v="1"/>
    <x v="0"/>
    <x v="14"/>
    <s v="S40000003"/>
    <n v="517"/>
    <n v="0"/>
    <n v="0"/>
    <n v="0"/>
  </r>
  <r>
    <x v="1"/>
    <x v="0"/>
    <x v="31"/>
    <s v="S40000004"/>
    <n v="26"/>
    <n v="0"/>
    <n v="0"/>
    <n v="0"/>
  </r>
  <r>
    <x v="1"/>
    <x v="0"/>
    <x v="7"/>
    <s v="S40000005"/>
    <n v="30"/>
    <n v="0"/>
    <n v="0"/>
    <n v="0"/>
  </r>
  <r>
    <x v="1"/>
    <x v="0"/>
    <x v="33"/>
    <s v="S40000003"/>
    <n v="168"/>
    <n v="0"/>
    <n v="0"/>
    <n v="0"/>
  </r>
  <r>
    <x v="1"/>
    <x v="1"/>
    <x v="40"/>
    <s v="S40000003"/>
    <n v="0"/>
    <n v="9"/>
    <n v="4"/>
    <n v="0"/>
  </r>
  <r>
    <x v="1"/>
    <x v="1"/>
    <x v="33"/>
    <s v="S40000003"/>
    <n v="0"/>
    <n v="9"/>
    <n v="7"/>
    <n v="0"/>
  </r>
  <r>
    <x v="1"/>
    <x v="1"/>
    <x v="32"/>
    <s v="S40000005"/>
    <n v="0"/>
    <n v="9"/>
    <n v="5"/>
    <n v="0"/>
  </r>
  <r>
    <x v="2"/>
    <x v="0"/>
    <x v="6"/>
    <s v="S40000005"/>
    <n v="149"/>
    <n v="0"/>
    <n v="0"/>
    <n v="0"/>
  </r>
  <r>
    <x v="2"/>
    <x v="0"/>
    <x v="9"/>
    <s v="S40000005"/>
    <n v="27"/>
    <n v="0"/>
    <n v="0"/>
    <n v="0"/>
  </r>
  <r>
    <x v="2"/>
    <x v="0"/>
    <x v="37"/>
    <s v="S40000003"/>
    <n v="51"/>
    <n v="0"/>
    <n v="0"/>
    <n v="0"/>
  </r>
  <r>
    <x v="2"/>
    <x v="0"/>
    <x v="38"/>
    <s v="S40000004"/>
    <n v="52"/>
    <n v="0"/>
    <n v="0"/>
    <n v="0"/>
  </r>
  <r>
    <x v="2"/>
    <x v="1"/>
    <x v="6"/>
    <s v="S40000005"/>
    <n v="0"/>
    <n v="6"/>
    <n v="6"/>
    <n v="0"/>
  </r>
  <r>
    <x v="2"/>
    <x v="1"/>
    <x v="45"/>
    <s v="S40000005"/>
    <n v="0"/>
    <n v="13"/>
    <n v="13"/>
    <n v="0"/>
  </r>
  <r>
    <x v="2"/>
    <x v="1"/>
    <x v="23"/>
    <s v="S40000004"/>
    <n v="0"/>
    <n v="11"/>
    <n v="17"/>
    <n v="0"/>
  </r>
  <r>
    <x v="2"/>
    <x v="1"/>
    <x v="26"/>
    <m/>
    <n v="0"/>
    <n v="12"/>
    <n v="10"/>
    <n v="0"/>
  </r>
  <r>
    <x v="2"/>
    <x v="2"/>
    <x v="16"/>
    <s v="S40000005"/>
    <n v="0"/>
    <n v="10"/>
    <n v="32"/>
    <n v="13"/>
  </r>
  <r>
    <x v="3"/>
    <x v="0"/>
    <x v="42"/>
    <s v="S40000004"/>
    <n v="87"/>
    <n v="0"/>
    <n v="0"/>
    <n v="0"/>
  </r>
  <r>
    <x v="3"/>
    <x v="0"/>
    <x v="43"/>
    <s v="S40000004"/>
    <n v="53"/>
    <n v="0"/>
    <n v="0"/>
    <n v="0"/>
  </r>
  <r>
    <x v="3"/>
    <x v="1"/>
    <x v="29"/>
    <m/>
    <n v="0"/>
    <n v="17"/>
    <n v="19"/>
    <n v="0"/>
  </r>
  <r>
    <x v="3"/>
    <x v="1"/>
    <x v="32"/>
    <m/>
    <n v="0"/>
    <n v="12"/>
    <n v="5"/>
    <n v="0"/>
  </r>
  <r>
    <x v="4"/>
    <x v="0"/>
    <x v="20"/>
    <m/>
    <n v="68"/>
    <n v="0"/>
    <n v="0"/>
    <n v="0"/>
  </r>
  <r>
    <x v="4"/>
    <x v="0"/>
    <x v="22"/>
    <s v="S40000004"/>
    <n v="57"/>
    <n v="0"/>
    <n v="0"/>
    <n v="0"/>
  </r>
  <r>
    <x v="4"/>
    <x v="1"/>
    <x v="36"/>
    <m/>
    <n v="0"/>
    <n v="11"/>
    <n v="16"/>
    <n v="0"/>
  </r>
  <r>
    <x v="4"/>
    <x v="1"/>
    <x v="26"/>
    <s v="S40000004"/>
    <n v="0"/>
    <n v="2"/>
    <n v="3"/>
    <n v="0"/>
  </r>
  <r>
    <x v="4"/>
    <x v="3"/>
    <x v="27"/>
    <s v="S92000003"/>
    <n v="0"/>
    <n v="52"/>
    <n v="17"/>
    <n v="0"/>
  </r>
  <r>
    <x v="5"/>
    <x v="0"/>
    <x v="10"/>
    <m/>
    <n v="54"/>
    <n v="0"/>
    <n v="1"/>
    <n v="0"/>
  </r>
  <r>
    <x v="5"/>
    <x v="0"/>
    <x v="11"/>
    <m/>
    <n v="53"/>
    <n v="0"/>
    <n v="0"/>
    <n v="0"/>
  </r>
  <r>
    <x v="5"/>
    <x v="0"/>
    <x v="12"/>
    <m/>
    <n v="76"/>
    <n v="0"/>
    <n v="0"/>
    <n v="0"/>
  </r>
  <r>
    <x v="5"/>
    <x v="0"/>
    <x v="35"/>
    <m/>
    <n v="53"/>
    <n v="0"/>
    <n v="0"/>
    <n v="0"/>
  </r>
  <r>
    <x v="5"/>
    <x v="0"/>
    <x v="25"/>
    <m/>
    <n v="72"/>
    <n v="0"/>
    <n v="8"/>
    <n v="0"/>
  </r>
  <r>
    <x v="5"/>
    <x v="0"/>
    <x v="46"/>
    <m/>
    <n v="0"/>
    <n v="0"/>
    <n v="3"/>
    <n v="0"/>
  </r>
  <r>
    <x v="5"/>
    <x v="0"/>
    <x v="15"/>
    <m/>
    <n v="85"/>
    <n v="0"/>
    <n v="0"/>
    <n v="0"/>
  </r>
  <r>
    <x v="5"/>
    <x v="0"/>
    <x v="2"/>
    <m/>
    <n v="65"/>
    <n v="0"/>
    <n v="1"/>
    <n v="0"/>
  </r>
  <r>
    <x v="5"/>
    <x v="0"/>
    <x v="37"/>
    <m/>
    <n v="51"/>
    <n v="0"/>
    <n v="1"/>
    <n v="0"/>
  </r>
  <r>
    <x v="5"/>
    <x v="0"/>
    <x v="38"/>
    <s v="S40000004"/>
    <n v="49"/>
    <n v="0"/>
    <n v="0"/>
    <n v="0"/>
  </r>
  <r>
    <x v="5"/>
    <x v="1"/>
    <x v="23"/>
    <m/>
    <n v="0"/>
    <n v="11"/>
    <n v="16"/>
    <n v="0"/>
  </r>
  <r>
    <x v="5"/>
    <x v="1"/>
    <x v="41"/>
    <m/>
    <n v="0"/>
    <n v="8"/>
    <n v="14"/>
    <n v="0"/>
  </r>
  <r>
    <x v="5"/>
    <x v="1"/>
    <x v="25"/>
    <m/>
    <n v="0"/>
    <n v="17"/>
    <n v="6"/>
    <n v="0"/>
  </r>
  <r>
    <x v="5"/>
    <x v="1"/>
    <x v="39"/>
    <m/>
    <n v="0"/>
    <n v="14"/>
    <n v="13"/>
    <n v="0"/>
  </r>
  <r>
    <x v="5"/>
    <x v="1"/>
    <x v="36"/>
    <m/>
    <n v="0"/>
    <n v="10"/>
    <n v="16"/>
    <n v="0"/>
  </r>
  <r>
    <x v="5"/>
    <x v="1"/>
    <x v="26"/>
    <m/>
    <n v="0"/>
    <n v="12"/>
    <n v="17"/>
    <n v="0"/>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8">
  <r>
    <x v="0"/>
    <x v="0"/>
    <x v="0"/>
    <s v="S40000004"/>
    <n v="38"/>
    <n v="0"/>
    <n v="0"/>
    <n v="11"/>
    <n v="0"/>
    <n v="0"/>
    <n v="27"/>
  </r>
  <r>
    <x v="1"/>
    <x v="0"/>
    <x v="1"/>
    <m/>
    <n v="119"/>
    <n v="0"/>
    <n v="0"/>
    <n v="71"/>
    <n v="0"/>
    <n v="0"/>
    <n v="48"/>
  </r>
  <r>
    <x v="2"/>
    <x v="0"/>
    <x v="2"/>
    <s v="S40000003"/>
    <n v="112"/>
    <n v="0"/>
    <n v="0"/>
    <n v="42"/>
    <n v="0"/>
    <n v="0"/>
    <n v="70"/>
  </r>
  <r>
    <x v="2"/>
    <x v="1"/>
    <x v="3"/>
    <s v="S40000003"/>
    <n v="13"/>
    <n v="0"/>
    <n v="0"/>
    <n v="0"/>
    <n v="0"/>
    <n v="0"/>
    <n v="13"/>
  </r>
  <r>
    <x v="0"/>
    <x v="0"/>
    <x v="4"/>
    <s v="S40000005"/>
    <n v="132"/>
    <n v="0"/>
    <n v="0"/>
    <n v="132"/>
    <n v="0"/>
    <n v="0"/>
    <n v="0"/>
  </r>
  <r>
    <x v="2"/>
    <x v="0"/>
    <x v="5"/>
    <s v="S40000003"/>
    <n v="93"/>
    <n v="0"/>
    <n v="0"/>
    <n v="20"/>
    <n v="0"/>
    <n v="0"/>
    <n v="73"/>
  </r>
  <r>
    <x v="1"/>
    <x v="0"/>
    <x v="6"/>
    <m/>
    <n v="239"/>
    <n v="0"/>
    <n v="0"/>
    <n v="179"/>
    <n v="0"/>
    <n v="7"/>
    <n v="53"/>
  </r>
  <r>
    <x v="2"/>
    <x v="0"/>
    <x v="0"/>
    <s v="S40000004"/>
    <n v="39"/>
    <n v="0"/>
    <n v="0"/>
    <n v="13"/>
    <n v="0"/>
    <n v="0"/>
    <n v="26"/>
  </r>
  <r>
    <x v="3"/>
    <x v="0"/>
    <x v="7"/>
    <m/>
    <n v="95"/>
    <n v="0"/>
    <n v="0"/>
    <n v="48"/>
    <n v="0"/>
    <n v="0"/>
    <n v="47"/>
  </r>
  <r>
    <x v="1"/>
    <x v="0"/>
    <x v="8"/>
    <m/>
    <n v="202"/>
    <n v="0"/>
    <n v="0"/>
    <n v="98"/>
    <n v="0"/>
    <n v="19"/>
    <n v="85"/>
  </r>
  <r>
    <x v="1"/>
    <x v="1"/>
    <x v="9"/>
    <m/>
    <n v="33"/>
    <n v="0"/>
    <n v="4"/>
    <n v="0"/>
    <n v="0"/>
    <n v="0"/>
    <n v="33"/>
  </r>
  <r>
    <x v="3"/>
    <x v="0"/>
    <x v="10"/>
    <m/>
    <n v="593"/>
    <n v="0"/>
    <n v="0"/>
    <n v="478"/>
    <n v="0"/>
    <n v="45"/>
    <n v="70"/>
  </r>
  <r>
    <x v="1"/>
    <x v="0"/>
    <x v="11"/>
    <m/>
    <n v="172"/>
    <n v="0"/>
    <n v="0"/>
    <n v="10"/>
    <n v="0"/>
    <n v="0"/>
    <n v="162"/>
  </r>
  <r>
    <x v="3"/>
    <x v="1"/>
    <x v="12"/>
    <m/>
    <n v="23"/>
    <n v="0"/>
    <n v="0"/>
    <n v="0"/>
    <n v="0"/>
    <n v="0"/>
    <n v="23"/>
  </r>
  <r>
    <x v="3"/>
    <x v="0"/>
    <x v="13"/>
    <m/>
    <n v="80"/>
    <n v="0"/>
    <n v="0"/>
    <n v="56"/>
    <n v="0"/>
    <n v="0"/>
    <n v="24"/>
  </r>
  <r>
    <x v="0"/>
    <x v="0"/>
    <x v="14"/>
    <s v="S40000005"/>
    <n v="214"/>
    <n v="0"/>
    <n v="0"/>
    <n v="130"/>
    <n v="0"/>
    <n v="21"/>
    <n v="63"/>
  </r>
  <r>
    <x v="2"/>
    <x v="0"/>
    <x v="6"/>
    <s v="S40000003"/>
    <n v="249"/>
    <n v="0"/>
    <n v="0"/>
    <n v="192"/>
    <n v="0"/>
    <n v="5"/>
    <n v="52"/>
  </r>
  <r>
    <x v="3"/>
    <x v="0"/>
    <x v="14"/>
    <m/>
    <n v="204"/>
    <n v="0"/>
    <n v="0"/>
    <n v="116"/>
    <n v="0"/>
    <n v="22"/>
    <n v="66"/>
  </r>
  <r>
    <x v="4"/>
    <x v="0"/>
    <x v="14"/>
    <m/>
    <n v="209"/>
    <n v="0"/>
    <n v="0"/>
    <n v="119"/>
    <n v="0"/>
    <n v="21"/>
    <n v="69"/>
  </r>
  <r>
    <x v="3"/>
    <x v="2"/>
    <x v="15"/>
    <s v="S40000004"/>
    <n v="66"/>
    <n v="0"/>
    <n v="0"/>
    <n v="0"/>
    <n v="0"/>
    <n v="0"/>
    <n v="66"/>
  </r>
  <r>
    <x v="0"/>
    <x v="0"/>
    <x v="16"/>
    <s v="S40000005"/>
    <n v="315"/>
    <n v="0"/>
    <n v="0"/>
    <n v="286"/>
    <n v="0"/>
    <n v="0"/>
    <n v="29"/>
  </r>
  <r>
    <x v="2"/>
    <x v="0"/>
    <x v="1"/>
    <s v="S40000003"/>
    <n v="129"/>
    <n v="0"/>
    <n v="0"/>
    <n v="80"/>
    <n v="0"/>
    <n v="0"/>
    <n v="49"/>
  </r>
  <r>
    <x v="4"/>
    <x v="0"/>
    <x v="10"/>
    <m/>
    <n v="11"/>
    <n v="0"/>
    <n v="0"/>
    <n v="0"/>
    <n v="0"/>
    <n v="0"/>
    <n v="11"/>
  </r>
  <r>
    <x v="0"/>
    <x v="0"/>
    <x v="2"/>
    <s v="S40000003"/>
    <n v="114"/>
    <n v="0"/>
    <n v="0"/>
    <n v="44"/>
    <n v="0"/>
    <n v="0"/>
    <n v="70"/>
  </r>
  <r>
    <x v="0"/>
    <x v="1"/>
    <x v="17"/>
    <s v="S40000004"/>
    <n v="28"/>
    <n v="0"/>
    <n v="0"/>
    <n v="0"/>
    <n v="0"/>
    <n v="0"/>
    <n v="28"/>
  </r>
  <r>
    <x v="0"/>
    <x v="0"/>
    <x v="18"/>
    <s v="S40000003"/>
    <n v="421"/>
    <n v="0"/>
    <n v="0"/>
    <n v="168"/>
    <n v="0"/>
    <n v="201"/>
    <n v="52"/>
  </r>
  <r>
    <x v="5"/>
    <x v="0"/>
    <x v="19"/>
    <s v="S12000040"/>
    <n v="115"/>
    <n v="0"/>
    <n v="0"/>
    <n v="59"/>
    <n v="0"/>
    <n v="0"/>
    <n v="56"/>
  </r>
  <r>
    <x v="4"/>
    <x v="0"/>
    <x v="20"/>
    <m/>
    <n v="138"/>
    <n v="0"/>
    <n v="0"/>
    <n v="135"/>
    <n v="0"/>
    <n v="0"/>
    <n v="3"/>
  </r>
  <r>
    <x v="2"/>
    <x v="2"/>
    <x v="21"/>
    <s v="S40000005"/>
    <n v="42"/>
    <n v="0"/>
    <n v="0"/>
    <n v="0"/>
    <n v="0"/>
    <n v="0"/>
    <n v="42"/>
  </r>
  <r>
    <x v="5"/>
    <x v="0"/>
    <x v="22"/>
    <s v="S12000030"/>
    <n v="124"/>
    <n v="0"/>
    <n v="0"/>
    <n v="75"/>
    <n v="0"/>
    <n v="0"/>
    <n v="49"/>
  </r>
  <r>
    <x v="4"/>
    <x v="1"/>
    <x v="23"/>
    <m/>
    <n v="27"/>
    <n v="0"/>
    <n v="2"/>
    <n v="0"/>
    <n v="0"/>
    <n v="0"/>
    <n v="27"/>
  </r>
  <r>
    <x v="2"/>
    <x v="0"/>
    <x v="24"/>
    <s v="S40000003"/>
    <n v="50"/>
    <n v="0"/>
    <n v="0"/>
    <n v="0"/>
    <n v="0"/>
    <n v="0"/>
    <n v="50"/>
  </r>
  <r>
    <x v="0"/>
    <x v="0"/>
    <x v="25"/>
    <s v="S40000005"/>
    <n v="193"/>
    <n v="0"/>
    <n v="0"/>
    <n v="11"/>
    <n v="0"/>
    <n v="0"/>
    <n v="182"/>
  </r>
  <r>
    <x v="2"/>
    <x v="2"/>
    <x v="26"/>
    <s v="S40000003"/>
    <n v="103"/>
    <n v="0"/>
    <n v="0"/>
    <n v="0"/>
    <n v="0"/>
    <n v="0"/>
    <n v="103"/>
  </r>
  <r>
    <x v="0"/>
    <x v="2"/>
    <x v="15"/>
    <s v="S40000004"/>
    <n v="66"/>
    <n v="0"/>
    <n v="0"/>
    <n v="0"/>
    <n v="0"/>
    <n v="0"/>
    <n v="66"/>
  </r>
  <r>
    <x v="0"/>
    <x v="0"/>
    <x v="7"/>
    <s v="S40000003"/>
    <n v="103"/>
    <n v="0"/>
    <n v="0"/>
    <n v="52"/>
    <n v="0"/>
    <n v="0"/>
    <n v="51"/>
  </r>
  <r>
    <x v="0"/>
    <x v="1"/>
    <x v="27"/>
    <s v="S40000003"/>
    <n v="15"/>
    <n v="0"/>
    <n v="0"/>
    <n v="0"/>
    <n v="0"/>
    <n v="0"/>
    <n v="15"/>
  </r>
  <r>
    <x v="0"/>
    <x v="1"/>
    <x v="3"/>
    <s v="S40000003"/>
    <n v="17"/>
    <n v="0"/>
    <n v="0"/>
    <n v="0"/>
    <n v="0"/>
    <n v="0"/>
    <n v="17"/>
  </r>
  <r>
    <x v="5"/>
    <x v="1"/>
    <x v="28"/>
    <s v="S39000015"/>
    <n v="16"/>
    <n v="0"/>
    <n v="1"/>
    <n v="0"/>
    <n v="0"/>
    <n v="0"/>
    <n v="16"/>
  </r>
  <r>
    <x v="4"/>
    <x v="0"/>
    <x v="4"/>
    <m/>
    <n v="123"/>
    <n v="0"/>
    <n v="0"/>
    <n v="122"/>
    <n v="0"/>
    <n v="0"/>
    <n v="1"/>
  </r>
  <r>
    <x v="3"/>
    <x v="1"/>
    <x v="29"/>
    <m/>
    <n v="18"/>
    <n v="0"/>
    <n v="2"/>
    <n v="0"/>
    <n v="0"/>
    <n v="0"/>
    <n v="18"/>
  </r>
  <r>
    <x v="3"/>
    <x v="0"/>
    <x v="30"/>
    <m/>
    <n v="115"/>
    <n v="0"/>
    <n v="0"/>
    <n v="115"/>
    <n v="0"/>
    <n v="0"/>
    <n v="0"/>
  </r>
  <r>
    <x v="2"/>
    <x v="1"/>
    <x v="31"/>
    <s v="S40000005"/>
    <n v="14"/>
    <n v="0"/>
    <n v="5"/>
    <n v="0"/>
    <n v="0"/>
    <n v="0"/>
    <n v="14"/>
  </r>
  <r>
    <x v="1"/>
    <x v="0"/>
    <x v="14"/>
    <m/>
    <n v="204"/>
    <n v="0"/>
    <n v="0"/>
    <n v="117"/>
    <n v="0"/>
    <n v="21"/>
    <n v="66"/>
  </r>
  <r>
    <x v="5"/>
    <x v="0"/>
    <x v="32"/>
    <s v="S12000014"/>
    <n v="143"/>
    <n v="0"/>
    <n v="0"/>
    <n v="55"/>
    <n v="0"/>
    <n v="0"/>
    <n v="88"/>
  </r>
  <r>
    <x v="1"/>
    <x v="2"/>
    <x v="26"/>
    <m/>
    <n v="60"/>
    <n v="0"/>
    <n v="0"/>
    <n v="0"/>
    <n v="0"/>
    <n v="0"/>
    <n v="60"/>
  </r>
  <r>
    <x v="4"/>
    <x v="0"/>
    <x v="22"/>
    <m/>
    <n v="115"/>
    <n v="0"/>
    <n v="0"/>
    <n v="69"/>
    <n v="0"/>
    <n v="0"/>
    <n v="46"/>
  </r>
  <r>
    <x v="0"/>
    <x v="0"/>
    <x v="24"/>
    <s v="S40000003"/>
    <n v="48"/>
    <n v="0"/>
    <n v="0"/>
    <n v="0"/>
    <n v="0"/>
    <n v="0"/>
    <n v="48"/>
  </r>
  <r>
    <x v="2"/>
    <x v="0"/>
    <x v="10"/>
    <s v="S40000005"/>
    <n v="645"/>
    <n v="0"/>
    <n v="0"/>
    <n v="525"/>
    <n v="0"/>
    <n v="49"/>
    <n v="71"/>
  </r>
  <r>
    <x v="3"/>
    <x v="0"/>
    <x v="33"/>
    <m/>
    <n v="122"/>
    <n v="0"/>
    <n v="0"/>
    <n v="96"/>
    <n v="0"/>
    <n v="0"/>
    <n v="26"/>
  </r>
  <r>
    <x v="0"/>
    <x v="0"/>
    <x v="22"/>
    <s v="S40000002"/>
    <n v="127"/>
    <n v="0"/>
    <n v="0"/>
    <n v="75"/>
    <n v="0"/>
    <n v="0"/>
    <n v="52"/>
  </r>
  <r>
    <x v="2"/>
    <x v="0"/>
    <x v="12"/>
    <s v="S40000003"/>
    <n v="517"/>
    <n v="0"/>
    <n v="0"/>
    <n v="0"/>
    <n v="0"/>
    <n v="0"/>
    <n v="517"/>
  </r>
  <r>
    <x v="5"/>
    <x v="0"/>
    <x v="14"/>
    <s v="S12000048"/>
    <n v="222"/>
    <n v="0"/>
    <n v="0"/>
    <n v="131"/>
    <n v="0"/>
    <n v="22"/>
    <n v="69"/>
  </r>
  <r>
    <x v="5"/>
    <x v="1"/>
    <x v="34"/>
    <s v="S39000002"/>
    <n v="25"/>
    <n v="0"/>
    <n v="2"/>
    <n v="0"/>
    <n v="0"/>
    <n v="0"/>
    <n v="25"/>
  </r>
  <r>
    <x v="4"/>
    <x v="1"/>
    <x v="17"/>
    <m/>
    <n v="26"/>
    <n v="0"/>
    <n v="0"/>
    <n v="0"/>
    <n v="0"/>
    <n v="0"/>
    <n v="26"/>
  </r>
  <r>
    <x v="3"/>
    <x v="0"/>
    <x v="27"/>
    <m/>
    <n v="186"/>
    <n v="0"/>
    <n v="0"/>
    <n v="30"/>
    <n v="0"/>
    <n v="0"/>
    <n v="156"/>
  </r>
  <r>
    <x v="5"/>
    <x v="0"/>
    <x v="28"/>
    <s v="S12000029"/>
    <n v="246"/>
    <n v="0"/>
    <n v="0"/>
    <n v="77"/>
    <n v="0"/>
    <n v="2"/>
    <n v="167"/>
  </r>
  <r>
    <x v="1"/>
    <x v="1"/>
    <x v="35"/>
    <m/>
    <n v="28"/>
    <n v="0"/>
    <n v="6"/>
    <n v="0"/>
    <n v="0"/>
    <n v="0"/>
    <n v="28"/>
  </r>
  <r>
    <x v="3"/>
    <x v="0"/>
    <x v="2"/>
    <m/>
    <n v="106"/>
    <n v="0"/>
    <n v="0"/>
    <n v="38"/>
    <n v="0"/>
    <n v="0"/>
    <n v="68"/>
  </r>
  <r>
    <x v="0"/>
    <x v="1"/>
    <x v="36"/>
    <s v="S40000005"/>
    <n v="28"/>
    <n v="0"/>
    <n v="3"/>
    <n v="0"/>
    <n v="0"/>
    <n v="0"/>
    <n v="28"/>
  </r>
  <r>
    <x v="4"/>
    <x v="0"/>
    <x v="11"/>
    <m/>
    <n v="165"/>
    <n v="0"/>
    <n v="0"/>
    <n v="10"/>
    <n v="0"/>
    <n v="0"/>
    <n v="155"/>
  </r>
  <r>
    <x v="1"/>
    <x v="0"/>
    <x v="30"/>
    <m/>
    <n v="112"/>
    <n v="0"/>
    <n v="0"/>
    <n v="112"/>
    <n v="0"/>
    <n v="0"/>
    <n v="0"/>
  </r>
  <r>
    <x v="5"/>
    <x v="1"/>
    <x v="10"/>
    <s v="S39000013"/>
    <n v="45"/>
    <n v="0"/>
    <n v="4"/>
    <n v="0"/>
    <n v="0"/>
    <n v="0"/>
    <n v="45"/>
  </r>
  <r>
    <x v="4"/>
    <x v="1"/>
    <x v="31"/>
    <m/>
    <n v="1"/>
    <n v="0"/>
    <n v="0"/>
    <n v="0"/>
    <n v="0"/>
    <n v="0"/>
    <n v="1"/>
  </r>
  <r>
    <x v="0"/>
    <x v="1"/>
    <x v="35"/>
    <s v="S40000003"/>
    <n v="26"/>
    <n v="0"/>
    <n v="6"/>
    <n v="0"/>
    <n v="0"/>
    <n v="0"/>
    <n v="26"/>
  </r>
  <r>
    <x v="0"/>
    <x v="0"/>
    <x v="37"/>
    <s v="S40000004"/>
    <n v="200"/>
    <n v="0"/>
    <n v="0"/>
    <n v="149"/>
    <n v="0"/>
    <n v="0"/>
    <n v="51"/>
  </r>
  <r>
    <x v="4"/>
    <x v="0"/>
    <x v="13"/>
    <m/>
    <n v="75"/>
    <n v="0"/>
    <n v="0"/>
    <n v="51"/>
    <n v="0"/>
    <n v="0"/>
    <n v="24"/>
  </r>
  <r>
    <x v="0"/>
    <x v="0"/>
    <x v="28"/>
    <s v="S40000003"/>
    <n v="254"/>
    <n v="0"/>
    <n v="0"/>
    <n v="84"/>
    <n v="0"/>
    <n v="2"/>
    <n v="168"/>
  </r>
  <r>
    <x v="3"/>
    <x v="1"/>
    <x v="38"/>
    <m/>
    <n v="36"/>
    <n v="0"/>
    <n v="7"/>
    <n v="0"/>
    <n v="0"/>
    <n v="0"/>
    <n v="36"/>
  </r>
  <r>
    <x v="4"/>
    <x v="2"/>
    <x v="15"/>
    <s v="S40000004"/>
    <n v="67"/>
    <n v="0"/>
    <n v="0"/>
    <n v="0"/>
    <n v="0"/>
    <n v="0"/>
    <n v="67"/>
  </r>
  <r>
    <x v="0"/>
    <x v="0"/>
    <x v="5"/>
    <s v="S40000003"/>
    <n v="95"/>
    <n v="0"/>
    <n v="0"/>
    <n v="22"/>
    <n v="0"/>
    <n v="0"/>
    <n v="73"/>
  </r>
  <r>
    <x v="5"/>
    <x v="0"/>
    <x v="20"/>
    <s v="S12000013"/>
    <n v="132"/>
    <n v="0"/>
    <n v="0"/>
    <n v="132"/>
    <n v="0"/>
    <n v="0"/>
    <n v="0"/>
  </r>
  <r>
    <x v="2"/>
    <x v="0"/>
    <x v="30"/>
    <s v="S40000005"/>
    <n v="109"/>
    <n v="0"/>
    <n v="0"/>
    <n v="109"/>
    <n v="0"/>
    <n v="0"/>
    <n v="0"/>
  </r>
  <r>
    <x v="2"/>
    <x v="2"/>
    <x v="15"/>
    <s v="S40000004"/>
    <n v="52"/>
    <n v="0"/>
    <n v="0"/>
    <n v="0"/>
    <n v="0"/>
    <n v="0"/>
    <n v="52"/>
  </r>
  <r>
    <x v="3"/>
    <x v="0"/>
    <x v="6"/>
    <m/>
    <n v="248"/>
    <n v="0"/>
    <n v="0"/>
    <n v="192"/>
    <n v="0"/>
    <n v="6"/>
    <n v="50"/>
  </r>
  <r>
    <x v="2"/>
    <x v="0"/>
    <x v="25"/>
    <s v="S40000005"/>
    <n v="194"/>
    <n v="0"/>
    <n v="0"/>
    <n v="12"/>
    <n v="0"/>
    <n v="0"/>
    <n v="182"/>
  </r>
  <r>
    <x v="1"/>
    <x v="0"/>
    <x v="39"/>
    <m/>
    <n v="50"/>
    <n v="0"/>
    <n v="0"/>
    <n v="23"/>
    <n v="0"/>
    <n v="0"/>
    <n v="27"/>
  </r>
  <r>
    <x v="1"/>
    <x v="1"/>
    <x v="6"/>
    <m/>
    <n v="22"/>
    <n v="0"/>
    <n v="4"/>
    <n v="0"/>
    <n v="0"/>
    <n v="0"/>
    <n v="22"/>
  </r>
  <r>
    <x v="5"/>
    <x v="0"/>
    <x v="5"/>
    <s v="S12000039"/>
    <n v="93"/>
    <n v="0"/>
    <n v="0"/>
    <n v="20"/>
    <n v="0"/>
    <n v="0"/>
    <n v="73"/>
  </r>
  <r>
    <x v="2"/>
    <x v="1"/>
    <x v="17"/>
    <s v="S40000004"/>
    <n v="28"/>
    <n v="0"/>
    <n v="0"/>
    <n v="0"/>
    <n v="0"/>
    <n v="0"/>
    <n v="28"/>
  </r>
  <r>
    <x v="0"/>
    <x v="1"/>
    <x v="11"/>
    <s v="S40000005"/>
    <n v="12"/>
    <n v="0"/>
    <n v="0"/>
    <n v="0"/>
    <n v="0"/>
    <n v="0"/>
    <n v="12"/>
  </r>
  <r>
    <x v="4"/>
    <x v="1"/>
    <x v="9"/>
    <m/>
    <n v="31"/>
    <n v="0"/>
    <n v="4"/>
    <n v="0"/>
    <n v="0"/>
    <n v="0"/>
    <n v="31"/>
  </r>
  <r>
    <x v="5"/>
    <x v="1"/>
    <x v="31"/>
    <s v="S39000017"/>
    <n v="16"/>
    <n v="0"/>
    <n v="3"/>
    <n v="0"/>
    <n v="0"/>
    <n v="0"/>
    <n v="16"/>
  </r>
  <r>
    <x v="0"/>
    <x v="1"/>
    <x v="10"/>
    <s v="S40000005"/>
    <n v="35"/>
    <n v="0"/>
    <n v="11"/>
    <n v="0"/>
    <n v="0"/>
    <n v="0"/>
    <n v="35"/>
  </r>
  <r>
    <x v="5"/>
    <x v="0"/>
    <x v="10"/>
    <s v="S12000017"/>
    <n v="684"/>
    <n v="0"/>
    <n v="0"/>
    <n v="552"/>
    <n v="0"/>
    <n v="62"/>
    <n v="70"/>
  </r>
  <r>
    <x v="0"/>
    <x v="0"/>
    <x v="6"/>
    <s v="S40000003"/>
    <n v="243"/>
    <n v="0"/>
    <n v="0"/>
    <n v="186"/>
    <n v="0"/>
    <n v="6"/>
    <n v="51"/>
  </r>
  <r>
    <x v="4"/>
    <x v="1"/>
    <x v="29"/>
    <m/>
    <n v="19"/>
    <n v="0"/>
    <n v="2"/>
    <n v="0"/>
    <n v="0"/>
    <n v="0"/>
    <n v="19"/>
  </r>
  <r>
    <x v="5"/>
    <x v="0"/>
    <x v="7"/>
    <s v="S12000028"/>
    <n v="108"/>
    <n v="0"/>
    <n v="0"/>
    <n v="58"/>
    <n v="0"/>
    <n v="0"/>
    <n v="50"/>
  </r>
  <r>
    <x v="2"/>
    <x v="1"/>
    <x v="40"/>
    <s v="S40000003"/>
    <n v="28"/>
    <n v="0"/>
    <n v="2"/>
    <n v="0"/>
    <n v="0"/>
    <n v="0"/>
    <n v="28"/>
  </r>
  <r>
    <x v="2"/>
    <x v="0"/>
    <x v="18"/>
    <s v="S40000003"/>
    <n v="439"/>
    <n v="0"/>
    <n v="0"/>
    <n v="174"/>
    <n v="0"/>
    <n v="212"/>
    <n v="53"/>
  </r>
  <r>
    <x v="3"/>
    <x v="2"/>
    <x v="21"/>
    <m/>
    <n v="48"/>
    <n v="0"/>
    <n v="0"/>
    <n v="0"/>
    <n v="0"/>
    <n v="0"/>
    <n v="48"/>
  </r>
  <r>
    <x v="3"/>
    <x v="1"/>
    <x v="3"/>
    <m/>
    <n v="19"/>
    <n v="0"/>
    <n v="0"/>
    <n v="0"/>
    <n v="0"/>
    <n v="0"/>
    <n v="19"/>
  </r>
  <r>
    <x v="2"/>
    <x v="1"/>
    <x v="34"/>
    <s v="S40000005"/>
    <n v="25"/>
    <n v="0"/>
    <n v="5"/>
    <n v="0"/>
    <n v="0"/>
    <n v="0"/>
    <n v="25"/>
  </r>
  <r>
    <x v="0"/>
    <x v="2"/>
    <x v="21"/>
    <s v="S40000005"/>
    <n v="55"/>
    <n v="0"/>
    <n v="0"/>
    <n v="0"/>
    <n v="0"/>
    <n v="0"/>
    <n v="55"/>
  </r>
  <r>
    <x v="3"/>
    <x v="1"/>
    <x v="17"/>
    <m/>
    <n v="27"/>
    <n v="0"/>
    <n v="0"/>
    <n v="0"/>
    <n v="0"/>
    <n v="0"/>
    <n v="27"/>
  </r>
  <r>
    <x v="4"/>
    <x v="1"/>
    <x v="35"/>
    <m/>
    <n v="0"/>
    <n v="0"/>
    <n v="5"/>
    <n v="0"/>
    <n v="0"/>
    <n v="0"/>
    <n v="0"/>
  </r>
  <r>
    <x v="1"/>
    <x v="1"/>
    <x v="31"/>
    <m/>
    <n v="10"/>
    <n v="0"/>
    <n v="0"/>
    <n v="0"/>
    <n v="0"/>
    <n v="0"/>
    <n v="10"/>
  </r>
  <r>
    <x v="1"/>
    <x v="0"/>
    <x v="41"/>
    <m/>
    <n v="320"/>
    <n v="0"/>
    <n v="0"/>
    <n v="104"/>
    <n v="0"/>
    <n v="0"/>
    <n v="216"/>
  </r>
  <r>
    <x v="2"/>
    <x v="0"/>
    <x v="37"/>
    <s v="S40000004"/>
    <n v="201"/>
    <n v="0"/>
    <n v="0"/>
    <n v="148"/>
    <n v="0"/>
    <n v="0"/>
    <n v="53"/>
  </r>
  <r>
    <x v="5"/>
    <x v="0"/>
    <x v="12"/>
    <s v="S12000046"/>
    <n v="515"/>
    <n v="0"/>
    <n v="0"/>
    <n v="0"/>
    <n v="0"/>
    <n v="0"/>
    <n v="515"/>
  </r>
  <r>
    <x v="1"/>
    <x v="2"/>
    <x v="15"/>
    <s v="S40000004"/>
    <n v="29"/>
    <n v="0"/>
    <n v="0"/>
    <n v="0"/>
    <n v="0"/>
    <n v="0"/>
    <n v="29"/>
  </r>
  <r>
    <x v="2"/>
    <x v="0"/>
    <x v="32"/>
    <s v="S40000004"/>
    <n v="145"/>
    <n v="0"/>
    <n v="0"/>
    <n v="57"/>
    <n v="0"/>
    <n v="0"/>
    <n v="88"/>
  </r>
  <r>
    <x v="3"/>
    <x v="0"/>
    <x v="42"/>
    <m/>
    <n v="144"/>
    <n v="0"/>
    <n v="0"/>
    <n v="114"/>
    <n v="0"/>
    <n v="0"/>
    <n v="30"/>
  </r>
  <r>
    <x v="5"/>
    <x v="0"/>
    <x v="1"/>
    <s v="S12000008"/>
    <n v="124"/>
    <n v="0"/>
    <n v="0"/>
    <n v="77"/>
    <n v="0"/>
    <n v="0"/>
    <n v="47"/>
  </r>
  <r>
    <x v="5"/>
    <x v="1"/>
    <x v="40"/>
    <s v="S39000006"/>
    <n v="25"/>
    <n v="0"/>
    <n v="1"/>
    <n v="0"/>
    <n v="0"/>
    <n v="0"/>
    <n v="25"/>
  </r>
  <r>
    <x v="2"/>
    <x v="0"/>
    <x v="19"/>
    <s v="S40000004"/>
    <n v="123"/>
    <n v="0"/>
    <n v="0"/>
    <n v="65"/>
    <n v="0"/>
    <n v="0"/>
    <n v="58"/>
  </r>
  <r>
    <x v="2"/>
    <x v="0"/>
    <x v="16"/>
    <s v="S40000005"/>
    <n v="317"/>
    <n v="0"/>
    <n v="0"/>
    <n v="285"/>
    <n v="0"/>
    <n v="0"/>
    <n v="32"/>
  </r>
  <r>
    <x v="3"/>
    <x v="0"/>
    <x v="28"/>
    <m/>
    <n v="228"/>
    <n v="0"/>
    <n v="0"/>
    <n v="71"/>
    <n v="0"/>
    <n v="2"/>
    <n v="155"/>
  </r>
  <r>
    <x v="4"/>
    <x v="0"/>
    <x v="30"/>
    <m/>
    <n v="116"/>
    <n v="0"/>
    <n v="0"/>
    <n v="115"/>
    <n v="0"/>
    <n v="0"/>
    <n v="1"/>
  </r>
  <r>
    <x v="2"/>
    <x v="0"/>
    <x v="11"/>
    <s v="S40000005"/>
    <n v="163"/>
    <n v="0"/>
    <n v="0"/>
    <n v="8"/>
    <n v="0"/>
    <n v="0"/>
    <n v="155"/>
  </r>
  <r>
    <x v="4"/>
    <x v="0"/>
    <x v="16"/>
    <m/>
    <n v="306"/>
    <n v="0"/>
    <n v="0"/>
    <n v="278"/>
    <n v="0"/>
    <n v="0"/>
    <n v="28"/>
  </r>
  <r>
    <x v="3"/>
    <x v="0"/>
    <x v="12"/>
    <m/>
    <n v="493"/>
    <n v="0"/>
    <n v="0"/>
    <n v="0"/>
    <n v="0"/>
    <n v="0"/>
    <n v="493"/>
  </r>
  <r>
    <x v="2"/>
    <x v="1"/>
    <x v="28"/>
    <s v="S40000003"/>
    <n v="16"/>
    <n v="0"/>
    <n v="2"/>
    <n v="0"/>
    <n v="0"/>
    <n v="0"/>
    <n v="16"/>
  </r>
  <r>
    <x v="1"/>
    <x v="1"/>
    <x v="29"/>
    <m/>
    <n v="19"/>
    <n v="0"/>
    <n v="2"/>
    <n v="0"/>
    <n v="0"/>
    <n v="0"/>
    <n v="19"/>
  </r>
  <r>
    <x v="4"/>
    <x v="0"/>
    <x v="18"/>
    <m/>
    <n v="389"/>
    <n v="0"/>
    <n v="0"/>
    <n v="167"/>
    <n v="0"/>
    <n v="172"/>
    <n v="50"/>
  </r>
  <r>
    <x v="0"/>
    <x v="0"/>
    <x v="43"/>
    <s v="S40000004"/>
    <n v="308"/>
    <n v="0"/>
    <n v="0"/>
    <n v="8"/>
    <n v="0"/>
    <n v="0"/>
    <n v="300"/>
  </r>
  <r>
    <x v="1"/>
    <x v="3"/>
    <x v="44"/>
    <s v="S92000003"/>
    <n v="1142"/>
    <n v="171"/>
    <n v="0"/>
    <n v="0"/>
    <n v="887"/>
    <n v="0"/>
    <n v="84"/>
  </r>
  <r>
    <x v="2"/>
    <x v="0"/>
    <x v="33"/>
    <s v="S40000005"/>
    <n v="130"/>
    <n v="0"/>
    <n v="0"/>
    <n v="103"/>
    <n v="0"/>
    <n v="0"/>
    <n v="27"/>
  </r>
  <r>
    <x v="5"/>
    <x v="0"/>
    <x v="11"/>
    <s v="S12000033"/>
    <n v="163"/>
    <n v="0"/>
    <n v="0"/>
    <n v="9"/>
    <n v="0"/>
    <n v="0"/>
    <n v="154"/>
  </r>
  <r>
    <x v="2"/>
    <x v="0"/>
    <x v="28"/>
    <s v="S40000003"/>
    <n v="256"/>
    <n v="0"/>
    <n v="0"/>
    <n v="86"/>
    <n v="0"/>
    <n v="2"/>
    <n v="168"/>
  </r>
  <r>
    <x v="5"/>
    <x v="1"/>
    <x v="45"/>
    <s v="S39000016"/>
    <n v="18"/>
    <n v="0"/>
    <n v="1"/>
    <n v="0"/>
    <n v="0"/>
    <n v="0"/>
    <n v="18"/>
  </r>
  <r>
    <x v="3"/>
    <x v="0"/>
    <x v="22"/>
    <m/>
    <n v="118"/>
    <n v="0"/>
    <n v="0"/>
    <n v="69"/>
    <n v="0"/>
    <n v="0"/>
    <n v="49"/>
  </r>
  <r>
    <x v="1"/>
    <x v="1"/>
    <x v="31"/>
    <m/>
    <n v="1"/>
    <n v="0"/>
    <n v="7"/>
    <n v="0"/>
    <n v="0"/>
    <n v="0"/>
    <n v="1"/>
  </r>
  <r>
    <x v="0"/>
    <x v="1"/>
    <x v="12"/>
    <s v="S40000003"/>
    <n v="26"/>
    <n v="0"/>
    <n v="0"/>
    <n v="0"/>
    <n v="0"/>
    <n v="0"/>
    <n v="26"/>
  </r>
  <r>
    <x v="5"/>
    <x v="0"/>
    <x v="27"/>
    <s v="S12000044"/>
    <n v="201"/>
    <n v="0"/>
    <n v="0"/>
    <n v="35"/>
    <n v="0"/>
    <n v="0"/>
    <n v="166"/>
  </r>
  <r>
    <x v="0"/>
    <x v="0"/>
    <x v="10"/>
    <s v="S40000005"/>
    <n v="622"/>
    <n v="0"/>
    <n v="0"/>
    <n v="500"/>
    <n v="0"/>
    <n v="48"/>
    <n v="74"/>
  </r>
  <r>
    <x v="1"/>
    <x v="0"/>
    <x v="28"/>
    <m/>
    <n v="234"/>
    <n v="0"/>
    <n v="0"/>
    <n v="73"/>
    <n v="0"/>
    <n v="0"/>
    <n v="161"/>
  </r>
  <r>
    <x v="1"/>
    <x v="0"/>
    <x v="18"/>
    <m/>
    <n v="400"/>
    <n v="0"/>
    <n v="0"/>
    <n v="173"/>
    <n v="0"/>
    <n v="172"/>
    <n v="55"/>
  </r>
  <r>
    <x v="0"/>
    <x v="0"/>
    <x v="8"/>
    <s v="S40000003"/>
    <n v="197"/>
    <n v="0"/>
    <n v="0"/>
    <n v="100"/>
    <n v="0"/>
    <n v="22"/>
    <n v="75"/>
  </r>
  <r>
    <x v="0"/>
    <x v="0"/>
    <x v="46"/>
    <s v="S40000003"/>
    <n v="76"/>
    <n v="0"/>
    <n v="0"/>
    <n v="0"/>
    <n v="0"/>
    <n v="0"/>
    <n v="76"/>
  </r>
  <r>
    <x v="5"/>
    <x v="1"/>
    <x v="27"/>
    <s v="S39000014"/>
    <n v="17"/>
    <n v="0"/>
    <n v="0"/>
    <n v="0"/>
    <n v="0"/>
    <n v="0"/>
    <n v="17"/>
  </r>
  <r>
    <x v="1"/>
    <x v="0"/>
    <x v="0"/>
    <m/>
    <n v="42"/>
    <n v="0"/>
    <n v="0"/>
    <n v="13"/>
    <n v="0"/>
    <n v="0"/>
    <n v="29"/>
  </r>
  <r>
    <x v="4"/>
    <x v="0"/>
    <x v="43"/>
    <m/>
    <n v="292"/>
    <n v="0"/>
    <n v="0"/>
    <n v="9"/>
    <n v="0"/>
    <n v="0"/>
    <n v="283"/>
  </r>
  <r>
    <x v="1"/>
    <x v="1"/>
    <x v="47"/>
    <m/>
    <n v="26"/>
    <n v="0"/>
    <n v="3"/>
    <n v="0"/>
    <n v="0"/>
    <n v="0"/>
    <n v="26"/>
  </r>
  <r>
    <x v="3"/>
    <x v="0"/>
    <x v="5"/>
    <m/>
    <n v="90"/>
    <n v="0"/>
    <n v="0"/>
    <n v="21"/>
    <n v="0"/>
    <n v="0"/>
    <n v="69"/>
  </r>
  <r>
    <x v="5"/>
    <x v="1"/>
    <x v="17"/>
    <s v="S39000009"/>
    <n v="30"/>
    <n v="0"/>
    <n v="0"/>
    <n v="0"/>
    <n v="0"/>
    <n v="0"/>
    <n v="30"/>
  </r>
  <r>
    <x v="3"/>
    <x v="0"/>
    <x v="18"/>
    <m/>
    <n v="401"/>
    <n v="0"/>
    <n v="0"/>
    <n v="172"/>
    <n v="0"/>
    <n v="183"/>
    <n v="46"/>
  </r>
  <r>
    <x v="1"/>
    <x v="0"/>
    <x v="25"/>
    <m/>
    <n v="182"/>
    <n v="0"/>
    <n v="0"/>
    <n v="14"/>
    <n v="0"/>
    <n v="0"/>
    <n v="168"/>
  </r>
  <r>
    <x v="3"/>
    <x v="0"/>
    <x v="25"/>
    <m/>
    <n v="187"/>
    <n v="0"/>
    <n v="0"/>
    <n v="13"/>
    <n v="0"/>
    <n v="0"/>
    <n v="174"/>
  </r>
  <r>
    <x v="4"/>
    <x v="0"/>
    <x v="6"/>
    <m/>
    <n v="251"/>
    <n v="0"/>
    <n v="0"/>
    <n v="194"/>
    <n v="0"/>
    <n v="6"/>
    <n v="51"/>
  </r>
  <r>
    <x v="1"/>
    <x v="0"/>
    <x v="46"/>
    <m/>
    <n v="76"/>
    <n v="0"/>
    <n v="0"/>
    <n v="0"/>
    <n v="0"/>
    <n v="0"/>
    <n v="76"/>
  </r>
  <r>
    <x v="2"/>
    <x v="1"/>
    <x v="6"/>
    <s v="S40000003"/>
    <n v="22"/>
    <n v="0"/>
    <n v="2"/>
    <n v="0"/>
    <n v="0"/>
    <n v="0"/>
    <n v="22"/>
  </r>
  <r>
    <x v="2"/>
    <x v="1"/>
    <x v="36"/>
    <s v="S40000005"/>
    <n v="31"/>
    <n v="0"/>
    <n v="2"/>
    <n v="0"/>
    <n v="0"/>
    <n v="0"/>
    <n v="31"/>
  </r>
  <r>
    <x v="0"/>
    <x v="0"/>
    <x v="42"/>
    <s v="S40000005"/>
    <n v="147"/>
    <n v="0"/>
    <n v="0"/>
    <n v="114"/>
    <n v="0"/>
    <n v="3"/>
    <n v="30"/>
  </r>
  <r>
    <x v="4"/>
    <x v="2"/>
    <x v="21"/>
    <m/>
    <n v="70"/>
    <n v="0"/>
    <n v="0"/>
    <n v="0"/>
    <n v="0"/>
    <n v="0"/>
    <n v="70"/>
  </r>
  <r>
    <x v="2"/>
    <x v="0"/>
    <x v="41"/>
    <s v="S40000004"/>
    <n v="382"/>
    <n v="0"/>
    <n v="0"/>
    <n v="113"/>
    <n v="0"/>
    <n v="0"/>
    <n v="269"/>
  </r>
  <r>
    <x v="2"/>
    <x v="0"/>
    <x v="27"/>
    <s v="S40000003"/>
    <n v="200"/>
    <n v="0"/>
    <n v="0"/>
    <n v="37"/>
    <n v="0"/>
    <n v="0"/>
    <n v="163"/>
  </r>
  <r>
    <x v="2"/>
    <x v="1"/>
    <x v="47"/>
    <s v="S40000004"/>
    <n v="29"/>
    <n v="0"/>
    <n v="3"/>
    <n v="0"/>
    <n v="0"/>
    <n v="0"/>
    <n v="29"/>
  </r>
  <r>
    <x v="2"/>
    <x v="0"/>
    <x v="7"/>
    <s v="S40000003"/>
    <n v="105"/>
    <n v="0"/>
    <n v="0"/>
    <n v="55"/>
    <n v="0"/>
    <n v="0"/>
    <n v="50"/>
  </r>
  <r>
    <x v="1"/>
    <x v="0"/>
    <x v="22"/>
    <m/>
    <n v="117"/>
    <n v="0"/>
    <n v="0"/>
    <n v="68"/>
    <n v="0"/>
    <n v="0"/>
    <n v="49"/>
  </r>
  <r>
    <x v="3"/>
    <x v="3"/>
    <x v="44"/>
    <s v="S92000003"/>
    <n v="1182"/>
    <n v="174"/>
    <n v="0"/>
    <n v="0"/>
    <n v="920"/>
    <n v="0"/>
    <n v="88"/>
  </r>
  <r>
    <x v="1"/>
    <x v="1"/>
    <x v="10"/>
    <m/>
    <n v="23"/>
    <n v="0"/>
    <n v="11"/>
    <n v="0"/>
    <n v="0"/>
    <n v="0"/>
    <n v="23"/>
  </r>
  <r>
    <x v="5"/>
    <x v="0"/>
    <x v="6"/>
    <s v="S12000006"/>
    <n v="257"/>
    <n v="0"/>
    <n v="0"/>
    <n v="198"/>
    <n v="0"/>
    <n v="6"/>
    <n v="53"/>
  </r>
  <r>
    <x v="5"/>
    <x v="0"/>
    <x v="41"/>
    <s v="S12000047"/>
    <n v="390"/>
    <n v="0"/>
    <n v="0"/>
    <n v="116"/>
    <n v="0"/>
    <n v="0"/>
    <n v="274"/>
  </r>
  <r>
    <x v="2"/>
    <x v="3"/>
    <x v="44"/>
    <s v="S92000003"/>
    <n v="1095"/>
    <n v="188"/>
    <n v="0"/>
    <n v="0"/>
    <n v="817"/>
    <n v="0"/>
    <n v="90"/>
  </r>
  <r>
    <x v="0"/>
    <x v="0"/>
    <x v="11"/>
    <s v="S40000005"/>
    <n v="159"/>
    <n v="0"/>
    <n v="0"/>
    <n v="10"/>
    <n v="0"/>
    <n v="0"/>
    <n v="149"/>
  </r>
  <r>
    <x v="1"/>
    <x v="0"/>
    <x v="48"/>
    <m/>
    <n v="113"/>
    <n v="0"/>
    <n v="0"/>
    <n v="11"/>
    <n v="0"/>
    <n v="0"/>
    <n v="102"/>
  </r>
  <r>
    <x v="2"/>
    <x v="0"/>
    <x v="14"/>
    <s v="S40000005"/>
    <n v="219"/>
    <n v="0"/>
    <n v="0"/>
    <n v="131"/>
    <n v="0"/>
    <n v="21"/>
    <n v="67"/>
  </r>
  <r>
    <x v="3"/>
    <x v="1"/>
    <x v="40"/>
    <m/>
    <n v="27"/>
    <n v="0"/>
    <n v="4"/>
    <n v="0"/>
    <n v="0"/>
    <n v="0"/>
    <n v="27"/>
  </r>
  <r>
    <x v="4"/>
    <x v="0"/>
    <x v="28"/>
    <m/>
    <n v="234"/>
    <n v="0"/>
    <n v="0"/>
    <n v="68"/>
    <n v="0"/>
    <n v="2"/>
    <n v="164"/>
  </r>
  <r>
    <x v="3"/>
    <x v="2"/>
    <x v="26"/>
    <m/>
    <n v="107"/>
    <n v="0"/>
    <n v="0"/>
    <n v="0"/>
    <n v="0"/>
    <n v="0"/>
    <n v="107"/>
  </r>
  <r>
    <x v="4"/>
    <x v="0"/>
    <x v="39"/>
    <m/>
    <n v="50"/>
    <n v="0"/>
    <n v="0"/>
    <n v="25"/>
    <n v="0"/>
    <n v="0"/>
    <n v="25"/>
  </r>
  <r>
    <x v="3"/>
    <x v="0"/>
    <x v="16"/>
    <m/>
    <n v="313"/>
    <n v="0"/>
    <n v="0"/>
    <n v="285"/>
    <n v="0"/>
    <n v="0"/>
    <n v="28"/>
  </r>
  <r>
    <x v="2"/>
    <x v="1"/>
    <x v="10"/>
    <s v="S40000005"/>
    <n v="38"/>
    <n v="0"/>
    <n v="7"/>
    <n v="0"/>
    <n v="0"/>
    <n v="0"/>
    <n v="38"/>
  </r>
  <r>
    <x v="5"/>
    <x v="0"/>
    <x v="39"/>
    <s v="S12000005"/>
    <n v="45"/>
    <n v="0"/>
    <n v="0"/>
    <n v="20"/>
    <n v="0"/>
    <n v="0"/>
    <n v="25"/>
  </r>
  <r>
    <x v="3"/>
    <x v="0"/>
    <x v="39"/>
    <m/>
    <n v="49"/>
    <n v="0"/>
    <n v="0"/>
    <n v="25"/>
    <n v="0"/>
    <n v="0"/>
    <n v="24"/>
  </r>
  <r>
    <x v="4"/>
    <x v="1"/>
    <x v="6"/>
    <m/>
    <n v="18"/>
    <n v="0"/>
    <n v="4"/>
    <n v="0"/>
    <n v="0"/>
    <n v="0"/>
    <n v="18"/>
  </r>
  <r>
    <x v="3"/>
    <x v="0"/>
    <x v="41"/>
    <m/>
    <n v="357"/>
    <n v="0"/>
    <n v="0"/>
    <n v="103"/>
    <n v="0"/>
    <n v="0"/>
    <n v="254"/>
  </r>
  <r>
    <x v="1"/>
    <x v="0"/>
    <x v="27"/>
    <m/>
    <n v="198"/>
    <n v="0"/>
    <n v="0"/>
    <n v="29"/>
    <n v="0"/>
    <n v="0"/>
    <n v="169"/>
  </r>
  <r>
    <x v="3"/>
    <x v="0"/>
    <x v="46"/>
    <m/>
    <n v="75"/>
    <n v="0"/>
    <n v="0"/>
    <n v="0"/>
    <n v="0"/>
    <n v="0"/>
    <n v="75"/>
  </r>
  <r>
    <x v="2"/>
    <x v="0"/>
    <x v="8"/>
    <s v="S40000003"/>
    <n v="201"/>
    <n v="0"/>
    <n v="0"/>
    <n v="104"/>
    <n v="0"/>
    <n v="22"/>
    <n v="75"/>
  </r>
  <r>
    <x v="5"/>
    <x v="0"/>
    <x v="18"/>
    <s v="S12000035"/>
    <n v="433"/>
    <n v="0"/>
    <n v="0"/>
    <n v="176"/>
    <n v="0"/>
    <n v="203"/>
    <n v="54"/>
  </r>
  <r>
    <x v="1"/>
    <x v="0"/>
    <x v="2"/>
    <m/>
    <n v="98"/>
    <n v="0"/>
    <n v="0"/>
    <n v="35"/>
    <n v="0"/>
    <n v="0"/>
    <n v="63"/>
  </r>
  <r>
    <x v="3"/>
    <x v="0"/>
    <x v="20"/>
    <m/>
    <n v="121"/>
    <n v="0"/>
    <n v="0"/>
    <n v="121"/>
    <n v="0"/>
    <n v="0"/>
    <n v="0"/>
  </r>
  <r>
    <x v="2"/>
    <x v="1"/>
    <x v="35"/>
    <s v="S40000003"/>
    <n v="28"/>
    <n v="0"/>
    <n v="3"/>
    <n v="0"/>
    <n v="0"/>
    <n v="0"/>
    <n v="28"/>
  </r>
  <r>
    <x v="4"/>
    <x v="0"/>
    <x v="33"/>
    <m/>
    <n v="120"/>
    <n v="0"/>
    <n v="0"/>
    <n v="96"/>
    <n v="0"/>
    <n v="0"/>
    <n v="24"/>
  </r>
  <r>
    <x v="5"/>
    <x v="1"/>
    <x v="36"/>
    <s v="S39000018"/>
    <n v="29"/>
    <n v="0"/>
    <n v="1"/>
    <n v="0"/>
    <n v="0"/>
    <n v="0"/>
    <n v="29"/>
  </r>
  <r>
    <x v="4"/>
    <x v="0"/>
    <x v="42"/>
    <m/>
    <n v="141"/>
    <n v="0"/>
    <n v="0"/>
    <n v="109"/>
    <n v="0"/>
    <n v="3"/>
    <n v="29"/>
  </r>
  <r>
    <x v="0"/>
    <x v="1"/>
    <x v="34"/>
    <s v="S40000005"/>
    <n v="26"/>
    <n v="0"/>
    <n v="7"/>
    <n v="0"/>
    <n v="0"/>
    <n v="0"/>
    <n v="26"/>
  </r>
  <r>
    <x v="3"/>
    <x v="0"/>
    <x v="0"/>
    <m/>
    <n v="37"/>
    <n v="0"/>
    <n v="0"/>
    <n v="11"/>
    <n v="0"/>
    <n v="0"/>
    <n v="26"/>
  </r>
  <r>
    <x v="4"/>
    <x v="0"/>
    <x v="41"/>
    <m/>
    <n v="344"/>
    <n v="0"/>
    <n v="0"/>
    <n v="105"/>
    <n v="0"/>
    <n v="0"/>
    <n v="239"/>
  </r>
  <r>
    <x v="3"/>
    <x v="0"/>
    <x v="24"/>
    <m/>
    <n v="47"/>
    <n v="0"/>
    <n v="0"/>
    <n v="0"/>
    <n v="0"/>
    <n v="0"/>
    <n v="47"/>
  </r>
  <r>
    <x v="5"/>
    <x v="0"/>
    <x v="0"/>
    <s v="S12000019"/>
    <n v="39"/>
    <n v="0"/>
    <n v="0"/>
    <n v="13"/>
    <n v="0"/>
    <n v="0"/>
    <n v="26"/>
  </r>
  <r>
    <x v="5"/>
    <x v="1"/>
    <x v="11"/>
    <s v="S39000001"/>
    <n v="16"/>
    <n v="0"/>
    <n v="0"/>
    <n v="0"/>
    <n v="0"/>
    <n v="0"/>
    <n v="16"/>
  </r>
  <r>
    <x v="5"/>
    <x v="3"/>
    <x v="44"/>
    <s v="S92000003"/>
    <n v="1148"/>
    <n v="207"/>
    <n v="0"/>
    <n v="0"/>
    <n v="792"/>
    <n v="0"/>
    <n v="149"/>
  </r>
  <r>
    <x v="1"/>
    <x v="1"/>
    <x v="12"/>
    <m/>
    <n v="23"/>
    <n v="0"/>
    <n v="0"/>
    <n v="0"/>
    <n v="0"/>
    <n v="0"/>
    <n v="23"/>
  </r>
  <r>
    <x v="5"/>
    <x v="1"/>
    <x v="41"/>
    <s v="S39000019"/>
    <n v="18"/>
    <n v="0"/>
    <n v="1"/>
    <n v="0"/>
    <n v="0"/>
    <n v="0"/>
    <n v="18"/>
  </r>
  <r>
    <x v="0"/>
    <x v="1"/>
    <x v="40"/>
    <s v="S40000003"/>
    <n v="27"/>
    <n v="0"/>
    <n v="4"/>
    <n v="0"/>
    <n v="0"/>
    <n v="0"/>
    <n v="27"/>
  </r>
  <r>
    <x v="0"/>
    <x v="1"/>
    <x v="29"/>
    <s v="S40000004"/>
    <n v="19"/>
    <n v="0"/>
    <n v="2"/>
    <n v="0"/>
    <n v="0"/>
    <n v="0"/>
    <n v="19"/>
  </r>
  <r>
    <x v="3"/>
    <x v="0"/>
    <x v="43"/>
    <m/>
    <n v="302"/>
    <n v="0"/>
    <n v="0"/>
    <n v="7"/>
    <n v="0"/>
    <n v="0"/>
    <n v="295"/>
  </r>
  <r>
    <x v="3"/>
    <x v="1"/>
    <x v="47"/>
    <m/>
    <n v="29"/>
    <n v="0"/>
    <n v="4"/>
    <n v="0"/>
    <n v="0"/>
    <n v="0"/>
    <n v="29"/>
  </r>
  <r>
    <x v="2"/>
    <x v="0"/>
    <x v="43"/>
    <s v="S40000004"/>
    <n v="314"/>
    <n v="0"/>
    <n v="0"/>
    <n v="8"/>
    <n v="0"/>
    <n v="0"/>
    <n v="306"/>
  </r>
  <r>
    <x v="2"/>
    <x v="0"/>
    <x v="20"/>
    <s v="S40000005"/>
    <n v="135"/>
    <n v="0"/>
    <n v="0"/>
    <n v="135"/>
    <n v="0"/>
    <n v="0"/>
    <n v="0"/>
  </r>
  <r>
    <x v="1"/>
    <x v="2"/>
    <x v="21"/>
    <m/>
    <n v="52"/>
    <n v="0"/>
    <n v="0"/>
    <n v="0"/>
    <n v="0"/>
    <n v="0"/>
    <n v="52"/>
  </r>
  <r>
    <x v="1"/>
    <x v="0"/>
    <x v="24"/>
    <m/>
    <n v="53"/>
    <n v="0"/>
    <n v="0"/>
    <n v="0"/>
    <n v="0"/>
    <n v="0"/>
    <n v="53"/>
  </r>
  <r>
    <x v="1"/>
    <x v="0"/>
    <x v="5"/>
    <m/>
    <n v="96"/>
    <n v="0"/>
    <n v="0"/>
    <n v="21"/>
    <n v="0"/>
    <n v="0"/>
    <n v="75"/>
  </r>
  <r>
    <x v="5"/>
    <x v="1"/>
    <x v="29"/>
    <s v="S39000010"/>
    <n v="20"/>
    <n v="0"/>
    <n v="0"/>
    <n v="0"/>
    <n v="0"/>
    <n v="0"/>
    <n v="20"/>
  </r>
  <r>
    <x v="1"/>
    <x v="0"/>
    <x v="20"/>
    <m/>
    <n v="135"/>
    <n v="0"/>
    <n v="0"/>
    <n v="132"/>
    <n v="0"/>
    <n v="0"/>
    <n v="3"/>
  </r>
  <r>
    <x v="0"/>
    <x v="0"/>
    <x v="1"/>
    <s v="S40000003"/>
    <n v="125"/>
    <n v="0"/>
    <n v="0"/>
    <n v="78"/>
    <n v="0"/>
    <n v="0"/>
    <n v="47"/>
  </r>
  <r>
    <x v="0"/>
    <x v="1"/>
    <x v="28"/>
    <s v="S40000003"/>
    <n v="16"/>
    <n v="0"/>
    <n v="2"/>
    <n v="0"/>
    <n v="0"/>
    <n v="0"/>
    <n v="16"/>
  </r>
  <r>
    <x v="4"/>
    <x v="0"/>
    <x v="25"/>
    <m/>
    <n v="181"/>
    <n v="0"/>
    <n v="0"/>
    <n v="12"/>
    <n v="0"/>
    <n v="0"/>
    <n v="169"/>
  </r>
  <r>
    <x v="3"/>
    <x v="0"/>
    <x v="4"/>
    <m/>
    <n v="133"/>
    <n v="0"/>
    <n v="0"/>
    <n v="133"/>
    <n v="0"/>
    <n v="0"/>
    <n v="0"/>
  </r>
  <r>
    <x v="3"/>
    <x v="1"/>
    <x v="36"/>
    <m/>
    <n v="31"/>
    <n v="0"/>
    <n v="3"/>
    <n v="0"/>
    <n v="0"/>
    <n v="0"/>
    <n v="31"/>
  </r>
  <r>
    <x v="4"/>
    <x v="1"/>
    <x v="31"/>
    <m/>
    <n v="9"/>
    <n v="0"/>
    <n v="8"/>
    <n v="0"/>
    <n v="0"/>
    <n v="0"/>
    <n v="9"/>
  </r>
  <r>
    <x v="0"/>
    <x v="1"/>
    <x v="31"/>
    <s v="S40000005"/>
    <n v="15"/>
    <n v="0"/>
    <n v="7"/>
    <n v="0"/>
    <n v="0"/>
    <n v="0"/>
    <n v="15"/>
  </r>
  <r>
    <x v="5"/>
    <x v="0"/>
    <x v="42"/>
    <s v="S12000020"/>
    <n v="154"/>
    <n v="0"/>
    <n v="0"/>
    <n v="120"/>
    <n v="0"/>
    <n v="4"/>
    <n v="30"/>
  </r>
  <r>
    <x v="4"/>
    <x v="1"/>
    <x v="10"/>
    <m/>
    <n v="20"/>
    <n v="0"/>
    <n v="11"/>
    <n v="0"/>
    <n v="0"/>
    <n v="0"/>
    <n v="20"/>
  </r>
  <r>
    <x v="3"/>
    <x v="0"/>
    <x v="1"/>
    <m/>
    <n v="123"/>
    <n v="0"/>
    <n v="0"/>
    <n v="77"/>
    <n v="0"/>
    <n v="0"/>
    <n v="46"/>
  </r>
  <r>
    <x v="5"/>
    <x v="0"/>
    <x v="8"/>
    <s v="S12000021"/>
    <n v="205"/>
    <n v="0"/>
    <n v="0"/>
    <n v="107"/>
    <n v="0"/>
    <n v="22"/>
    <n v="76"/>
  </r>
  <r>
    <x v="3"/>
    <x v="1"/>
    <x v="9"/>
    <m/>
    <n v="38"/>
    <n v="0"/>
    <n v="4"/>
    <n v="0"/>
    <n v="0"/>
    <n v="0"/>
    <n v="38"/>
  </r>
  <r>
    <x v="2"/>
    <x v="0"/>
    <x v="22"/>
    <s v="S40000004"/>
    <n v="126"/>
    <n v="0"/>
    <n v="0"/>
    <n v="75"/>
    <n v="0"/>
    <n v="0"/>
    <n v="51"/>
  </r>
  <r>
    <x v="1"/>
    <x v="1"/>
    <x v="17"/>
    <m/>
    <n v="27"/>
    <n v="0"/>
    <n v="0"/>
    <n v="0"/>
    <n v="0"/>
    <n v="0"/>
    <n v="27"/>
  </r>
  <r>
    <x v="5"/>
    <x v="0"/>
    <x v="2"/>
    <s v="S12000018"/>
    <n v="116"/>
    <n v="0"/>
    <n v="0"/>
    <n v="44"/>
    <n v="0"/>
    <n v="0"/>
    <n v="72"/>
  </r>
  <r>
    <x v="0"/>
    <x v="0"/>
    <x v="39"/>
    <s v="S40000002"/>
    <n v="51"/>
    <n v="0"/>
    <n v="0"/>
    <n v="27"/>
    <n v="0"/>
    <n v="0"/>
    <n v="24"/>
  </r>
  <r>
    <x v="5"/>
    <x v="1"/>
    <x v="6"/>
    <s v="S39000004"/>
    <n v="22"/>
    <n v="0"/>
    <n v="1"/>
    <n v="0"/>
    <n v="0"/>
    <n v="0"/>
    <n v="22"/>
  </r>
  <r>
    <x v="1"/>
    <x v="0"/>
    <x v="33"/>
    <m/>
    <n v="127"/>
    <n v="0"/>
    <n v="0"/>
    <n v="100"/>
    <n v="0"/>
    <n v="0"/>
    <n v="27"/>
  </r>
  <r>
    <x v="0"/>
    <x v="0"/>
    <x v="20"/>
    <s v="S40000005"/>
    <n v="131"/>
    <n v="0"/>
    <n v="0"/>
    <n v="131"/>
    <n v="0"/>
    <n v="0"/>
    <n v="0"/>
  </r>
  <r>
    <x v="2"/>
    <x v="0"/>
    <x v="48"/>
    <s v="S40000003"/>
    <n v="117"/>
    <n v="0"/>
    <n v="0"/>
    <n v="15"/>
    <n v="0"/>
    <n v="0"/>
    <n v="102"/>
  </r>
  <r>
    <x v="3"/>
    <x v="0"/>
    <x v="11"/>
    <m/>
    <n v="165"/>
    <n v="0"/>
    <n v="0"/>
    <n v="11"/>
    <n v="0"/>
    <n v="0"/>
    <n v="154"/>
  </r>
  <r>
    <x v="1"/>
    <x v="1"/>
    <x v="40"/>
    <m/>
    <n v="25"/>
    <n v="0"/>
    <n v="4"/>
    <n v="0"/>
    <n v="0"/>
    <n v="0"/>
    <n v="25"/>
  </r>
  <r>
    <x v="0"/>
    <x v="0"/>
    <x v="41"/>
    <s v="S40000002"/>
    <n v="363"/>
    <n v="0"/>
    <n v="0"/>
    <n v="109"/>
    <n v="0"/>
    <n v="0"/>
    <n v="254"/>
  </r>
  <r>
    <x v="4"/>
    <x v="0"/>
    <x v="2"/>
    <m/>
    <n v="103"/>
    <n v="0"/>
    <n v="0"/>
    <n v="36"/>
    <n v="0"/>
    <n v="0"/>
    <n v="67"/>
  </r>
  <r>
    <x v="4"/>
    <x v="0"/>
    <x v="0"/>
    <m/>
    <n v="36"/>
    <n v="0"/>
    <n v="0"/>
    <n v="11"/>
    <n v="0"/>
    <n v="0"/>
    <n v="25"/>
  </r>
  <r>
    <x v="3"/>
    <x v="1"/>
    <x v="23"/>
    <m/>
    <n v="30"/>
    <n v="0"/>
    <n v="2"/>
    <n v="0"/>
    <n v="0"/>
    <n v="0"/>
    <n v="30"/>
  </r>
  <r>
    <x v="2"/>
    <x v="0"/>
    <x v="13"/>
    <s v="S40000004"/>
    <n v="90"/>
    <n v="0"/>
    <n v="0"/>
    <n v="65"/>
    <n v="0"/>
    <n v="0"/>
    <n v="25"/>
  </r>
  <r>
    <x v="3"/>
    <x v="1"/>
    <x v="31"/>
    <m/>
    <n v="17"/>
    <n v="0"/>
    <n v="7"/>
    <n v="0"/>
    <n v="0"/>
    <n v="0"/>
    <n v="17"/>
  </r>
  <r>
    <x v="0"/>
    <x v="2"/>
    <x v="26"/>
    <s v="S40000003"/>
    <n v="91"/>
    <n v="0"/>
    <n v="0"/>
    <n v="0"/>
    <n v="0"/>
    <n v="0"/>
    <n v="91"/>
  </r>
  <r>
    <x v="2"/>
    <x v="0"/>
    <x v="39"/>
    <s v="S40000004"/>
    <n v="50"/>
    <n v="0"/>
    <n v="0"/>
    <n v="25"/>
    <n v="0"/>
    <n v="0"/>
    <n v="25"/>
  </r>
  <r>
    <x v="2"/>
    <x v="1"/>
    <x v="12"/>
    <s v="S40000003"/>
    <n v="25"/>
    <n v="0"/>
    <n v="0"/>
    <n v="0"/>
    <n v="0"/>
    <n v="0"/>
    <n v="25"/>
  </r>
  <r>
    <x v="4"/>
    <x v="0"/>
    <x v="12"/>
    <m/>
    <n v="491"/>
    <n v="0"/>
    <n v="0"/>
    <n v="0"/>
    <n v="0"/>
    <n v="0"/>
    <n v="491"/>
  </r>
  <r>
    <x v="4"/>
    <x v="1"/>
    <x v="38"/>
    <m/>
    <n v="24"/>
    <n v="0"/>
    <n v="8"/>
    <n v="0"/>
    <n v="0"/>
    <n v="0"/>
    <n v="24"/>
  </r>
  <r>
    <x v="4"/>
    <x v="0"/>
    <x v="8"/>
    <m/>
    <n v="191"/>
    <n v="0"/>
    <n v="0"/>
    <n v="96"/>
    <n v="0"/>
    <n v="20"/>
    <n v="75"/>
  </r>
  <r>
    <x v="5"/>
    <x v="1"/>
    <x v="47"/>
    <s v="S39000007"/>
    <n v="25"/>
    <n v="0"/>
    <n v="2"/>
    <n v="0"/>
    <n v="0"/>
    <n v="0"/>
    <n v="25"/>
  </r>
  <r>
    <x v="5"/>
    <x v="0"/>
    <x v="33"/>
    <s v="S12000041"/>
    <n v="126"/>
    <n v="0"/>
    <n v="0"/>
    <n v="98"/>
    <n v="0"/>
    <n v="0"/>
    <n v="28"/>
  </r>
  <r>
    <x v="4"/>
    <x v="1"/>
    <x v="3"/>
    <m/>
    <n v="19"/>
    <n v="0"/>
    <n v="0"/>
    <n v="0"/>
    <n v="0"/>
    <n v="0"/>
    <n v="19"/>
  </r>
  <r>
    <x v="4"/>
    <x v="0"/>
    <x v="32"/>
    <m/>
    <n v="137"/>
    <n v="0"/>
    <n v="0"/>
    <n v="53"/>
    <n v="0"/>
    <n v="0"/>
    <n v="84"/>
  </r>
  <r>
    <x v="3"/>
    <x v="0"/>
    <x v="37"/>
    <m/>
    <n v="193"/>
    <n v="0"/>
    <n v="0"/>
    <n v="140"/>
    <n v="0"/>
    <n v="0"/>
    <n v="53"/>
  </r>
  <r>
    <x v="5"/>
    <x v="0"/>
    <x v="43"/>
    <s v="S12000036"/>
    <n v="306"/>
    <n v="0"/>
    <n v="0"/>
    <n v="9"/>
    <n v="0"/>
    <n v="0"/>
    <n v="297"/>
  </r>
  <r>
    <x v="2"/>
    <x v="0"/>
    <x v="4"/>
    <s v="S40000005"/>
    <n v="134"/>
    <n v="0"/>
    <n v="0"/>
    <n v="134"/>
    <n v="0"/>
    <n v="0"/>
    <n v="0"/>
  </r>
  <r>
    <x v="3"/>
    <x v="0"/>
    <x v="32"/>
    <m/>
    <n v="137"/>
    <n v="0"/>
    <n v="0"/>
    <n v="50"/>
    <n v="0"/>
    <n v="0"/>
    <n v="87"/>
  </r>
  <r>
    <x v="1"/>
    <x v="0"/>
    <x v="13"/>
    <m/>
    <n v="81"/>
    <n v="0"/>
    <n v="0"/>
    <n v="56"/>
    <n v="0"/>
    <n v="0"/>
    <n v="25"/>
  </r>
  <r>
    <x v="0"/>
    <x v="0"/>
    <x v="13"/>
    <s v="S40000004"/>
    <n v="90"/>
    <n v="0"/>
    <n v="0"/>
    <n v="64"/>
    <n v="0"/>
    <n v="0"/>
    <n v="26"/>
  </r>
  <r>
    <x v="0"/>
    <x v="0"/>
    <x v="27"/>
    <s v="S40000003"/>
    <n v="198"/>
    <n v="0"/>
    <n v="0"/>
    <n v="38"/>
    <n v="0"/>
    <n v="0"/>
    <n v="160"/>
  </r>
  <r>
    <x v="0"/>
    <x v="1"/>
    <x v="6"/>
    <s v="S40000003"/>
    <n v="21"/>
    <n v="0"/>
    <n v="4"/>
    <n v="0"/>
    <n v="0"/>
    <n v="0"/>
    <n v="21"/>
  </r>
  <r>
    <x v="1"/>
    <x v="0"/>
    <x v="42"/>
    <m/>
    <n v="149"/>
    <n v="0"/>
    <n v="0"/>
    <n v="116"/>
    <n v="0"/>
    <n v="3"/>
    <n v="30"/>
  </r>
  <r>
    <x v="2"/>
    <x v="0"/>
    <x v="46"/>
    <s v="S40000003"/>
    <n v="79"/>
    <n v="0"/>
    <n v="0"/>
    <n v="0"/>
    <n v="0"/>
    <n v="0"/>
    <n v="79"/>
  </r>
  <r>
    <x v="1"/>
    <x v="0"/>
    <x v="16"/>
    <m/>
    <n v="294"/>
    <n v="0"/>
    <n v="0"/>
    <n v="266"/>
    <n v="0"/>
    <n v="0"/>
    <n v="28"/>
  </r>
  <r>
    <x v="3"/>
    <x v="0"/>
    <x v="48"/>
    <m/>
    <n v="112"/>
    <n v="0"/>
    <n v="0"/>
    <n v="13"/>
    <n v="0"/>
    <n v="0"/>
    <n v="99"/>
  </r>
  <r>
    <x v="4"/>
    <x v="1"/>
    <x v="47"/>
    <m/>
    <n v="32"/>
    <n v="0"/>
    <n v="4"/>
    <n v="0"/>
    <n v="0"/>
    <n v="0"/>
    <n v="32"/>
  </r>
  <r>
    <x v="0"/>
    <x v="0"/>
    <x v="12"/>
    <s v="S40000003"/>
    <n v="499"/>
    <n v="0"/>
    <n v="0"/>
    <n v="0"/>
    <n v="0"/>
    <n v="0"/>
    <n v="499"/>
  </r>
  <r>
    <x v="1"/>
    <x v="0"/>
    <x v="7"/>
    <m/>
    <n v="98"/>
    <n v="0"/>
    <n v="0"/>
    <n v="46"/>
    <n v="0"/>
    <n v="0"/>
    <n v="52"/>
  </r>
  <r>
    <x v="3"/>
    <x v="1"/>
    <x v="10"/>
    <m/>
    <n v="33"/>
    <n v="0"/>
    <n v="10"/>
    <n v="0"/>
    <n v="0"/>
    <n v="0"/>
    <n v="33"/>
  </r>
  <r>
    <x v="4"/>
    <x v="0"/>
    <x v="46"/>
    <m/>
    <n v="71"/>
    <n v="0"/>
    <n v="0"/>
    <n v="0"/>
    <n v="0"/>
    <n v="0"/>
    <n v="71"/>
  </r>
  <r>
    <x v="3"/>
    <x v="1"/>
    <x v="35"/>
    <m/>
    <n v="28"/>
    <n v="0"/>
    <n v="6"/>
    <n v="0"/>
    <n v="0"/>
    <n v="0"/>
    <n v="28"/>
  </r>
  <r>
    <x v="6"/>
    <x v="0"/>
    <x v="46"/>
    <s v="S12000045"/>
    <n v="72"/>
    <m/>
    <m/>
    <n v="0"/>
    <m/>
    <n v="0"/>
    <n v="72"/>
  </r>
  <r>
    <x v="6"/>
    <x v="0"/>
    <x v="7"/>
    <s v="S12000028"/>
    <n v="114"/>
    <m/>
    <m/>
    <n v="54"/>
    <m/>
    <n v="0"/>
    <n v="60"/>
  </r>
  <r>
    <x v="7"/>
    <x v="0"/>
    <x v="37"/>
    <s v="S12000026"/>
    <n v="209"/>
    <m/>
    <m/>
    <n v="134"/>
    <m/>
    <n v="0"/>
    <n v="75"/>
  </r>
  <r>
    <x v="7"/>
    <x v="0"/>
    <x v="24"/>
    <s v="S12000011"/>
    <n v="59"/>
    <m/>
    <m/>
    <n v="0"/>
    <m/>
    <n v="0"/>
    <n v="59"/>
  </r>
  <r>
    <x v="8"/>
    <x v="0"/>
    <x v="6"/>
    <s v="S12000006"/>
    <n v="260"/>
    <m/>
    <m/>
    <n v="190"/>
    <m/>
    <n v="5"/>
    <n v="65"/>
  </r>
  <r>
    <x v="0"/>
    <x v="1"/>
    <x v="47"/>
    <s v="S40000004"/>
    <n v="28"/>
    <n v="0"/>
    <n v="4"/>
    <n v="0"/>
    <n v="0"/>
    <n v="0"/>
    <n v="28"/>
  </r>
  <r>
    <x v="5"/>
    <x v="0"/>
    <x v="30"/>
    <s v="S12000023"/>
    <n v="109"/>
    <n v="0"/>
    <n v="0"/>
    <n v="109"/>
    <n v="0"/>
    <n v="0"/>
    <n v="0"/>
  </r>
  <r>
    <x v="2"/>
    <x v="1"/>
    <x v="27"/>
    <s v="S40000003"/>
    <n v="16"/>
    <n v="0"/>
    <n v="0"/>
    <n v="0"/>
    <n v="0"/>
    <n v="0"/>
    <n v="16"/>
  </r>
  <r>
    <x v="2"/>
    <x v="1"/>
    <x v="9"/>
    <m/>
    <n v="38"/>
    <n v="0"/>
    <n v="4"/>
    <n v="0"/>
    <n v="0"/>
    <n v="0"/>
    <n v="38"/>
  </r>
  <r>
    <x v="4"/>
    <x v="1"/>
    <x v="40"/>
    <m/>
    <n v="26"/>
    <n v="0"/>
    <n v="4"/>
    <n v="0"/>
    <n v="0"/>
    <n v="0"/>
    <n v="26"/>
  </r>
  <r>
    <x v="4"/>
    <x v="0"/>
    <x v="27"/>
    <m/>
    <n v="190"/>
    <n v="0"/>
    <n v="0"/>
    <n v="31"/>
    <n v="0"/>
    <n v="0"/>
    <n v="159"/>
  </r>
  <r>
    <x v="5"/>
    <x v="0"/>
    <x v="4"/>
    <s v="S12000027"/>
    <n v="127"/>
    <n v="0"/>
    <n v="0"/>
    <n v="127"/>
    <n v="0"/>
    <n v="0"/>
    <n v="0"/>
  </r>
  <r>
    <x v="4"/>
    <x v="0"/>
    <x v="7"/>
    <m/>
    <n v="96"/>
    <n v="0"/>
    <n v="0"/>
    <n v="48"/>
    <n v="0"/>
    <n v="0"/>
    <n v="48"/>
  </r>
  <r>
    <x v="4"/>
    <x v="0"/>
    <x v="24"/>
    <m/>
    <n v="47"/>
    <n v="0"/>
    <n v="0"/>
    <n v="0"/>
    <n v="0"/>
    <n v="0"/>
    <n v="47"/>
  </r>
  <r>
    <x v="4"/>
    <x v="1"/>
    <x v="35"/>
    <m/>
    <n v="30"/>
    <n v="0"/>
    <n v="0"/>
    <n v="0"/>
    <n v="0"/>
    <n v="0"/>
    <n v="30"/>
  </r>
  <r>
    <x v="4"/>
    <x v="0"/>
    <x v="5"/>
    <m/>
    <n v="87"/>
    <n v="0"/>
    <n v="0"/>
    <n v="19"/>
    <n v="0"/>
    <n v="0"/>
    <n v="68"/>
  </r>
  <r>
    <x v="1"/>
    <x v="0"/>
    <x v="4"/>
    <m/>
    <n v="115"/>
    <n v="0"/>
    <n v="0"/>
    <n v="114"/>
    <n v="0"/>
    <n v="0"/>
    <n v="1"/>
  </r>
  <r>
    <x v="5"/>
    <x v="2"/>
    <x v="21"/>
    <s v="S40000005"/>
    <n v="30"/>
    <n v="0"/>
    <n v="0"/>
    <n v="0"/>
    <n v="0"/>
    <n v="0"/>
    <n v="30"/>
  </r>
  <r>
    <x v="4"/>
    <x v="0"/>
    <x v="37"/>
    <m/>
    <n v="210"/>
    <n v="0"/>
    <n v="0"/>
    <n v="154"/>
    <n v="0"/>
    <n v="0"/>
    <n v="56"/>
  </r>
  <r>
    <x v="5"/>
    <x v="0"/>
    <x v="46"/>
    <s v="S12000045"/>
    <n v="78"/>
    <n v="0"/>
    <n v="0"/>
    <n v="0"/>
    <n v="0"/>
    <n v="0"/>
    <n v="78"/>
  </r>
  <r>
    <x v="5"/>
    <x v="1"/>
    <x v="12"/>
    <s v="S39000012"/>
    <n v="25"/>
    <n v="0"/>
    <n v="0"/>
    <n v="0"/>
    <n v="0"/>
    <n v="0"/>
    <n v="25"/>
  </r>
  <r>
    <x v="5"/>
    <x v="2"/>
    <x v="15"/>
    <s v="S40000004"/>
    <n v="37"/>
    <n v="0"/>
    <n v="0"/>
    <n v="0"/>
    <n v="0"/>
    <n v="0"/>
    <n v="37"/>
  </r>
  <r>
    <x v="1"/>
    <x v="0"/>
    <x v="32"/>
    <m/>
    <n v="152"/>
    <n v="0"/>
    <n v="0"/>
    <n v="61"/>
    <n v="0"/>
    <n v="0"/>
    <n v="91"/>
  </r>
  <r>
    <x v="0"/>
    <x v="0"/>
    <x v="19"/>
    <s v="S40000004"/>
    <n v="115"/>
    <n v="0"/>
    <n v="0"/>
    <n v="58"/>
    <n v="0"/>
    <n v="0"/>
    <n v="57"/>
  </r>
  <r>
    <x v="2"/>
    <x v="1"/>
    <x v="11"/>
    <s v="S40000005"/>
    <n v="13"/>
    <n v="0"/>
    <n v="0"/>
    <n v="0"/>
    <n v="0"/>
    <n v="0"/>
    <n v="13"/>
  </r>
  <r>
    <x v="5"/>
    <x v="2"/>
    <x v="26"/>
    <s v="S40000003"/>
    <n v="79"/>
    <n v="0"/>
    <n v="0"/>
    <n v="0"/>
    <n v="0"/>
    <n v="0"/>
    <n v="79"/>
  </r>
  <r>
    <x v="5"/>
    <x v="1"/>
    <x v="3"/>
    <s v="S39000008"/>
    <n v="14"/>
    <n v="0"/>
    <n v="0"/>
    <n v="0"/>
    <n v="0"/>
    <n v="0"/>
    <n v="14"/>
  </r>
  <r>
    <x v="5"/>
    <x v="0"/>
    <x v="16"/>
    <s v="S12000034"/>
    <n v="314"/>
    <n v="0"/>
    <n v="0"/>
    <n v="284"/>
    <n v="0"/>
    <n v="0"/>
    <n v="30"/>
  </r>
  <r>
    <x v="5"/>
    <x v="0"/>
    <x v="13"/>
    <s v="S12000010"/>
    <n v="86"/>
    <n v="0"/>
    <n v="0"/>
    <n v="62"/>
    <n v="0"/>
    <n v="0"/>
    <n v="24"/>
  </r>
  <r>
    <x v="4"/>
    <x v="0"/>
    <x v="19"/>
    <m/>
    <n v="113"/>
    <n v="0"/>
    <n v="0"/>
    <n v="54"/>
    <n v="0"/>
    <n v="0"/>
    <n v="59"/>
  </r>
  <r>
    <x v="0"/>
    <x v="0"/>
    <x v="48"/>
    <s v="S40000003"/>
    <n v="113"/>
    <n v="0"/>
    <n v="0"/>
    <n v="13"/>
    <n v="0"/>
    <n v="0"/>
    <n v="100"/>
  </r>
  <r>
    <x v="1"/>
    <x v="0"/>
    <x v="19"/>
    <m/>
    <n v="119"/>
    <n v="0"/>
    <n v="0"/>
    <n v="56"/>
    <n v="0"/>
    <n v="0"/>
    <n v="63"/>
  </r>
  <r>
    <x v="4"/>
    <x v="0"/>
    <x v="1"/>
    <m/>
    <n v="118"/>
    <n v="0"/>
    <n v="0"/>
    <n v="71"/>
    <n v="0"/>
    <n v="0"/>
    <n v="47"/>
  </r>
  <r>
    <x v="4"/>
    <x v="1"/>
    <x v="12"/>
    <m/>
    <n v="23"/>
    <n v="0"/>
    <n v="0"/>
    <n v="0"/>
    <n v="0"/>
    <n v="0"/>
    <n v="23"/>
  </r>
  <r>
    <x v="4"/>
    <x v="2"/>
    <x v="26"/>
    <m/>
    <n v="119"/>
    <n v="0"/>
    <n v="0"/>
    <n v="0"/>
    <n v="0"/>
    <n v="0"/>
    <n v="119"/>
  </r>
  <r>
    <x v="0"/>
    <x v="0"/>
    <x v="32"/>
    <s v="S40000004"/>
    <n v="144"/>
    <n v="0"/>
    <n v="0"/>
    <n v="56"/>
    <n v="0"/>
    <n v="0"/>
    <n v="88"/>
  </r>
  <r>
    <x v="1"/>
    <x v="0"/>
    <x v="10"/>
    <m/>
    <n v="591"/>
    <n v="0"/>
    <n v="0"/>
    <n v="464"/>
    <n v="0"/>
    <n v="47"/>
    <n v="80"/>
  </r>
  <r>
    <x v="1"/>
    <x v="0"/>
    <x v="37"/>
    <m/>
    <n v="194"/>
    <n v="0"/>
    <n v="0"/>
    <n v="137"/>
    <n v="0"/>
    <n v="0"/>
    <n v="57"/>
  </r>
  <r>
    <x v="1"/>
    <x v="0"/>
    <x v="12"/>
    <m/>
    <n v="463"/>
    <n v="0"/>
    <n v="0"/>
    <n v="0"/>
    <n v="0"/>
    <n v="0"/>
    <n v="463"/>
  </r>
  <r>
    <x v="1"/>
    <x v="1"/>
    <x v="36"/>
    <m/>
    <n v="23"/>
    <n v="0"/>
    <n v="3"/>
    <n v="0"/>
    <n v="0"/>
    <n v="0"/>
    <n v="23"/>
  </r>
  <r>
    <x v="9"/>
    <x v="3"/>
    <x v="44"/>
    <s v="S92000003"/>
    <n v="609"/>
    <n v="189"/>
    <m/>
    <m/>
    <n v="277"/>
    <m/>
    <n v="143"/>
  </r>
  <r>
    <x v="10"/>
    <x v="1"/>
    <x v="17"/>
    <s v="S39000009"/>
    <n v="27"/>
    <m/>
    <m/>
    <m/>
    <m/>
    <m/>
    <n v="27"/>
  </r>
  <r>
    <x v="0"/>
    <x v="3"/>
    <x v="44"/>
    <s v="S92000003"/>
    <n v="1107"/>
    <n v="182"/>
    <n v="0"/>
    <n v="0"/>
    <n v="835"/>
    <n v="0"/>
    <n v="90"/>
  </r>
  <r>
    <x v="4"/>
    <x v="0"/>
    <x v="10"/>
    <m/>
    <n v="579"/>
    <n v="0"/>
    <n v="0"/>
    <n v="464"/>
    <n v="0"/>
    <n v="42"/>
    <n v="73"/>
  </r>
  <r>
    <x v="6"/>
    <x v="1"/>
    <x v="3"/>
    <s v="S39000008"/>
    <n v="12"/>
    <m/>
    <m/>
    <m/>
    <m/>
    <m/>
    <n v="12"/>
  </r>
  <r>
    <x v="9"/>
    <x v="0"/>
    <x v="18"/>
    <s v="S12000035"/>
    <n v="438"/>
    <m/>
    <m/>
    <n v="177"/>
    <m/>
    <n v="211"/>
    <n v="50"/>
  </r>
  <r>
    <x v="9"/>
    <x v="1"/>
    <x v="31"/>
    <s v="S39000017"/>
    <n v="19"/>
    <m/>
    <m/>
    <m/>
    <m/>
    <m/>
    <n v="19"/>
  </r>
  <r>
    <x v="9"/>
    <x v="0"/>
    <x v="32"/>
    <s v="S12000014"/>
    <n v="141"/>
    <m/>
    <m/>
    <n v="54"/>
    <m/>
    <m/>
    <n v="87"/>
  </r>
  <r>
    <x v="10"/>
    <x v="1"/>
    <x v="45"/>
    <s v="S39000016"/>
    <n v="15"/>
    <m/>
    <m/>
    <m/>
    <m/>
    <m/>
    <n v="15"/>
  </r>
  <r>
    <x v="8"/>
    <x v="0"/>
    <x v="5"/>
    <s v="S12000039"/>
    <n v="89"/>
    <m/>
    <m/>
    <n v="19"/>
    <m/>
    <n v="0"/>
    <n v="70"/>
  </r>
  <r>
    <x v="7"/>
    <x v="1"/>
    <x v="40"/>
    <s v="S39000006"/>
    <n v="23"/>
    <m/>
    <m/>
    <m/>
    <m/>
    <m/>
    <n v="23"/>
  </r>
  <r>
    <x v="7"/>
    <x v="0"/>
    <x v="7"/>
    <s v="S12000028"/>
    <n v="119"/>
    <m/>
    <m/>
    <n v="54"/>
    <m/>
    <n v="0"/>
    <n v="65"/>
  </r>
  <r>
    <x v="7"/>
    <x v="1"/>
    <x v="36"/>
    <s v="S39000018"/>
    <n v="11"/>
    <m/>
    <m/>
    <m/>
    <m/>
    <m/>
    <n v="11"/>
  </r>
  <r>
    <x v="8"/>
    <x v="3"/>
    <x v="44"/>
    <s v="S92000003"/>
    <n v="695"/>
    <n v="203"/>
    <m/>
    <m/>
    <n v="297"/>
    <m/>
    <n v="195"/>
  </r>
  <r>
    <x v="10"/>
    <x v="0"/>
    <x v="30"/>
    <s v="S12000023"/>
    <n v="95"/>
    <m/>
    <m/>
    <n v="95"/>
    <m/>
    <n v="0"/>
    <n v="0"/>
  </r>
  <r>
    <x v="8"/>
    <x v="0"/>
    <x v="19"/>
    <s v="S12000040"/>
    <n v="116"/>
    <m/>
    <m/>
    <n v="55"/>
    <m/>
    <n v="0"/>
    <n v="61"/>
  </r>
  <r>
    <x v="8"/>
    <x v="0"/>
    <x v="32"/>
    <s v="S12000014"/>
    <n v="148"/>
    <m/>
    <m/>
    <n v="53"/>
    <m/>
    <n v="0"/>
    <n v="95"/>
  </r>
  <r>
    <x v="8"/>
    <x v="0"/>
    <x v="48"/>
    <s v="S12000038"/>
    <n v="105"/>
    <m/>
    <m/>
    <n v="13"/>
    <m/>
    <n v="0"/>
    <n v="92"/>
  </r>
  <r>
    <x v="10"/>
    <x v="0"/>
    <x v="19"/>
    <s v="S12000040"/>
    <n v="124"/>
    <m/>
    <m/>
    <n v="64"/>
    <m/>
    <n v="0"/>
    <n v="60"/>
  </r>
  <r>
    <x v="7"/>
    <x v="1"/>
    <x v="31"/>
    <s v="S39000017"/>
    <n v="9"/>
    <m/>
    <m/>
    <m/>
    <m/>
    <m/>
    <n v="9"/>
  </r>
  <r>
    <x v="9"/>
    <x v="1"/>
    <x v="6"/>
    <s v="S39000004"/>
    <n v="22"/>
    <m/>
    <m/>
    <m/>
    <m/>
    <m/>
    <n v="22"/>
  </r>
  <r>
    <x v="6"/>
    <x v="0"/>
    <x v="48"/>
    <s v="S12000038"/>
    <n v="129"/>
    <m/>
    <m/>
    <n v="14"/>
    <m/>
    <n v="0"/>
    <n v="115"/>
  </r>
  <r>
    <x v="8"/>
    <x v="0"/>
    <x v="42"/>
    <s v="S12000020"/>
    <n v="161"/>
    <m/>
    <m/>
    <n v="110"/>
    <m/>
    <n v="20"/>
    <n v="31"/>
  </r>
  <r>
    <x v="7"/>
    <x v="0"/>
    <x v="39"/>
    <s v="S12000005"/>
    <n v="64"/>
    <m/>
    <m/>
    <n v="21"/>
    <m/>
    <n v="0"/>
    <n v="43"/>
  </r>
  <r>
    <x v="8"/>
    <x v="0"/>
    <x v="27"/>
    <s v="S12000044"/>
    <n v="214"/>
    <m/>
    <m/>
    <n v="34"/>
    <m/>
    <n v="0"/>
    <n v="180"/>
  </r>
  <r>
    <x v="6"/>
    <x v="1"/>
    <x v="12"/>
    <s v="S39000012"/>
    <n v="25"/>
    <m/>
    <m/>
    <m/>
    <m/>
    <m/>
    <n v="25"/>
  </r>
  <r>
    <x v="10"/>
    <x v="1"/>
    <x v="3"/>
    <s v="S39000008"/>
    <n v="18"/>
    <m/>
    <m/>
    <m/>
    <m/>
    <m/>
    <n v="18"/>
  </r>
  <r>
    <x v="6"/>
    <x v="1"/>
    <x v="36"/>
    <s v="S39000018"/>
    <n v="12"/>
    <m/>
    <m/>
    <m/>
    <m/>
    <m/>
    <n v="12"/>
  </r>
  <r>
    <x v="8"/>
    <x v="0"/>
    <x v="11"/>
    <s v="S12000033"/>
    <n v="167"/>
    <m/>
    <m/>
    <n v="23"/>
    <m/>
    <n v="0"/>
    <n v="144"/>
  </r>
  <r>
    <x v="10"/>
    <x v="0"/>
    <x v="11"/>
    <s v="S12000033"/>
    <n v="163"/>
    <m/>
    <m/>
    <n v="8"/>
    <m/>
    <n v="0"/>
    <n v="155"/>
  </r>
  <r>
    <x v="6"/>
    <x v="0"/>
    <x v="24"/>
    <s v="S12000011"/>
    <n v="57"/>
    <m/>
    <m/>
    <n v="0"/>
    <m/>
    <n v="0"/>
    <n v="57"/>
  </r>
  <r>
    <x v="9"/>
    <x v="0"/>
    <x v="27"/>
    <s v="S12000044"/>
    <n v="200"/>
    <m/>
    <m/>
    <n v="37"/>
    <m/>
    <m/>
    <n v="163"/>
  </r>
  <r>
    <x v="7"/>
    <x v="1"/>
    <x v="47"/>
    <s v="S39000007"/>
    <n v="21"/>
    <m/>
    <m/>
    <m/>
    <m/>
    <m/>
    <n v="21"/>
  </r>
  <r>
    <x v="6"/>
    <x v="0"/>
    <x v="25"/>
    <s v="S12000042"/>
    <n v="221"/>
    <m/>
    <m/>
    <n v="14"/>
    <m/>
    <n v="0"/>
    <n v="207"/>
  </r>
  <r>
    <x v="10"/>
    <x v="0"/>
    <x v="14"/>
    <s v="S12000024"/>
    <n v="213"/>
    <m/>
    <m/>
    <n v="122"/>
    <m/>
    <n v="23"/>
    <n v="68"/>
  </r>
  <r>
    <x v="9"/>
    <x v="1"/>
    <x v="12"/>
    <s v="S39000012"/>
    <n v="22"/>
    <m/>
    <m/>
    <m/>
    <m/>
    <m/>
    <n v="22"/>
  </r>
  <r>
    <x v="7"/>
    <x v="1"/>
    <x v="28"/>
    <s v="S39000015"/>
    <n v="10"/>
    <m/>
    <m/>
    <m/>
    <m/>
    <m/>
    <n v="10"/>
  </r>
  <r>
    <x v="10"/>
    <x v="1"/>
    <x v="41"/>
    <s v="S39000019"/>
    <n v="24"/>
    <m/>
    <m/>
    <m/>
    <m/>
    <m/>
    <n v="24"/>
  </r>
  <r>
    <x v="7"/>
    <x v="0"/>
    <x v="42"/>
    <s v="S12000020"/>
    <n v="156"/>
    <m/>
    <m/>
    <n v="104"/>
    <m/>
    <n v="32"/>
    <n v="20"/>
  </r>
  <r>
    <x v="7"/>
    <x v="1"/>
    <x v="11"/>
    <s v="S39000001"/>
    <n v="15"/>
    <m/>
    <m/>
    <m/>
    <m/>
    <m/>
    <n v="15"/>
  </r>
  <r>
    <x v="7"/>
    <x v="0"/>
    <x v="33"/>
    <s v="S12000041"/>
    <n v="134"/>
    <m/>
    <m/>
    <n v="99"/>
    <m/>
    <n v="0"/>
    <n v="35"/>
  </r>
  <r>
    <x v="4"/>
    <x v="1"/>
    <x v="36"/>
    <m/>
    <n v="23"/>
    <n v="0"/>
    <n v="2"/>
    <n v="0"/>
    <n v="0"/>
    <n v="0"/>
    <n v="23"/>
  </r>
  <r>
    <x v="5"/>
    <x v="0"/>
    <x v="24"/>
    <s v="S12000011"/>
    <n v="52"/>
    <n v="0"/>
    <n v="0"/>
    <n v="0"/>
    <n v="0"/>
    <n v="0"/>
    <n v="52"/>
  </r>
  <r>
    <x v="1"/>
    <x v="0"/>
    <x v="43"/>
    <m/>
    <n v="302"/>
    <n v="0"/>
    <n v="0"/>
    <n v="9"/>
    <n v="0"/>
    <n v="0"/>
    <n v="293"/>
  </r>
  <r>
    <x v="0"/>
    <x v="0"/>
    <x v="30"/>
    <s v="S40000005"/>
    <n v="112"/>
    <n v="0"/>
    <n v="0"/>
    <n v="112"/>
    <n v="0"/>
    <n v="0"/>
    <n v="0"/>
  </r>
  <r>
    <x v="2"/>
    <x v="0"/>
    <x v="42"/>
    <s v="S40000005"/>
    <n v="155"/>
    <n v="0"/>
    <n v="0"/>
    <n v="121"/>
    <n v="0"/>
    <n v="4"/>
    <n v="30"/>
  </r>
  <r>
    <x v="4"/>
    <x v="3"/>
    <x v="44"/>
    <s v="S92000003"/>
    <n v="1142"/>
    <n v="172"/>
    <n v="0"/>
    <n v="0"/>
    <n v="901"/>
    <n v="0"/>
    <n v="69"/>
  </r>
  <r>
    <x v="5"/>
    <x v="1"/>
    <x v="35"/>
    <s v="S39000003"/>
    <n v="26"/>
    <n v="0"/>
    <n v="1"/>
    <n v="0"/>
    <n v="0"/>
    <n v="0"/>
    <n v="26"/>
  </r>
  <r>
    <x v="0"/>
    <x v="1"/>
    <x v="9"/>
    <m/>
    <n v="37"/>
    <n v="0"/>
    <n v="4"/>
    <n v="0"/>
    <n v="0"/>
    <n v="0"/>
    <n v="37"/>
  </r>
  <r>
    <x v="3"/>
    <x v="0"/>
    <x v="19"/>
    <m/>
    <n v="116"/>
    <n v="0"/>
    <n v="0"/>
    <n v="58"/>
    <n v="0"/>
    <n v="0"/>
    <n v="58"/>
  </r>
  <r>
    <x v="7"/>
    <x v="3"/>
    <x v="44"/>
    <s v="S92000003"/>
    <n v="516"/>
    <n v="223"/>
    <m/>
    <m/>
    <n v="237"/>
    <m/>
    <n v="56"/>
  </r>
  <r>
    <x v="9"/>
    <x v="0"/>
    <x v="7"/>
    <s v="S12000028"/>
    <n v="99"/>
    <m/>
    <m/>
    <n v="49"/>
    <m/>
    <m/>
    <n v="50"/>
  </r>
  <r>
    <x v="10"/>
    <x v="1"/>
    <x v="6"/>
    <s v="S39000004"/>
    <n v="22"/>
    <m/>
    <m/>
    <m/>
    <m/>
    <m/>
    <n v="22"/>
  </r>
  <r>
    <x v="6"/>
    <x v="0"/>
    <x v="32"/>
    <s v="S12000014"/>
    <n v="162"/>
    <m/>
    <m/>
    <n v="68"/>
    <m/>
    <n v="0"/>
    <n v="94"/>
  </r>
  <r>
    <x v="9"/>
    <x v="0"/>
    <x v="37"/>
    <s v="S12000026"/>
    <n v="194"/>
    <m/>
    <m/>
    <n v="143"/>
    <m/>
    <m/>
    <n v="51"/>
  </r>
  <r>
    <x v="10"/>
    <x v="0"/>
    <x v="32"/>
    <s v="S12000014"/>
    <n v="142"/>
    <m/>
    <m/>
    <n v="56"/>
    <m/>
    <n v="0"/>
    <n v="86"/>
  </r>
  <r>
    <x v="8"/>
    <x v="0"/>
    <x v="25"/>
    <s v="S12000042"/>
    <n v="187"/>
    <m/>
    <m/>
    <n v="11"/>
    <m/>
    <n v="0"/>
    <n v="176"/>
  </r>
  <r>
    <x v="10"/>
    <x v="1"/>
    <x v="29"/>
    <s v="S39000010"/>
    <n v="21"/>
    <m/>
    <m/>
    <m/>
    <m/>
    <m/>
    <n v="21"/>
  </r>
  <r>
    <x v="9"/>
    <x v="0"/>
    <x v="0"/>
    <s v="S12000019"/>
    <n v="40"/>
    <m/>
    <m/>
    <n v="12"/>
    <m/>
    <m/>
    <n v="28"/>
  </r>
  <r>
    <x v="7"/>
    <x v="0"/>
    <x v="28"/>
    <s v="S12000029"/>
    <n v="276"/>
    <m/>
    <m/>
    <n v="84"/>
    <m/>
    <n v="2"/>
    <n v="190"/>
  </r>
  <r>
    <x v="6"/>
    <x v="0"/>
    <x v="41"/>
    <s v="S12000047"/>
    <n v="400"/>
    <m/>
    <m/>
    <n v="112"/>
    <m/>
    <n v="0"/>
    <n v="288"/>
  </r>
  <r>
    <x v="7"/>
    <x v="0"/>
    <x v="43"/>
    <s v="S12000036"/>
    <n v="382"/>
    <m/>
    <m/>
    <n v="12"/>
    <m/>
    <n v="0"/>
    <n v="370"/>
  </r>
  <r>
    <x v="10"/>
    <x v="0"/>
    <x v="43"/>
    <s v="S12000036"/>
    <n v="325"/>
    <m/>
    <m/>
    <n v="12"/>
    <m/>
    <n v="0"/>
    <n v="313"/>
  </r>
  <r>
    <x v="8"/>
    <x v="1"/>
    <x v="47"/>
    <s v="S39000007"/>
    <n v="38"/>
    <m/>
    <m/>
    <m/>
    <m/>
    <m/>
    <n v="38"/>
  </r>
  <r>
    <x v="6"/>
    <x v="0"/>
    <x v="42"/>
    <s v="S12000020"/>
    <n v="167"/>
    <m/>
    <m/>
    <n v="121"/>
    <m/>
    <n v="25"/>
    <n v="21"/>
  </r>
  <r>
    <x v="6"/>
    <x v="0"/>
    <x v="30"/>
    <s v="S12000023"/>
    <n v="110"/>
    <m/>
    <m/>
    <n v="109"/>
    <m/>
    <n v="1"/>
    <n v="0"/>
  </r>
  <r>
    <x v="8"/>
    <x v="0"/>
    <x v="4"/>
    <s v="S12000027"/>
    <n v="126"/>
    <m/>
    <m/>
    <n v="126"/>
    <m/>
    <n v="0"/>
    <n v="0"/>
  </r>
  <r>
    <x v="10"/>
    <x v="0"/>
    <x v="24"/>
    <s v="S12000011"/>
    <n v="50"/>
    <m/>
    <m/>
    <n v="0"/>
    <m/>
    <n v="0"/>
    <n v="50"/>
  </r>
  <r>
    <x v="7"/>
    <x v="0"/>
    <x v="4"/>
    <s v="S12000027"/>
    <n v="134"/>
    <m/>
    <m/>
    <n v="134"/>
    <m/>
    <n v="0"/>
    <n v="0"/>
  </r>
  <r>
    <x v="9"/>
    <x v="0"/>
    <x v="42"/>
    <s v="S12000020"/>
    <n v="149"/>
    <m/>
    <m/>
    <n v="120"/>
    <m/>
    <m/>
    <n v="29"/>
  </r>
  <r>
    <x v="9"/>
    <x v="0"/>
    <x v="39"/>
    <s v="S12000005"/>
    <n v="47"/>
    <m/>
    <m/>
    <n v="22"/>
    <m/>
    <m/>
    <n v="25"/>
  </r>
  <r>
    <x v="9"/>
    <x v="1"/>
    <x v="28"/>
    <s v="S39000015"/>
    <n v="16"/>
    <m/>
    <m/>
    <m/>
    <m/>
    <m/>
    <n v="16"/>
  </r>
  <r>
    <x v="10"/>
    <x v="0"/>
    <x v="0"/>
    <s v="S12000019"/>
    <n v="33"/>
    <m/>
    <m/>
    <n v="11"/>
    <m/>
    <n v="0"/>
    <n v="22"/>
  </r>
  <r>
    <x v="8"/>
    <x v="1"/>
    <x v="17"/>
    <s v="S39000009"/>
    <n v="27"/>
    <m/>
    <m/>
    <m/>
    <m/>
    <m/>
    <n v="27"/>
  </r>
  <r>
    <x v="7"/>
    <x v="0"/>
    <x v="5"/>
    <s v="S12000039"/>
    <n v="98"/>
    <m/>
    <m/>
    <n v="18"/>
    <m/>
    <n v="0"/>
    <n v="80"/>
  </r>
  <r>
    <x v="10"/>
    <x v="0"/>
    <x v="6"/>
    <s v="S12000006"/>
    <n v="270"/>
    <m/>
    <m/>
    <n v="202"/>
    <m/>
    <n v="5"/>
    <n v="63"/>
  </r>
  <r>
    <x v="9"/>
    <x v="1"/>
    <x v="41"/>
    <s v="S39000019"/>
    <n v="19"/>
    <m/>
    <m/>
    <m/>
    <m/>
    <m/>
    <n v="19"/>
  </r>
  <r>
    <x v="7"/>
    <x v="0"/>
    <x v="0"/>
    <s v="S12000019"/>
    <n v="45"/>
    <m/>
    <m/>
    <n v="10"/>
    <m/>
    <n v="0"/>
    <n v="35"/>
  </r>
  <r>
    <x v="8"/>
    <x v="1"/>
    <x v="6"/>
    <s v="S39000004"/>
    <n v="19"/>
    <m/>
    <m/>
    <m/>
    <m/>
    <m/>
    <n v="19"/>
  </r>
  <r>
    <x v="6"/>
    <x v="0"/>
    <x v="39"/>
    <s v="S12000005"/>
    <n v="60"/>
    <m/>
    <m/>
    <n v="23"/>
    <m/>
    <n v="0"/>
    <n v="37"/>
  </r>
  <r>
    <x v="5"/>
    <x v="0"/>
    <x v="25"/>
    <s v="S12000042"/>
    <n v="189"/>
    <n v="0"/>
    <n v="0"/>
    <n v="12"/>
    <n v="0"/>
    <n v="0"/>
    <n v="177"/>
  </r>
  <r>
    <x v="4"/>
    <x v="0"/>
    <x v="48"/>
    <m/>
    <n v="109"/>
    <n v="0"/>
    <n v="0"/>
    <n v="14"/>
    <n v="0"/>
    <n v="0"/>
    <n v="95"/>
  </r>
  <r>
    <x v="4"/>
    <x v="1"/>
    <x v="36"/>
    <m/>
    <n v="0"/>
    <n v="0"/>
    <n v="1"/>
    <n v="0"/>
    <n v="0"/>
    <n v="0"/>
    <n v="0"/>
  </r>
  <r>
    <x v="0"/>
    <x v="0"/>
    <x v="33"/>
    <s v="S40000005"/>
    <n v="131"/>
    <n v="0"/>
    <n v="0"/>
    <n v="104"/>
    <n v="0"/>
    <n v="0"/>
    <n v="27"/>
  </r>
  <r>
    <x v="1"/>
    <x v="1"/>
    <x v="3"/>
    <m/>
    <n v="18"/>
    <n v="0"/>
    <n v="0"/>
    <n v="0"/>
    <n v="0"/>
    <n v="0"/>
    <n v="18"/>
  </r>
  <r>
    <x v="9"/>
    <x v="0"/>
    <x v="30"/>
    <s v="S12000023"/>
    <n v="100"/>
    <m/>
    <m/>
    <n v="100"/>
    <m/>
    <m/>
    <m/>
  </r>
  <r>
    <x v="6"/>
    <x v="0"/>
    <x v="16"/>
    <s v="S12000034"/>
    <n v="303"/>
    <m/>
    <m/>
    <n v="280"/>
    <m/>
    <n v="0"/>
    <n v="23"/>
  </r>
  <r>
    <x v="6"/>
    <x v="2"/>
    <x v="15"/>
    <s v="S40000004"/>
    <n v="242"/>
    <m/>
    <m/>
    <m/>
    <n v="163"/>
    <m/>
    <n v="79"/>
  </r>
  <r>
    <x v="8"/>
    <x v="1"/>
    <x v="35"/>
    <s v="S39000003"/>
    <n v="25"/>
    <m/>
    <m/>
    <m/>
    <m/>
    <m/>
    <n v="25"/>
  </r>
  <r>
    <x v="10"/>
    <x v="1"/>
    <x v="34"/>
    <s v="S39000002"/>
    <n v="25"/>
    <m/>
    <m/>
    <m/>
    <m/>
    <m/>
    <n v="25"/>
  </r>
  <r>
    <x v="9"/>
    <x v="0"/>
    <x v="1"/>
    <s v="S12000008"/>
    <n v="131"/>
    <m/>
    <m/>
    <n v="82"/>
    <m/>
    <m/>
    <n v="49"/>
  </r>
  <r>
    <x v="7"/>
    <x v="0"/>
    <x v="30"/>
    <s v="S12000023"/>
    <n v="113"/>
    <m/>
    <m/>
    <n v="113"/>
    <m/>
    <n v="0"/>
    <n v="0"/>
  </r>
  <r>
    <x v="6"/>
    <x v="0"/>
    <x v="19"/>
    <s v="S12000040"/>
    <n v="144"/>
    <m/>
    <m/>
    <n v="65"/>
    <m/>
    <n v="0"/>
    <n v="79"/>
  </r>
  <r>
    <x v="7"/>
    <x v="1"/>
    <x v="29"/>
    <s v="S39000010"/>
    <n v="13"/>
    <m/>
    <m/>
    <m/>
    <m/>
    <m/>
    <n v="13"/>
  </r>
  <r>
    <x v="10"/>
    <x v="0"/>
    <x v="8"/>
    <s v="S12000021"/>
    <n v="202"/>
    <m/>
    <m/>
    <n v="106"/>
    <m/>
    <n v="18"/>
    <n v="78"/>
  </r>
  <r>
    <x v="9"/>
    <x v="0"/>
    <x v="19"/>
    <s v="S12000040"/>
    <n v="123"/>
    <m/>
    <m/>
    <n v="65"/>
    <m/>
    <m/>
    <n v="58"/>
  </r>
  <r>
    <x v="7"/>
    <x v="0"/>
    <x v="27"/>
    <s v="S12000044"/>
    <n v="216"/>
    <m/>
    <m/>
    <n v="28"/>
    <m/>
    <n v="0"/>
    <n v="188"/>
  </r>
  <r>
    <x v="9"/>
    <x v="1"/>
    <x v="3"/>
    <s v="S39000008"/>
    <n v="16"/>
    <m/>
    <m/>
    <m/>
    <m/>
    <m/>
    <n v="16"/>
  </r>
  <r>
    <x v="6"/>
    <x v="2"/>
    <x v="21"/>
    <s v="S40000005"/>
    <n v="193"/>
    <m/>
    <m/>
    <m/>
    <n v="126"/>
    <m/>
    <n v="67"/>
  </r>
  <r>
    <x v="7"/>
    <x v="0"/>
    <x v="8"/>
    <s v="S12000021"/>
    <n v="191"/>
    <m/>
    <m/>
    <n v="94"/>
    <m/>
    <n v="21"/>
    <n v="76"/>
  </r>
  <r>
    <x v="6"/>
    <x v="0"/>
    <x v="20"/>
    <s v="S12000013"/>
    <n v="147"/>
    <m/>
    <m/>
    <n v="147"/>
    <m/>
    <n v="0"/>
    <n v="0"/>
  </r>
  <r>
    <x v="6"/>
    <x v="1"/>
    <x v="41"/>
    <s v="S39000019"/>
    <n v="21"/>
    <m/>
    <m/>
    <m/>
    <m/>
    <m/>
    <n v="21"/>
  </r>
  <r>
    <x v="9"/>
    <x v="0"/>
    <x v="2"/>
    <s v="S12000018"/>
    <n v="114"/>
    <m/>
    <m/>
    <n v="42"/>
    <m/>
    <m/>
    <n v="72"/>
  </r>
  <r>
    <x v="7"/>
    <x v="0"/>
    <x v="32"/>
    <s v="S12000014"/>
    <n v="161"/>
    <m/>
    <m/>
    <n v="65"/>
    <m/>
    <n v="0"/>
    <n v="96"/>
  </r>
  <r>
    <x v="7"/>
    <x v="0"/>
    <x v="6"/>
    <s v="S12000006"/>
    <n v="271"/>
    <m/>
    <m/>
    <n v="198"/>
    <m/>
    <n v="4"/>
    <n v="69"/>
  </r>
  <r>
    <x v="10"/>
    <x v="1"/>
    <x v="11"/>
    <s v="S39000001"/>
    <n v="14"/>
    <m/>
    <m/>
    <m/>
    <m/>
    <m/>
    <n v="14"/>
  </r>
  <r>
    <x v="7"/>
    <x v="1"/>
    <x v="12"/>
    <s v="S39000012"/>
    <n v="28"/>
    <m/>
    <m/>
    <m/>
    <m/>
    <m/>
    <n v="28"/>
  </r>
  <r>
    <x v="6"/>
    <x v="0"/>
    <x v="28"/>
    <s v="S12000029"/>
    <n v="273"/>
    <m/>
    <m/>
    <n v="82"/>
    <m/>
    <n v="4"/>
    <n v="187"/>
  </r>
  <r>
    <x v="8"/>
    <x v="0"/>
    <x v="1"/>
    <s v="S12000008"/>
    <n v="136"/>
    <m/>
    <m/>
    <n v="83"/>
    <m/>
    <n v="0"/>
    <n v="53"/>
  </r>
  <r>
    <x v="10"/>
    <x v="1"/>
    <x v="12"/>
    <s v="S39000012"/>
    <n v="25"/>
    <m/>
    <m/>
    <m/>
    <m/>
    <m/>
    <n v="25"/>
  </r>
  <r>
    <x v="10"/>
    <x v="0"/>
    <x v="20"/>
    <s v="S12000013"/>
    <n v="137"/>
    <m/>
    <m/>
    <n v="137"/>
    <m/>
    <n v="0"/>
    <n v="0"/>
  </r>
  <r>
    <x v="9"/>
    <x v="0"/>
    <x v="25"/>
    <s v="S12000042"/>
    <n v="191"/>
    <m/>
    <m/>
    <n v="13"/>
    <m/>
    <m/>
    <n v="178"/>
  </r>
  <r>
    <x v="9"/>
    <x v="1"/>
    <x v="47"/>
    <s v="S39000007"/>
    <n v="27"/>
    <m/>
    <m/>
    <m/>
    <m/>
    <m/>
    <n v="27"/>
  </r>
  <r>
    <x v="6"/>
    <x v="1"/>
    <x v="29"/>
    <s v="S39000010"/>
    <n v="13"/>
    <m/>
    <m/>
    <m/>
    <m/>
    <m/>
    <n v="13"/>
  </r>
  <r>
    <x v="10"/>
    <x v="2"/>
    <x v="26"/>
    <s v="S40000003"/>
    <n v="340"/>
    <m/>
    <m/>
    <m/>
    <n v="272"/>
    <m/>
    <n v="68"/>
  </r>
  <r>
    <x v="10"/>
    <x v="0"/>
    <x v="1"/>
    <s v="S12000008"/>
    <n v="127"/>
    <m/>
    <m/>
    <n v="81"/>
    <m/>
    <n v="0"/>
    <n v="46"/>
  </r>
  <r>
    <x v="7"/>
    <x v="1"/>
    <x v="41"/>
    <s v="S39000019"/>
    <n v="21"/>
    <m/>
    <m/>
    <m/>
    <m/>
    <m/>
    <n v="21"/>
  </r>
  <r>
    <x v="7"/>
    <x v="0"/>
    <x v="46"/>
    <s v="S12000045"/>
    <n v="74"/>
    <m/>
    <m/>
    <n v="0"/>
    <m/>
    <n v="0"/>
    <n v="74"/>
  </r>
  <r>
    <x v="8"/>
    <x v="0"/>
    <x v="46"/>
    <s v="S12000045"/>
    <n v="71"/>
    <m/>
    <m/>
    <n v="1"/>
    <m/>
    <n v="0"/>
    <n v="70"/>
  </r>
  <r>
    <x v="9"/>
    <x v="1"/>
    <x v="45"/>
    <s v="S39000016"/>
    <n v="18"/>
    <m/>
    <m/>
    <m/>
    <m/>
    <m/>
    <n v="18"/>
  </r>
  <r>
    <x v="6"/>
    <x v="0"/>
    <x v="13"/>
    <s v="S12000010"/>
    <n v="88"/>
    <m/>
    <m/>
    <n v="60"/>
    <m/>
    <n v="0"/>
    <n v="28"/>
  </r>
  <r>
    <x v="10"/>
    <x v="1"/>
    <x v="36"/>
    <s v="S39000018"/>
    <n v="28"/>
    <m/>
    <m/>
    <m/>
    <m/>
    <m/>
    <n v="28"/>
  </r>
  <r>
    <x v="8"/>
    <x v="0"/>
    <x v="7"/>
    <s v="S12000028"/>
    <n v="108"/>
    <m/>
    <m/>
    <n v="53"/>
    <m/>
    <n v="0"/>
    <n v="55"/>
  </r>
  <r>
    <x v="9"/>
    <x v="0"/>
    <x v="49"/>
    <s v="S12000017"/>
    <n v="670"/>
    <m/>
    <m/>
    <n v="538"/>
    <m/>
    <n v="64"/>
    <n v="68"/>
  </r>
  <r>
    <x v="7"/>
    <x v="1"/>
    <x v="34"/>
    <s v="S39000002"/>
    <n v="22"/>
    <m/>
    <m/>
    <m/>
    <m/>
    <m/>
    <n v="22"/>
  </r>
  <r>
    <x v="9"/>
    <x v="0"/>
    <x v="8"/>
    <s v="S12000021"/>
    <n v="205"/>
    <m/>
    <m/>
    <n v="106"/>
    <m/>
    <n v="23"/>
    <n v="76"/>
  </r>
  <r>
    <x v="7"/>
    <x v="0"/>
    <x v="20"/>
    <s v="S12000013"/>
    <n v="132"/>
    <m/>
    <m/>
    <n v="132"/>
    <m/>
    <n v="0"/>
    <n v="0"/>
  </r>
  <r>
    <x v="9"/>
    <x v="0"/>
    <x v="6"/>
    <s v="S12000006"/>
    <n v="247"/>
    <m/>
    <m/>
    <n v="189"/>
    <m/>
    <n v="4"/>
    <n v="54"/>
  </r>
  <r>
    <x v="7"/>
    <x v="0"/>
    <x v="22"/>
    <s v="S12000030"/>
    <n v="136"/>
    <m/>
    <m/>
    <n v="74"/>
    <m/>
    <n v="0"/>
    <n v="62"/>
  </r>
  <r>
    <x v="7"/>
    <x v="0"/>
    <x v="11"/>
    <s v="S12000033"/>
    <n v="182"/>
    <m/>
    <m/>
    <n v="8"/>
    <m/>
    <n v="0"/>
    <n v="174"/>
  </r>
  <r>
    <x v="7"/>
    <x v="0"/>
    <x v="41"/>
    <s v="S12000047"/>
    <n v="400"/>
    <m/>
    <m/>
    <n v="111"/>
    <m/>
    <n v="0"/>
    <n v="289"/>
  </r>
  <r>
    <x v="9"/>
    <x v="1"/>
    <x v="29"/>
    <s v="S39000010"/>
    <n v="19"/>
    <m/>
    <m/>
    <m/>
    <m/>
    <m/>
    <n v="19"/>
  </r>
  <r>
    <x v="8"/>
    <x v="1"/>
    <x v="29"/>
    <s v="S39000010"/>
    <n v="16"/>
    <m/>
    <m/>
    <m/>
    <m/>
    <m/>
    <n v="16"/>
  </r>
  <r>
    <x v="10"/>
    <x v="1"/>
    <x v="35"/>
    <s v="S39000003"/>
    <n v="26"/>
    <m/>
    <m/>
    <m/>
    <m/>
    <m/>
    <n v="26"/>
  </r>
  <r>
    <x v="10"/>
    <x v="2"/>
    <x v="21"/>
    <s v="S40000005"/>
    <n v="180"/>
    <m/>
    <m/>
    <m/>
    <n v="135"/>
    <m/>
    <n v="45"/>
  </r>
  <r>
    <x v="8"/>
    <x v="0"/>
    <x v="41"/>
    <s v="S12000047"/>
    <n v="390"/>
    <m/>
    <m/>
    <n v="112"/>
    <m/>
    <n v="0"/>
    <n v="278"/>
  </r>
  <r>
    <x v="6"/>
    <x v="1"/>
    <x v="11"/>
    <s v="S39000001"/>
    <n v="18"/>
    <m/>
    <m/>
    <m/>
    <m/>
    <m/>
    <n v="18"/>
  </r>
  <r>
    <x v="6"/>
    <x v="1"/>
    <x v="17"/>
    <s v="S39000009"/>
    <n v="24"/>
    <m/>
    <m/>
    <m/>
    <m/>
    <m/>
    <n v="24"/>
  </r>
  <r>
    <x v="9"/>
    <x v="1"/>
    <x v="34"/>
    <s v="S39000002"/>
    <n v="25"/>
    <m/>
    <m/>
    <m/>
    <m/>
    <m/>
    <n v="25"/>
  </r>
  <r>
    <x v="9"/>
    <x v="1"/>
    <x v="36"/>
    <s v="S39000018"/>
    <n v="28"/>
    <m/>
    <m/>
    <m/>
    <m/>
    <m/>
    <n v="28"/>
  </r>
  <r>
    <x v="9"/>
    <x v="0"/>
    <x v="4"/>
    <s v="S12000027"/>
    <n v="118"/>
    <m/>
    <m/>
    <n v="118"/>
    <m/>
    <m/>
    <m/>
  </r>
  <r>
    <x v="9"/>
    <x v="1"/>
    <x v="35"/>
    <s v="S39000003"/>
    <n v="26"/>
    <m/>
    <m/>
    <m/>
    <m/>
    <m/>
    <n v="26"/>
  </r>
  <r>
    <x v="9"/>
    <x v="0"/>
    <x v="20"/>
    <s v="S12000013"/>
    <n v="131"/>
    <m/>
    <m/>
    <n v="131"/>
    <m/>
    <m/>
    <m/>
  </r>
  <r>
    <x v="10"/>
    <x v="2"/>
    <x v="15"/>
    <s v="S40000004"/>
    <n v="202"/>
    <m/>
    <m/>
    <m/>
    <n v="164"/>
    <m/>
    <n v="38"/>
  </r>
  <r>
    <x v="6"/>
    <x v="0"/>
    <x v="0"/>
    <s v="S12000019"/>
    <n v="49"/>
    <m/>
    <m/>
    <n v="14"/>
    <m/>
    <n v="0"/>
    <n v="35"/>
  </r>
  <r>
    <x v="10"/>
    <x v="3"/>
    <x v="44"/>
    <s v="S92000003"/>
    <n v="614"/>
    <n v="165"/>
    <m/>
    <m/>
    <n v="267"/>
    <m/>
    <n v="182"/>
  </r>
  <r>
    <x v="6"/>
    <x v="0"/>
    <x v="4"/>
    <s v="S12000027"/>
    <n v="128"/>
    <m/>
    <m/>
    <n v="127"/>
    <m/>
    <n v="1"/>
    <n v="0"/>
  </r>
  <r>
    <x v="8"/>
    <x v="0"/>
    <x v="43"/>
    <s v="S12000036"/>
    <n v="327"/>
    <m/>
    <m/>
    <n v="12"/>
    <m/>
    <n v="0"/>
    <n v="315"/>
  </r>
  <r>
    <x v="8"/>
    <x v="0"/>
    <x v="33"/>
    <s v="S12000041"/>
    <n v="134"/>
    <m/>
    <m/>
    <n v="98"/>
    <m/>
    <n v="0"/>
    <n v="36"/>
  </r>
  <r>
    <x v="6"/>
    <x v="0"/>
    <x v="6"/>
    <s v="S12000006"/>
    <n v="278"/>
    <m/>
    <m/>
    <n v="206"/>
    <m/>
    <n v="3"/>
    <n v="69"/>
  </r>
  <r>
    <x v="8"/>
    <x v="0"/>
    <x v="30"/>
    <s v="S12000023"/>
    <n v="98"/>
    <m/>
    <m/>
    <n v="98"/>
    <m/>
    <n v="0"/>
    <n v="0"/>
  </r>
  <r>
    <x v="6"/>
    <x v="1"/>
    <x v="6"/>
    <s v="S39000004"/>
    <n v="18"/>
    <m/>
    <m/>
    <m/>
    <m/>
    <m/>
    <n v="18"/>
  </r>
  <r>
    <x v="9"/>
    <x v="0"/>
    <x v="33"/>
    <s v="S12000041"/>
    <n v="121"/>
    <m/>
    <m/>
    <n v="93"/>
    <m/>
    <m/>
    <n v="28"/>
  </r>
  <r>
    <x v="11"/>
    <x v="4"/>
    <x v="50"/>
    <m/>
    <m/>
    <m/>
    <m/>
    <m/>
    <m/>
    <m/>
    <m/>
  </r>
  <r>
    <x v="8"/>
    <x v="0"/>
    <x v="24"/>
    <s v="S12000011"/>
    <n v="55"/>
    <m/>
    <m/>
    <n v="2"/>
    <m/>
    <n v="0"/>
    <n v="53"/>
  </r>
  <r>
    <x v="9"/>
    <x v="0"/>
    <x v="22"/>
    <s v="S12000030"/>
    <n v="122"/>
    <m/>
    <m/>
    <n v="74"/>
    <m/>
    <m/>
    <n v="48"/>
  </r>
  <r>
    <x v="10"/>
    <x v="0"/>
    <x v="33"/>
    <s v="S12000041"/>
    <n v="119"/>
    <m/>
    <m/>
    <n v="94"/>
    <m/>
    <n v="0"/>
    <n v="25"/>
  </r>
  <r>
    <x v="8"/>
    <x v="0"/>
    <x v="37"/>
    <s v="S12000026"/>
    <n v="218"/>
    <m/>
    <m/>
    <n v="147"/>
    <m/>
    <n v="0"/>
    <n v="71"/>
  </r>
  <r>
    <x v="6"/>
    <x v="3"/>
    <x v="44"/>
    <s v="S92000003"/>
    <n v="518"/>
    <n v="230"/>
    <m/>
    <m/>
    <n v="238"/>
    <m/>
    <n v="50"/>
  </r>
  <r>
    <x v="6"/>
    <x v="0"/>
    <x v="18"/>
    <s v="S12000035"/>
    <n v="454"/>
    <m/>
    <m/>
    <n v="175"/>
    <m/>
    <n v="225"/>
    <n v="54"/>
  </r>
  <r>
    <x v="7"/>
    <x v="2"/>
    <x v="21"/>
    <s v="S40000005"/>
    <n v="210"/>
    <m/>
    <m/>
    <m/>
    <n v="133"/>
    <m/>
    <n v="77"/>
  </r>
  <r>
    <x v="8"/>
    <x v="0"/>
    <x v="18"/>
    <s v="S12000035"/>
    <n v="438"/>
    <m/>
    <m/>
    <n v="182"/>
    <m/>
    <n v="201"/>
    <n v="55"/>
  </r>
  <r>
    <x v="10"/>
    <x v="0"/>
    <x v="49"/>
    <s v="S12000017"/>
    <n v="659"/>
    <m/>
    <m/>
    <n v="525"/>
    <m/>
    <n v="67"/>
    <n v="67"/>
  </r>
  <r>
    <x v="8"/>
    <x v="0"/>
    <x v="0"/>
    <s v="S12000019"/>
    <n v="34"/>
    <m/>
    <m/>
    <n v="11"/>
    <m/>
    <n v="0"/>
    <n v="23"/>
  </r>
  <r>
    <x v="7"/>
    <x v="1"/>
    <x v="17"/>
    <s v="S39000009"/>
    <n v="26"/>
    <m/>
    <m/>
    <m/>
    <m/>
    <m/>
    <n v="26"/>
  </r>
  <r>
    <x v="7"/>
    <x v="0"/>
    <x v="49"/>
    <s v="S12000017"/>
    <n v="717"/>
    <m/>
    <m/>
    <n v="564"/>
    <m/>
    <n v="72"/>
    <n v="81"/>
  </r>
  <r>
    <x v="6"/>
    <x v="0"/>
    <x v="27"/>
    <s v="S12000044"/>
    <n v="217"/>
    <m/>
    <m/>
    <n v="30"/>
    <m/>
    <n v="0"/>
    <n v="187"/>
  </r>
  <r>
    <x v="8"/>
    <x v="2"/>
    <x v="21"/>
    <s v="S40000005"/>
    <n v="165"/>
    <m/>
    <m/>
    <m/>
    <n v="121"/>
    <m/>
    <n v="44"/>
  </r>
  <r>
    <x v="8"/>
    <x v="0"/>
    <x v="20"/>
    <s v="S12000013"/>
    <n v="140"/>
    <m/>
    <m/>
    <n v="140"/>
    <m/>
    <n v="0"/>
    <n v="0"/>
  </r>
  <r>
    <x v="6"/>
    <x v="1"/>
    <x v="45"/>
    <s v="S39000016"/>
    <n v="5"/>
    <m/>
    <m/>
    <m/>
    <m/>
    <m/>
    <n v="5"/>
  </r>
  <r>
    <x v="9"/>
    <x v="0"/>
    <x v="12"/>
    <s v="S12000046"/>
    <n v="489"/>
    <m/>
    <m/>
    <m/>
    <m/>
    <m/>
    <n v="489"/>
  </r>
  <r>
    <x v="7"/>
    <x v="1"/>
    <x v="27"/>
    <s v="S39000014"/>
    <n v="14"/>
    <m/>
    <m/>
    <m/>
    <m/>
    <m/>
    <n v="14"/>
  </r>
  <r>
    <x v="9"/>
    <x v="2"/>
    <x v="21"/>
    <s v="S40000005"/>
    <n v="187"/>
    <m/>
    <m/>
    <m/>
    <n v="141"/>
    <m/>
    <n v="46"/>
  </r>
  <r>
    <x v="6"/>
    <x v="1"/>
    <x v="40"/>
    <s v="S39000006"/>
    <n v="20"/>
    <m/>
    <m/>
    <m/>
    <m/>
    <m/>
    <n v="20"/>
  </r>
  <r>
    <x v="6"/>
    <x v="0"/>
    <x v="49"/>
    <s v="S12000017"/>
    <n v="698"/>
    <m/>
    <m/>
    <n v="548"/>
    <m/>
    <n v="69"/>
    <n v="81"/>
  </r>
  <r>
    <x v="10"/>
    <x v="0"/>
    <x v="46"/>
    <s v="S12000045"/>
    <n v="68"/>
    <m/>
    <m/>
    <n v="0"/>
    <m/>
    <n v="0"/>
    <n v="68"/>
  </r>
  <r>
    <x v="9"/>
    <x v="0"/>
    <x v="41"/>
    <s v="S12000047"/>
    <n v="369"/>
    <m/>
    <m/>
    <n v="115"/>
    <m/>
    <m/>
    <n v="254"/>
  </r>
  <r>
    <x v="9"/>
    <x v="1"/>
    <x v="40"/>
    <s v="S39000006"/>
    <n v="27"/>
    <m/>
    <m/>
    <m/>
    <m/>
    <m/>
    <n v="27"/>
  </r>
  <r>
    <x v="8"/>
    <x v="1"/>
    <x v="45"/>
    <s v="S39000016"/>
    <n v="13"/>
    <m/>
    <m/>
    <m/>
    <m/>
    <m/>
    <n v="13"/>
  </r>
  <r>
    <x v="10"/>
    <x v="0"/>
    <x v="16"/>
    <s v="S12000034"/>
    <n v="307"/>
    <m/>
    <m/>
    <n v="282"/>
    <m/>
    <n v="0"/>
    <n v="25"/>
  </r>
  <r>
    <x v="10"/>
    <x v="0"/>
    <x v="13"/>
    <s v="S12000010"/>
    <n v="82"/>
    <m/>
    <m/>
    <n v="55"/>
    <m/>
    <n v="0"/>
    <n v="27"/>
  </r>
  <r>
    <x v="7"/>
    <x v="0"/>
    <x v="19"/>
    <s v="S12000040"/>
    <n v="143"/>
    <m/>
    <m/>
    <n v="58"/>
    <m/>
    <n v="0"/>
    <n v="85"/>
  </r>
  <r>
    <x v="10"/>
    <x v="0"/>
    <x v="18"/>
    <s v="S12000035"/>
    <n v="428"/>
    <m/>
    <m/>
    <n v="185"/>
    <m/>
    <n v="200"/>
    <n v="43"/>
  </r>
  <r>
    <x v="8"/>
    <x v="1"/>
    <x v="27"/>
    <s v="S39000014"/>
    <n v="20"/>
    <m/>
    <m/>
    <m/>
    <m/>
    <m/>
    <n v="20"/>
  </r>
  <r>
    <x v="9"/>
    <x v="0"/>
    <x v="5"/>
    <s v="S12000039"/>
    <n v="86"/>
    <m/>
    <m/>
    <n v="18"/>
    <m/>
    <m/>
    <n v="68"/>
  </r>
  <r>
    <x v="8"/>
    <x v="1"/>
    <x v="28"/>
    <s v="S39000015"/>
    <n v="16"/>
    <m/>
    <m/>
    <m/>
    <m/>
    <m/>
    <n v="16"/>
  </r>
  <r>
    <x v="7"/>
    <x v="1"/>
    <x v="3"/>
    <s v="S39000008"/>
    <n v="12"/>
    <m/>
    <m/>
    <m/>
    <m/>
    <m/>
    <n v="12"/>
  </r>
  <r>
    <x v="9"/>
    <x v="2"/>
    <x v="15"/>
    <s v="S40000004"/>
    <n v="165"/>
    <m/>
    <m/>
    <m/>
    <n v="128"/>
    <m/>
    <n v="37"/>
  </r>
  <r>
    <x v="10"/>
    <x v="0"/>
    <x v="7"/>
    <s v="S12000028"/>
    <n v="102"/>
    <m/>
    <m/>
    <n v="48"/>
    <m/>
    <n v="0"/>
    <n v="54"/>
  </r>
  <r>
    <x v="7"/>
    <x v="0"/>
    <x v="14"/>
    <s v="S12000024"/>
    <n v="253"/>
    <m/>
    <m/>
    <n v="140"/>
    <m/>
    <n v="25"/>
    <n v="88"/>
  </r>
  <r>
    <x v="10"/>
    <x v="1"/>
    <x v="27"/>
    <s v="S39000014"/>
    <n v="15"/>
    <m/>
    <m/>
    <m/>
    <m/>
    <m/>
    <n v="15"/>
  </r>
  <r>
    <x v="9"/>
    <x v="0"/>
    <x v="46"/>
    <s v="S12000045"/>
    <n v="78"/>
    <m/>
    <m/>
    <m/>
    <m/>
    <m/>
    <n v="78"/>
  </r>
  <r>
    <x v="7"/>
    <x v="1"/>
    <x v="10"/>
    <s v="S39000013"/>
    <n v="13"/>
    <m/>
    <m/>
    <m/>
    <m/>
    <m/>
    <n v="13"/>
  </r>
  <r>
    <x v="6"/>
    <x v="0"/>
    <x v="14"/>
    <s v="S12000024"/>
    <n v="238"/>
    <m/>
    <m/>
    <n v="128"/>
    <m/>
    <n v="24"/>
    <n v="86"/>
  </r>
  <r>
    <x v="9"/>
    <x v="0"/>
    <x v="14"/>
    <s v="S12000024"/>
    <n v="223"/>
    <m/>
    <m/>
    <n v="126"/>
    <m/>
    <n v="28"/>
    <n v="69"/>
  </r>
  <r>
    <x v="9"/>
    <x v="0"/>
    <x v="43"/>
    <s v="S12000036"/>
    <n v="304"/>
    <m/>
    <m/>
    <n v="11"/>
    <m/>
    <m/>
    <n v="293"/>
  </r>
  <r>
    <x v="6"/>
    <x v="0"/>
    <x v="8"/>
    <s v="S12000021"/>
    <n v="194"/>
    <m/>
    <m/>
    <n v="90"/>
    <m/>
    <n v="26"/>
    <n v="78"/>
  </r>
  <r>
    <x v="10"/>
    <x v="1"/>
    <x v="31"/>
    <s v="S39000017"/>
    <n v="16"/>
    <m/>
    <m/>
    <m/>
    <m/>
    <m/>
    <n v="16"/>
  </r>
  <r>
    <x v="7"/>
    <x v="1"/>
    <x v="35"/>
    <s v="S39000003"/>
    <n v="23"/>
    <m/>
    <m/>
    <m/>
    <m/>
    <m/>
    <n v="23"/>
  </r>
  <r>
    <x v="8"/>
    <x v="1"/>
    <x v="40"/>
    <s v="S39000006"/>
    <n v="29"/>
    <m/>
    <m/>
    <m/>
    <m/>
    <m/>
    <n v="29"/>
  </r>
  <r>
    <x v="6"/>
    <x v="1"/>
    <x v="10"/>
    <s v="S39000013"/>
    <n v="13"/>
    <m/>
    <m/>
    <m/>
    <m/>
    <m/>
    <n v="13"/>
  </r>
  <r>
    <x v="6"/>
    <x v="1"/>
    <x v="35"/>
    <s v="S39000003"/>
    <n v="21"/>
    <m/>
    <m/>
    <m/>
    <m/>
    <m/>
    <n v="21"/>
  </r>
  <r>
    <x v="6"/>
    <x v="1"/>
    <x v="34"/>
    <s v="S39000002"/>
    <n v="18"/>
    <m/>
    <m/>
    <m/>
    <m/>
    <m/>
    <n v="18"/>
  </r>
  <r>
    <x v="10"/>
    <x v="0"/>
    <x v="27"/>
    <s v="S12000044"/>
    <n v="208"/>
    <m/>
    <m/>
    <n v="35"/>
    <m/>
    <n v="0"/>
    <n v="173"/>
  </r>
  <r>
    <x v="7"/>
    <x v="2"/>
    <x v="26"/>
    <s v="S40000003"/>
    <n v="527"/>
    <m/>
    <m/>
    <m/>
    <n v="416"/>
    <m/>
    <n v="111"/>
  </r>
  <r>
    <x v="7"/>
    <x v="0"/>
    <x v="2"/>
    <s v="S12000018"/>
    <n v="120"/>
    <m/>
    <m/>
    <n v="42"/>
    <m/>
    <n v="0"/>
    <n v="78"/>
  </r>
  <r>
    <x v="9"/>
    <x v="1"/>
    <x v="17"/>
    <s v="S39000009"/>
    <n v="31"/>
    <m/>
    <m/>
    <m/>
    <m/>
    <m/>
    <n v="31"/>
  </r>
  <r>
    <x v="6"/>
    <x v="0"/>
    <x v="5"/>
    <s v="S12000039"/>
    <n v="95"/>
    <m/>
    <m/>
    <n v="21"/>
    <m/>
    <n v="0"/>
    <n v="74"/>
  </r>
  <r>
    <x v="8"/>
    <x v="1"/>
    <x v="11"/>
    <s v="S39000001"/>
    <n v="16"/>
    <m/>
    <m/>
    <m/>
    <m/>
    <m/>
    <n v="16"/>
  </r>
  <r>
    <x v="8"/>
    <x v="2"/>
    <x v="26"/>
    <s v="S40000003"/>
    <n v="302"/>
    <m/>
    <m/>
    <m/>
    <n v="286"/>
    <m/>
    <n v="16"/>
  </r>
  <r>
    <x v="6"/>
    <x v="1"/>
    <x v="47"/>
    <s v="S39000007"/>
    <n v="17"/>
    <m/>
    <m/>
    <m/>
    <m/>
    <m/>
    <n v="17"/>
  </r>
  <r>
    <x v="8"/>
    <x v="1"/>
    <x v="3"/>
    <s v="S39000008"/>
    <n v="17"/>
    <m/>
    <m/>
    <m/>
    <m/>
    <m/>
    <n v="17"/>
  </r>
  <r>
    <x v="1"/>
    <x v="1"/>
    <x v="23"/>
    <m/>
    <n v="27"/>
    <n v="0"/>
    <n v="2"/>
    <n v="0"/>
    <n v="0"/>
    <n v="0"/>
    <n v="27"/>
  </r>
  <r>
    <x v="1"/>
    <x v="1"/>
    <x v="38"/>
    <m/>
    <n v="22"/>
    <n v="0"/>
    <n v="9"/>
    <n v="0"/>
    <n v="0"/>
    <n v="0"/>
    <n v="22"/>
  </r>
  <r>
    <x v="9"/>
    <x v="1"/>
    <x v="27"/>
    <s v="S39000014"/>
    <n v="17"/>
    <m/>
    <m/>
    <m/>
    <m/>
    <m/>
    <n v="17"/>
  </r>
  <r>
    <x v="8"/>
    <x v="0"/>
    <x v="28"/>
    <s v="S12000029"/>
    <n v="252"/>
    <m/>
    <m/>
    <n v="71"/>
    <m/>
    <n v="3"/>
    <n v="178"/>
  </r>
  <r>
    <x v="8"/>
    <x v="0"/>
    <x v="49"/>
    <s v="S12000017"/>
    <n v="661"/>
    <m/>
    <m/>
    <n v="525"/>
    <m/>
    <n v="68"/>
    <n v="68"/>
  </r>
  <r>
    <x v="6"/>
    <x v="1"/>
    <x v="27"/>
    <s v="S39000014"/>
    <n v="16"/>
    <m/>
    <m/>
    <m/>
    <m/>
    <m/>
    <n v="16"/>
  </r>
  <r>
    <x v="7"/>
    <x v="1"/>
    <x v="6"/>
    <s v="S39000004"/>
    <n v="16"/>
    <m/>
    <m/>
    <m/>
    <m/>
    <m/>
    <n v="16"/>
  </r>
  <r>
    <x v="6"/>
    <x v="0"/>
    <x v="1"/>
    <s v="S12000008"/>
    <n v="136"/>
    <m/>
    <m/>
    <n v="80"/>
    <m/>
    <n v="0"/>
    <n v="56"/>
  </r>
  <r>
    <x v="8"/>
    <x v="1"/>
    <x v="34"/>
    <s v="S39000002"/>
    <n v="27"/>
    <m/>
    <m/>
    <m/>
    <m/>
    <m/>
    <n v="27"/>
  </r>
  <r>
    <x v="6"/>
    <x v="1"/>
    <x v="28"/>
    <s v="S39000015"/>
    <n v="10"/>
    <m/>
    <m/>
    <m/>
    <m/>
    <m/>
    <n v="10"/>
  </r>
  <r>
    <x v="8"/>
    <x v="1"/>
    <x v="41"/>
    <s v="S39000019"/>
    <n v="26"/>
    <m/>
    <m/>
    <m/>
    <m/>
    <m/>
    <n v="26"/>
  </r>
  <r>
    <x v="7"/>
    <x v="0"/>
    <x v="25"/>
    <s v="S12000042"/>
    <n v="229"/>
    <m/>
    <m/>
    <n v="14"/>
    <m/>
    <n v="0"/>
    <n v="215"/>
  </r>
  <r>
    <x v="8"/>
    <x v="0"/>
    <x v="8"/>
    <s v="S12000021"/>
    <n v="208"/>
    <m/>
    <m/>
    <n v="108"/>
    <m/>
    <n v="22"/>
    <n v="78"/>
  </r>
  <r>
    <x v="9"/>
    <x v="0"/>
    <x v="48"/>
    <s v="S12000038"/>
    <n v="110"/>
    <m/>
    <m/>
    <n v="16"/>
    <m/>
    <m/>
    <n v="94"/>
  </r>
  <r>
    <x v="10"/>
    <x v="1"/>
    <x v="47"/>
    <s v="S39000007"/>
    <n v="31"/>
    <m/>
    <m/>
    <m/>
    <m/>
    <m/>
    <n v="31"/>
  </r>
  <r>
    <x v="10"/>
    <x v="0"/>
    <x v="41"/>
    <s v="S12000047"/>
    <n v="379"/>
    <m/>
    <m/>
    <n v="109"/>
    <m/>
    <n v="0"/>
    <n v="270"/>
  </r>
  <r>
    <x v="8"/>
    <x v="2"/>
    <x v="15"/>
    <s v="S40000004"/>
    <n v="149"/>
    <m/>
    <m/>
    <m/>
    <n v="124"/>
    <m/>
    <n v="25"/>
  </r>
  <r>
    <x v="8"/>
    <x v="1"/>
    <x v="12"/>
    <s v="S39000012"/>
    <n v="32"/>
    <m/>
    <m/>
    <m/>
    <m/>
    <m/>
    <n v="32"/>
  </r>
  <r>
    <x v="7"/>
    <x v="0"/>
    <x v="13"/>
    <s v="S12000010"/>
    <n v="81"/>
    <m/>
    <m/>
    <n v="52"/>
    <m/>
    <n v="0"/>
    <n v="29"/>
  </r>
  <r>
    <x v="6"/>
    <x v="0"/>
    <x v="2"/>
    <s v="S12000018"/>
    <n v="117"/>
    <m/>
    <m/>
    <n v="40"/>
    <m/>
    <n v="0"/>
    <n v="77"/>
  </r>
  <r>
    <x v="10"/>
    <x v="1"/>
    <x v="10"/>
    <s v="S39000013"/>
    <n v="37"/>
    <m/>
    <m/>
    <m/>
    <m/>
    <m/>
    <n v="37"/>
  </r>
  <r>
    <x v="8"/>
    <x v="0"/>
    <x v="22"/>
    <s v="S12000030"/>
    <n v="124"/>
    <m/>
    <m/>
    <n v="73"/>
    <m/>
    <n v="0"/>
    <n v="51"/>
  </r>
  <r>
    <x v="10"/>
    <x v="0"/>
    <x v="28"/>
    <s v="S12000029"/>
    <n v="248"/>
    <m/>
    <m/>
    <n v="74"/>
    <m/>
    <n v="3"/>
    <n v="171"/>
  </r>
  <r>
    <x v="10"/>
    <x v="0"/>
    <x v="12"/>
    <s v="S12000046"/>
    <n v="475"/>
    <m/>
    <m/>
    <n v="0"/>
    <m/>
    <n v="0"/>
    <n v="475"/>
  </r>
  <r>
    <x v="8"/>
    <x v="0"/>
    <x v="2"/>
    <s v="S12000018"/>
    <n v="111"/>
    <m/>
    <m/>
    <n v="41"/>
    <m/>
    <n v="0"/>
    <n v="70"/>
  </r>
  <r>
    <x v="10"/>
    <x v="0"/>
    <x v="25"/>
    <s v="S12000042"/>
    <n v="205"/>
    <m/>
    <m/>
    <n v="13"/>
    <m/>
    <n v="0"/>
    <n v="192"/>
  </r>
  <r>
    <x v="10"/>
    <x v="1"/>
    <x v="28"/>
    <s v="S39000015"/>
    <n v="15"/>
    <m/>
    <m/>
    <m/>
    <m/>
    <m/>
    <n v="15"/>
  </r>
  <r>
    <x v="2"/>
    <x v="1"/>
    <x v="29"/>
    <s v="S40000004"/>
    <n v="19"/>
    <n v="0"/>
    <n v="1"/>
    <n v="0"/>
    <n v="0"/>
    <n v="0"/>
    <n v="19"/>
  </r>
  <r>
    <x v="3"/>
    <x v="1"/>
    <x v="6"/>
    <m/>
    <n v="22"/>
    <n v="0"/>
    <n v="4"/>
    <n v="0"/>
    <n v="0"/>
    <n v="0"/>
    <n v="22"/>
  </r>
  <r>
    <x v="3"/>
    <x v="0"/>
    <x v="8"/>
    <m/>
    <n v="188"/>
    <n v="0"/>
    <n v="0"/>
    <n v="95"/>
    <n v="0"/>
    <n v="19"/>
    <n v="74"/>
  </r>
  <r>
    <x v="5"/>
    <x v="0"/>
    <x v="37"/>
    <s v="S12000026"/>
    <n v="199"/>
    <n v="0"/>
    <n v="0"/>
    <n v="143"/>
    <n v="0"/>
    <n v="0"/>
    <n v="56"/>
  </r>
  <r>
    <x v="5"/>
    <x v="0"/>
    <x v="48"/>
    <s v="S12000038"/>
    <n v="116"/>
    <n v="0"/>
    <n v="0"/>
    <n v="17"/>
    <n v="0"/>
    <n v="0"/>
    <n v="99"/>
  </r>
  <r>
    <x v="6"/>
    <x v="0"/>
    <x v="11"/>
    <s v="S12000033"/>
    <n v="181"/>
    <m/>
    <m/>
    <n v="8"/>
    <m/>
    <n v="0"/>
    <n v="173"/>
  </r>
  <r>
    <x v="10"/>
    <x v="0"/>
    <x v="22"/>
    <s v="S12000030"/>
    <n v="126"/>
    <m/>
    <m/>
    <n v="73"/>
    <m/>
    <n v="0"/>
    <n v="53"/>
  </r>
  <r>
    <x v="10"/>
    <x v="0"/>
    <x v="37"/>
    <s v="S12000026"/>
    <n v="199"/>
    <m/>
    <m/>
    <n v="143"/>
    <m/>
    <n v="0"/>
    <n v="56"/>
  </r>
  <r>
    <x v="10"/>
    <x v="0"/>
    <x v="39"/>
    <s v="S12000005"/>
    <n v="46"/>
    <m/>
    <m/>
    <n v="24"/>
    <m/>
    <n v="0"/>
    <n v="22"/>
  </r>
  <r>
    <x v="7"/>
    <x v="0"/>
    <x v="12"/>
    <s v="S12000046"/>
    <n v="562"/>
    <m/>
    <m/>
    <n v="2"/>
    <m/>
    <n v="0"/>
    <n v="560"/>
  </r>
  <r>
    <x v="8"/>
    <x v="0"/>
    <x v="39"/>
    <s v="S12000005"/>
    <n v="47"/>
    <m/>
    <m/>
    <n v="21"/>
    <m/>
    <n v="0"/>
    <n v="26"/>
  </r>
  <r>
    <x v="6"/>
    <x v="0"/>
    <x v="33"/>
    <s v="S12000041"/>
    <n v="122"/>
    <m/>
    <m/>
    <n v="95"/>
    <m/>
    <n v="0"/>
    <n v="27"/>
  </r>
  <r>
    <x v="9"/>
    <x v="1"/>
    <x v="11"/>
    <s v="S39000001"/>
    <n v="15"/>
    <m/>
    <m/>
    <m/>
    <m/>
    <m/>
    <n v="15"/>
  </r>
  <r>
    <x v="7"/>
    <x v="0"/>
    <x v="48"/>
    <s v="S12000038"/>
    <n v="130"/>
    <m/>
    <m/>
    <n v="14"/>
    <m/>
    <n v="0"/>
    <n v="116"/>
  </r>
  <r>
    <x v="8"/>
    <x v="1"/>
    <x v="10"/>
    <s v="S39000013"/>
    <n v="29"/>
    <m/>
    <m/>
    <m/>
    <m/>
    <m/>
    <n v="29"/>
  </r>
  <r>
    <x v="10"/>
    <x v="0"/>
    <x v="48"/>
    <s v="S12000038"/>
    <n v="110"/>
    <m/>
    <m/>
    <n v="13"/>
    <m/>
    <n v="0"/>
    <n v="97"/>
  </r>
  <r>
    <x v="7"/>
    <x v="2"/>
    <x v="15"/>
    <s v="S40000004"/>
    <n v="255"/>
    <m/>
    <m/>
    <m/>
    <n v="175"/>
    <m/>
    <n v="80"/>
  </r>
  <r>
    <x v="7"/>
    <x v="0"/>
    <x v="1"/>
    <s v="S12000008"/>
    <n v="136"/>
    <m/>
    <m/>
    <n v="77"/>
    <m/>
    <n v="0"/>
    <n v="59"/>
  </r>
  <r>
    <x v="9"/>
    <x v="0"/>
    <x v="11"/>
    <s v="S12000033"/>
    <n v="153"/>
    <m/>
    <m/>
    <n v="8"/>
    <m/>
    <m/>
    <n v="145"/>
  </r>
  <r>
    <x v="7"/>
    <x v="0"/>
    <x v="18"/>
    <s v="S12000035"/>
    <n v="448"/>
    <m/>
    <m/>
    <n v="187"/>
    <m/>
    <n v="203"/>
    <n v="58"/>
  </r>
  <r>
    <x v="10"/>
    <x v="0"/>
    <x v="5"/>
    <s v="S12000039"/>
    <n v="86"/>
    <m/>
    <m/>
    <n v="17"/>
    <m/>
    <n v="0"/>
    <n v="69"/>
  </r>
  <r>
    <x v="10"/>
    <x v="0"/>
    <x v="2"/>
    <s v="S12000018"/>
    <n v="107"/>
    <m/>
    <m/>
    <n v="39"/>
    <m/>
    <n v="0"/>
    <n v="68"/>
  </r>
  <r>
    <x v="6"/>
    <x v="2"/>
    <x v="26"/>
    <s v="S40000003"/>
    <n v="445"/>
    <m/>
    <m/>
    <m/>
    <n v="340"/>
    <m/>
    <n v="105"/>
  </r>
  <r>
    <x v="8"/>
    <x v="0"/>
    <x v="12"/>
    <s v="S12000046"/>
    <n v="505"/>
    <m/>
    <m/>
    <n v="6"/>
    <m/>
    <n v="0"/>
    <n v="499"/>
  </r>
  <r>
    <x v="10"/>
    <x v="0"/>
    <x v="42"/>
    <s v="S12000020"/>
    <n v="156"/>
    <m/>
    <m/>
    <n v="125"/>
    <m/>
    <n v="4"/>
    <n v="27"/>
  </r>
  <r>
    <x v="8"/>
    <x v="0"/>
    <x v="16"/>
    <s v="S12000034"/>
    <n v="303"/>
    <m/>
    <m/>
    <n v="271"/>
    <m/>
    <n v="0"/>
    <n v="32"/>
  </r>
  <r>
    <x v="9"/>
    <x v="0"/>
    <x v="24"/>
    <s v="S12000011"/>
    <n v="51"/>
    <m/>
    <m/>
    <m/>
    <m/>
    <m/>
    <n v="51"/>
  </r>
  <r>
    <x v="8"/>
    <x v="0"/>
    <x v="13"/>
    <s v="S12000010"/>
    <n v="82"/>
    <m/>
    <m/>
    <n v="55"/>
    <m/>
    <n v="0"/>
    <n v="27"/>
  </r>
  <r>
    <x v="9"/>
    <x v="0"/>
    <x v="28"/>
    <s v="S12000029"/>
    <n v="241"/>
    <m/>
    <m/>
    <n v="73"/>
    <m/>
    <n v="2"/>
    <n v="166"/>
  </r>
  <r>
    <x v="7"/>
    <x v="1"/>
    <x v="45"/>
    <s v="S39000016"/>
    <n v="8"/>
    <m/>
    <m/>
    <m/>
    <m/>
    <m/>
    <n v="8"/>
  </r>
  <r>
    <x v="6"/>
    <x v="0"/>
    <x v="22"/>
    <s v="S12000030"/>
    <n v="130"/>
    <m/>
    <m/>
    <n v="75"/>
    <m/>
    <n v="0"/>
    <n v="55"/>
  </r>
  <r>
    <x v="9"/>
    <x v="0"/>
    <x v="13"/>
    <s v="S12000010"/>
    <n v="79"/>
    <m/>
    <m/>
    <n v="56"/>
    <m/>
    <m/>
    <n v="23"/>
  </r>
  <r>
    <x v="6"/>
    <x v="1"/>
    <x v="31"/>
    <s v="S39000017"/>
    <n v="7"/>
    <m/>
    <m/>
    <m/>
    <m/>
    <m/>
    <n v="7"/>
  </r>
  <r>
    <x v="10"/>
    <x v="0"/>
    <x v="4"/>
    <s v="S12000027"/>
    <n v="122"/>
    <m/>
    <m/>
    <n v="122"/>
    <m/>
    <n v="0"/>
    <n v="0"/>
  </r>
  <r>
    <x v="9"/>
    <x v="1"/>
    <x v="10"/>
    <s v="S39000013"/>
    <n v="32"/>
    <m/>
    <m/>
    <m/>
    <m/>
    <m/>
    <n v="32"/>
  </r>
  <r>
    <x v="8"/>
    <x v="1"/>
    <x v="31"/>
    <s v="S39000017"/>
    <n v="11"/>
    <m/>
    <m/>
    <m/>
    <m/>
    <m/>
    <n v="11"/>
  </r>
  <r>
    <x v="9"/>
    <x v="0"/>
    <x v="16"/>
    <s v="S12000034"/>
    <n v="299"/>
    <m/>
    <m/>
    <n v="275"/>
    <m/>
    <m/>
    <n v="24"/>
  </r>
  <r>
    <x v="9"/>
    <x v="2"/>
    <x v="26"/>
    <s v="S40000003"/>
    <n v="373"/>
    <m/>
    <m/>
    <m/>
    <n v="300"/>
    <m/>
    <n v="73"/>
  </r>
  <r>
    <x v="6"/>
    <x v="0"/>
    <x v="12"/>
    <s v="S12000046"/>
    <n v="544"/>
    <m/>
    <m/>
    <n v="0"/>
    <m/>
    <n v="0"/>
    <n v="544"/>
  </r>
  <r>
    <x v="8"/>
    <x v="1"/>
    <x v="36"/>
    <s v="S39000018"/>
    <n v="24"/>
    <m/>
    <m/>
    <m/>
    <m/>
    <m/>
    <n v="24"/>
  </r>
  <r>
    <x v="6"/>
    <x v="0"/>
    <x v="43"/>
    <s v="S12000036"/>
    <n v="361"/>
    <m/>
    <m/>
    <n v="13"/>
    <m/>
    <n v="0"/>
    <n v="348"/>
  </r>
  <r>
    <x v="7"/>
    <x v="0"/>
    <x v="16"/>
    <s v="S12000034"/>
    <n v="320"/>
    <m/>
    <m/>
    <n v="297"/>
    <m/>
    <n v="0"/>
    <n v="23"/>
  </r>
  <r>
    <x v="6"/>
    <x v="0"/>
    <x v="37"/>
    <s v="S12000026"/>
    <n v="224"/>
    <m/>
    <m/>
    <n v="151"/>
    <m/>
    <n v="0"/>
    <n v="73"/>
  </r>
  <r>
    <x v="10"/>
    <x v="1"/>
    <x v="40"/>
    <s v="S39000006"/>
    <n v="30"/>
    <m/>
    <m/>
    <m/>
    <m/>
    <m/>
    <n v="30"/>
  </r>
  <r>
    <x v="8"/>
    <x v="0"/>
    <x v="14"/>
    <s v="S12000024"/>
    <n v="222"/>
    <m/>
    <m/>
    <n v="126"/>
    <m/>
    <n v="23"/>
    <n v="73"/>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
  <r>
    <x v="0"/>
    <x v="0"/>
    <n v="4"/>
    <n v="33"/>
    <n v="80"/>
    <n v="147"/>
    <n v="0"/>
    <n v="0"/>
    <n v="0"/>
  </r>
  <r>
    <x v="1"/>
    <x v="0"/>
    <n v="6"/>
    <n v="31"/>
    <n v="80"/>
    <n v="153"/>
    <n v="0"/>
    <n v="0"/>
    <n v="0"/>
  </r>
  <r>
    <x v="2"/>
    <x v="0"/>
    <n v="5"/>
    <n v="35"/>
    <n v="79"/>
    <n v="152"/>
    <n v="0"/>
    <n v="0"/>
    <n v="0"/>
  </r>
  <r>
    <x v="3"/>
    <x v="0"/>
    <n v="5"/>
    <n v="35"/>
    <n v="76"/>
    <n v="157"/>
    <n v="0"/>
    <n v="0"/>
    <n v="0"/>
  </r>
  <r>
    <x v="4"/>
    <x v="0"/>
    <n v="5"/>
    <n v="31"/>
    <n v="78"/>
    <n v="148"/>
    <n v="0"/>
    <n v="0"/>
    <n v="0"/>
  </r>
  <r>
    <x v="5"/>
    <x v="0"/>
    <n v="5"/>
    <n v="31"/>
    <n v="71"/>
    <n v="156"/>
    <n v="0"/>
    <n v="0"/>
    <n v="0"/>
  </r>
  <r>
    <x v="0"/>
    <x v="1"/>
    <n v="0"/>
    <n v="0"/>
    <n v="0"/>
    <n v="0"/>
    <n v="234"/>
    <n v="95"/>
    <n v="29"/>
  </r>
  <r>
    <x v="1"/>
    <x v="1"/>
    <n v="0"/>
    <n v="0"/>
    <n v="0"/>
    <n v="0"/>
    <n v="232"/>
    <n v="91"/>
    <n v="28"/>
  </r>
  <r>
    <x v="2"/>
    <x v="1"/>
    <n v="0"/>
    <n v="0"/>
    <n v="0"/>
    <n v="0"/>
    <n v="231"/>
    <n v="91"/>
    <n v="26"/>
  </r>
  <r>
    <x v="3"/>
    <x v="1"/>
    <n v="0"/>
    <n v="0"/>
    <n v="0"/>
    <n v="0"/>
    <n v="234"/>
    <n v="88"/>
    <n v="27"/>
  </r>
  <r>
    <x v="4"/>
    <x v="1"/>
    <n v="0"/>
    <n v="0"/>
    <n v="0"/>
    <n v="0"/>
    <n v="225"/>
    <n v="81"/>
    <n v="21"/>
  </r>
  <r>
    <x v="5"/>
    <x v="1"/>
    <n v="0"/>
    <n v="0"/>
    <n v="0"/>
    <n v="0"/>
    <n v="232"/>
    <n v="82"/>
    <n v="21"/>
  </r>
  <r>
    <x v="0"/>
    <x v="2"/>
    <n v="0"/>
    <n v="0"/>
    <n v="0"/>
    <n v="0"/>
    <n v="377"/>
    <n v="592"/>
    <n v="1986"/>
  </r>
  <r>
    <x v="1"/>
    <x v="2"/>
    <n v="0"/>
    <n v="0"/>
    <n v="0"/>
    <n v="0"/>
    <n v="376"/>
    <n v="597"/>
    <n v="1993"/>
  </r>
  <r>
    <x v="2"/>
    <x v="2"/>
    <n v="0"/>
    <n v="0"/>
    <n v="0"/>
    <n v="0"/>
    <n v="372"/>
    <n v="596"/>
    <n v="1935"/>
  </r>
  <r>
    <x v="3"/>
    <x v="2"/>
    <n v="0"/>
    <n v="0"/>
    <n v="0"/>
    <n v="0"/>
    <n v="373"/>
    <n v="572"/>
    <n v="1898"/>
  </r>
  <r>
    <x v="4"/>
    <x v="2"/>
    <n v="0"/>
    <n v="0"/>
    <n v="0"/>
    <n v="0"/>
    <n v="376"/>
    <n v="574"/>
    <n v="1848"/>
  </r>
  <r>
    <x v="5"/>
    <x v="2"/>
    <n v="0"/>
    <n v="0"/>
    <n v="0"/>
    <n v="0"/>
    <n v="375"/>
    <n v="558"/>
    <n v="1890"/>
  </r>
  <r>
    <x v="0"/>
    <x v="3"/>
    <n v="0"/>
    <n v="0"/>
    <n v="0"/>
    <n v="0"/>
    <n v="0"/>
    <n v="0"/>
    <n v="60"/>
  </r>
  <r>
    <x v="1"/>
    <x v="3"/>
    <n v="0"/>
    <n v="0"/>
    <n v="0"/>
    <n v="0"/>
    <n v="0"/>
    <n v="0"/>
    <n v="49"/>
  </r>
  <r>
    <x v="2"/>
    <x v="3"/>
    <n v="0"/>
    <n v="0"/>
    <n v="0"/>
    <n v="0"/>
    <n v="0"/>
    <n v="0"/>
    <n v="59"/>
  </r>
  <r>
    <x v="3"/>
    <x v="3"/>
    <n v="0"/>
    <n v="0"/>
    <n v="0"/>
    <n v="0"/>
    <n v="0"/>
    <n v="0"/>
    <n v="65"/>
  </r>
  <r>
    <x v="4"/>
    <x v="3"/>
    <n v="0"/>
    <n v="0"/>
    <n v="0"/>
    <n v="0"/>
    <n v="0"/>
    <n v="0"/>
    <n v="103"/>
  </r>
  <r>
    <x v="5"/>
    <x v="3"/>
    <n v="0"/>
    <n v="0"/>
    <n v="0"/>
    <n v="0"/>
    <n v="0"/>
    <n v="0"/>
    <n v="1"/>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
  <r>
    <x v="0"/>
    <x v="0"/>
    <s v="S12000005"/>
    <x v="0"/>
    <m/>
    <m/>
    <n v="9"/>
    <n v="30"/>
    <m/>
    <n v="0"/>
    <n v="4"/>
  </r>
  <r>
    <x v="0"/>
    <x v="0"/>
    <s v="S12000006"/>
    <x v="1"/>
    <m/>
    <m/>
    <n v="11"/>
    <n v="53"/>
    <m/>
    <n v="0"/>
    <n v="5"/>
  </r>
  <r>
    <x v="0"/>
    <x v="0"/>
    <s v="S12000008"/>
    <x v="2"/>
    <m/>
    <m/>
    <n v="11"/>
    <n v="40"/>
    <m/>
    <n v="0"/>
    <n v="8"/>
  </r>
  <r>
    <x v="0"/>
    <x v="0"/>
    <s v="S12000010"/>
    <x v="3"/>
    <m/>
    <m/>
    <n v="5"/>
    <n v="21"/>
    <m/>
    <n v="0"/>
    <n v="3"/>
  </r>
  <r>
    <x v="0"/>
    <x v="0"/>
    <s v="S12000011"/>
    <x v="4"/>
    <m/>
    <m/>
    <n v="14"/>
    <n v="34"/>
    <m/>
    <n v="0"/>
    <n v="11"/>
  </r>
  <r>
    <x v="0"/>
    <x v="0"/>
    <s v="S12000013"/>
    <x v="5"/>
    <m/>
    <m/>
    <n v="0"/>
    <n v="0"/>
    <m/>
    <n v="0"/>
    <n v="0"/>
  </r>
  <r>
    <x v="0"/>
    <x v="0"/>
    <s v="S12000014"/>
    <x v="6"/>
    <m/>
    <m/>
    <n v="18"/>
    <n v="65"/>
    <m/>
    <n v="1"/>
    <n v="12"/>
  </r>
  <r>
    <x v="0"/>
    <x v="0"/>
    <s v="S12000017"/>
    <x v="7"/>
    <m/>
    <m/>
    <n v="9"/>
    <n v="60"/>
    <m/>
    <n v="2"/>
    <n v="10"/>
  </r>
  <r>
    <x v="0"/>
    <x v="0"/>
    <s v="S12000018"/>
    <x v="8"/>
    <m/>
    <m/>
    <n v="18"/>
    <n v="49"/>
    <m/>
    <n v="0"/>
    <n v="11"/>
  </r>
  <r>
    <x v="0"/>
    <x v="0"/>
    <s v="S12000019"/>
    <x v="9"/>
    <m/>
    <m/>
    <n v="4"/>
    <n v="26"/>
    <m/>
    <n v="0"/>
    <n v="5"/>
  </r>
  <r>
    <x v="0"/>
    <x v="0"/>
    <s v="S12000020"/>
    <x v="10"/>
    <m/>
    <m/>
    <n v="2"/>
    <n v="15"/>
    <m/>
    <n v="0"/>
    <n v="3"/>
  </r>
  <r>
    <x v="0"/>
    <x v="0"/>
    <s v="S12000021"/>
    <x v="11"/>
    <m/>
    <m/>
    <n v="13"/>
    <n v="50"/>
    <m/>
    <n v="0"/>
    <n v="13"/>
  </r>
  <r>
    <x v="0"/>
    <x v="0"/>
    <s v="S12000023"/>
    <x v="12"/>
    <m/>
    <m/>
    <n v="0"/>
    <n v="0"/>
    <m/>
    <n v="0"/>
    <n v="0"/>
  </r>
  <r>
    <x v="0"/>
    <x v="0"/>
    <s v="S12000024"/>
    <x v="13"/>
    <m/>
    <m/>
    <n v="14"/>
    <n v="61"/>
    <m/>
    <n v="2"/>
    <n v="11"/>
  </r>
  <r>
    <x v="0"/>
    <x v="0"/>
    <s v="S12000026"/>
    <x v="14"/>
    <m/>
    <m/>
    <n v="11"/>
    <n v="54"/>
    <m/>
    <n v="0"/>
    <n v="10"/>
  </r>
  <r>
    <x v="0"/>
    <x v="0"/>
    <s v="S12000027"/>
    <x v="15"/>
    <m/>
    <m/>
    <n v="0"/>
    <n v="0"/>
    <m/>
    <n v="0"/>
    <n v="0"/>
  </r>
  <r>
    <x v="0"/>
    <x v="0"/>
    <s v="S12000028"/>
    <x v="16"/>
    <m/>
    <m/>
    <n v="10"/>
    <n v="47"/>
    <m/>
    <n v="0"/>
    <n v="8"/>
  </r>
  <r>
    <x v="0"/>
    <x v="0"/>
    <s v="S12000029"/>
    <x v="17"/>
    <m/>
    <m/>
    <n v="33"/>
    <n v="129"/>
    <m/>
    <n v="2"/>
    <n v="26"/>
  </r>
  <r>
    <x v="0"/>
    <x v="0"/>
    <s v="S12000030"/>
    <x v="18"/>
    <m/>
    <m/>
    <n v="10"/>
    <n v="42"/>
    <m/>
    <n v="0"/>
    <n v="10"/>
  </r>
  <r>
    <x v="0"/>
    <x v="0"/>
    <s v="S12000033"/>
    <x v="19"/>
    <m/>
    <m/>
    <n v="24"/>
    <n v="128"/>
    <m/>
    <n v="0"/>
    <n v="22"/>
  </r>
  <r>
    <x v="0"/>
    <x v="0"/>
    <s v="S12000034"/>
    <x v="20"/>
    <m/>
    <m/>
    <n v="3"/>
    <n v="16"/>
    <m/>
    <n v="0"/>
    <n v="4"/>
  </r>
  <r>
    <x v="0"/>
    <x v="0"/>
    <s v="S12000035"/>
    <x v="21"/>
    <m/>
    <m/>
    <n v="10"/>
    <n v="31"/>
    <m/>
    <n v="2"/>
    <n v="15"/>
  </r>
  <r>
    <x v="0"/>
    <x v="0"/>
    <s v="S12000036"/>
    <x v="22"/>
    <m/>
    <m/>
    <n v="70"/>
    <n v="275"/>
    <m/>
    <n v="0"/>
    <n v="25"/>
  </r>
  <r>
    <x v="0"/>
    <x v="0"/>
    <s v="S12000038"/>
    <x v="23"/>
    <m/>
    <m/>
    <n v="22"/>
    <n v="74"/>
    <m/>
    <n v="1"/>
    <n v="19"/>
  </r>
  <r>
    <x v="0"/>
    <x v="0"/>
    <s v="S12000039"/>
    <x v="24"/>
    <m/>
    <m/>
    <n v="18"/>
    <n v="52"/>
    <m/>
    <n v="0"/>
    <n v="10"/>
  </r>
  <r>
    <x v="0"/>
    <x v="0"/>
    <s v="S12000040"/>
    <x v="25"/>
    <m/>
    <m/>
    <n v="14"/>
    <n v="61"/>
    <m/>
    <n v="0"/>
    <n v="10"/>
  </r>
  <r>
    <x v="0"/>
    <x v="0"/>
    <s v="S12000041"/>
    <x v="26"/>
    <m/>
    <m/>
    <n v="0"/>
    <n v="25"/>
    <m/>
    <n v="1"/>
    <n v="9"/>
  </r>
  <r>
    <x v="0"/>
    <x v="0"/>
    <s v="S12000042"/>
    <x v="27"/>
    <m/>
    <m/>
    <n v="29"/>
    <n v="162"/>
    <m/>
    <n v="1"/>
    <n v="23"/>
  </r>
  <r>
    <x v="0"/>
    <x v="0"/>
    <s v="S12000044"/>
    <x v="28"/>
    <m/>
    <m/>
    <n v="34"/>
    <n v="129"/>
    <m/>
    <n v="1"/>
    <n v="24"/>
  </r>
  <r>
    <x v="0"/>
    <x v="0"/>
    <s v="S12000045"/>
    <x v="29"/>
    <m/>
    <m/>
    <n v="15"/>
    <n v="45"/>
    <m/>
    <n v="0"/>
    <n v="14"/>
  </r>
  <r>
    <x v="0"/>
    <x v="0"/>
    <s v="S12000046"/>
    <x v="30"/>
    <m/>
    <m/>
    <n v="119"/>
    <n v="373"/>
    <m/>
    <n v="0"/>
    <n v="68"/>
  </r>
  <r>
    <x v="0"/>
    <x v="0"/>
    <s v="S12000047"/>
    <x v="31"/>
    <m/>
    <m/>
    <n v="58"/>
    <n v="208"/>
    <m/>
    <n v="0"/>
    <n v="23"/>
  </r>
  <r>
    <x v="0"/>
    <x v="1"/>
    <s v="S39000001"/>
    <x v="19"/>
    <n v="1"/>
    <m/>
    <n v="0"/>
    <n v="1"/>
    <n v="7"/>
    <n v="6"/>
    <n v="8"/>
  </r>
  <r>
    <x v="0"/>
    <x v="1"/>
    <s v="S39000002"/>
    <x v="32"/>
    <n v="1"/>
    <m/>
    <n v="0"/>
    <n v="0"/>
    <n v="2"/>
    <n v="4"/>
    <n v="8"/>
  </r>
  <r>
    <x v="0"/>
    <x v="1"/>
    <s v="S39000003"/>
    <x v="33"/>
    <n v="1"/>
    <m/>
    <n v="1"/>
    <n v="1"/>
    <n v="3"/>
    <n v="6"/>
    <n v="10"/>
  </r>
  <r>
    <x v="0"/>
    <x v="1"/>
    <s v="S39000004"/>
    <x v="1"/>
    <n v="0"/>
    <m/>
    <n v="0"/>
    <n v="0"/>
    <n v="2"/>
    <n v="5"/>
    <n v="9"/>
  </r>
  <r>
    <x v="0"/>
    <x v="1"/>
    <s v="S39000006"/>
    <x v="34"/>
    <n v="1"/>
    <m/>
    <n v="0"/>
    <n v="5"/>
    <n v="7"/>
    <n v="0"/>
    <n v="8"/>
  </r>
  <r>
    <x v="0"/>
    <x v="1"/>
    <s v="S39000007"/>
    <x v="35"/>
    <n v="1"/>
    <m/>
    <n v="0"/>
    <n v="1"/>
    <n v="3"/>
    <n v="5"/>
    <n v="2"/>
  </r>
  <r>
    <x v="0"/>
    <x v="1"/>
    <s v="S39000008"/>
    <x v="36"/>
    <n v="1"/>
    <m/>
    <n v="0"/>
    <n v="0"/>
    <n v="9"/>
    <n v="7"/>
    <n v="6"/>
  </r>
  <r>
    <x v="0"/>
    <x v="1"/>
    <s v="S39000009"/>
    <x v="37"/>
    <n v="2"/>
    <m/>
    <n v="3"/>
    <n v="2"/>
    <n v="9"/>
    <n v="3"/>
    <n v="7"/>
  </r>
  <r>
    <x v="0"/>
    <x v="1"/>
    <s v="S39000010"/>
    <x v="38"/>
    <n v="1"/>
    <m/>
    <n v="0"/>
    <n v="2"/>
    <n v="2"/>
    <n v="2"/>
    <n v="6"/>
  </r>
  <r>
    <x v="0"/>
    <x v="1"/>
    <s v="S39000012"/>
    <x v="30"/>
    <n v="1"/>
    <m/>
    <n v="0"/>
    <n v="3"/>
    <n v="4"/>
    <n v="10"/>
    <n v="10"/>
  </r>
  <r>
    <x v="0"/>
    <x v="1"/>
    <s v="S39000013"/>
    <x v="39"/>
    <n v="1"/>
    <m/>
    <n v="0"/>
    <n v="0"/>
    <n v="4"/>
    <n v="7"/>
    <n v="1"/>
  </r>
  <r>
    <x v="0"/>
    <x v="1"/>
    <s v="S39000014"/>
    <x v="28"/>
    <n v="1"/>
    <m/>
    <n v="1"/>
    <n v="0"/>
    <n v="2"/>
    <n v="6"/>
    <n v="4"/>
  </r>
  <r>
    <x v="0"/>
    <x v="1"/>
    <s v="S39000015"/>
    <x v="17"/>
    <n v="1"/>
    <m/>
    <n v="0"/>
    <n v="0"/>
    <n v="3"/>
    <n v="4"/>
    <n v="2"/>
  </r>
  <r>
    <x v="0"/>
    <x v="1"/>
    <s v="S39000016"/>
    <x v="40"/>
    <n v="1"/>
    <m/>
    <n v="0"/>
    <n v="0"/>
    <n v="3"/>
    <n v="4"/>
    <n v="0"/>
  </r>
  <r>
    <x v="0"/>
    <x v="1"/>
    <s v="S39000017"/>
    <x v="41"/>
    <n v="1"/>
    <m/>
    <n v="0"/>
    <n v="0"/>
    <n v="3"/>
    <n v="5"/>
    <n v="0"/>
  </r>
  <r>
    <x v="0"/>
    <x v="1"/>
    <s v="S39000018"/>
    <x v="42"/>
    <n v="1"/>
    <m/>
    <n v="0"/>
    <n v="0"/>
    <n v="3"/>
    <n v="5"/>
    <n v="2"/>
  </r>
  <r>
    <x v="0"/>
    <x v="1"/>
    <s v="S39000019"/>
    <x v="31"/>
    <n v="1"/>
    <m/>
    <n v="0"/>
    <n v="0"/>
    <n v="3"/>
    <n v="6"/>
    <n v="11"/>
  </r>
  <r>
    <x v="0"/>
    <x v="2"/>
    <s v="S40000003"/>
    <x v="43"/>
    <n v="3"/>
    <n v="1"/>
    <n v="8"/>
    <n v="0"/>
    <n v="12"/>
    <n v="8"/>
    <n v="79"/>
  </r>
  <r>
    <x v="0"/>
    <x v="2"/>
    <s v="S40000004"/>
    <x v="44"/>
    <n v="1"/>
    <n v="1"/>
    <n v="8"/>
    <n v="3"/>
    <n v="3"/>
    <n v="15"/>
    <n v="49"/>
  </r>
  <r>
    <x v="0"/>
    <x v="2"/>
    <s v="S40000005"/>
    <x v="45"/>
    <n v="2"/>
    <n v="1"/>
    <n v="24"/>
    <n v="1"/>
    <n v="9"/>
    <n v="10"/>
    <n v="30"/>
  </r>
  <r>
    <x v="0"/>
    <x v="3"/>
    <s v="S92000003"/>
    <x v="46"/>
    <n v="5"/>
    <n v="6"/>
    <n v="7"/>
    <n v="0"/>
    <n v="22"/>
    <n v="5"/>
    <n v="11"/>
  </r>
  <r>
    <x v="1"/>
    <x v="0"/>
    <s v="S12000005"/>
    <x v="0"/>
    <m/>
    <m/>
    <n v="8"/>
    <n v="25"/>
    <m/>
    <n v="0"/>
    <n v="4"/>
  </r>
  <r>
    <x v="1"/>
    <x v="0"/>
    <s v="S12000006"/>
    <x v="1"/>
    <m/>
    <m/>
    <n v="11"/>
    <n v="52"/>
    <m/>
    <n v="0"/>
    <n v="6"/>
  </r>
  <r>
    <x v="1"/>
    <x v="0"/>
    <s v="S12000008"/>
    <x v="2"/>
    <m/>
    <m/>
    <n v="9"/>
    <n v="39"/>
    <m/>
    <n v="0"/>
    <n v="8"/>
  </r>
  <r>
    <x v="1"/>
    <x v="0"/>
    <s v="S12000010"/>
    <x v="3"/>
    <m/>
    <m/>
    <n v="3"/>
    <n v="21"/>
    <m/>
    <n v="0"/>
    <n v="4"/>
  </r>
  <r>
    <x v="1"/>
    <x v="0"/>
    <s v="S12000011"/>
    <x v="4"/>
    <m/>
    <m/>
    <n v="13"/>
    <n v="35"/>
    <m/>
    <n v="0"/>
    <n v="9"/>
  </r>
  <r>
    <x v="1"/>
    <x v="0"/>
    <s v="S12000013"/>
    <x v="5"/>
    <m/>
    <m/>
    <n v="0"/>
    <n v="0"/>
    <m/>
    <n v="0"/>
    <n v="0"/>
  </r>
  <r>
    <x v="1"/>
    <x v="0"/>
    <s v="S12000014"/>
    <x v="6"/>
    <m/>
    <m/>
    <n v="17"/>
    <n v="60"/>
    <m/>
    <n v="2"/>
    <n v="15"/>
  </r>
  <r>
    <x v="1"/>
    <x v="0"/>
    <s v="S12000017"/>
    <x v="7"/>
    <m/>
    <m/>
    <n v="11"/>
    <n v="57"/>
    <m/>
    <n v="1"/>
    <n v="12"/>
  </r>
  <r>
    <x v="1"/>
    <x v="0"/>
    <s v="S12000018"/>
    <x v="8"/>
    <m/>
    <m/>
    <n v="16"/>
    <n v="49"/>
    <m/>
    <n v="0"/>
    <n v="12"/>
  </r>
  <r>
    <x v="1"/>
    <x v="0"/>
    <s v="S12000019"/>
    <x v="9"/>
    <m/>
    <m/>
    <n v="4"/>
    <n v="26"/>
    <m/>
    <n v="0"/>
    <n v="5"/>
  </r>
  <r>
    <x v="1"/>
    <x v="0"/>
    <s v="S12000020"/>
    <x v="10"/>
    <m/>
    <m/>
    <n v="3"/>
    <n v="14"/>
    <m/>
    <n v="0"/>
    <n v="4"/>
  </r>
  <r>
    <x v="1"/>
    <x v="0"/>
    <s v="S12000021"/>
    <x v="11"/>
    <m/>
    <m/>
    <n v="14"/>
    <n v="50"/>
    <m/>
    <n v="0"/>
    <n v="14"/>
  </r>
  <r>
    <x v="1"/>
    <x v="0"/>
    <s v="S12000023"/>
    <x v="12"/>
    <m/>
    <m/>
    <n v="0"/>
    <n v="0"/>
    <m/>
    <n v="0"/>
    <n v="0"/>
  </r>
  <r>
    <x v="1"/>
    <x v="0"/>
    <s v="S12000024"/>
    <x v="13"/>
    <m/>
    <m/>
    <n v="16"/>
    <n v="58"/>
    <m/>
    <n v="1"/>
    <n v="11"/>
  </r>
  <r>
    <x v="1"/>
    <x v="0"/>
    <s v="S12000026"/>
    <x v="14"/>
    <m/>
    <m/>
    <n v="11"/>
    <n v="51"/>
    <m/>
    <n v="0"/>
    <n v="11"/>
  </r>
  <r>
    <x v="1"/>
    <x v="0"/>
    <s v="S12000027"/>
    <x v="15"/>
    <m/>
    <m/>
    <n v="0"/>
    <n v="0"/>
    <m/>
    <n v="0"/>
    <n v="0"/>
  </r>
  <r>
    <x v="1"/>
    <x v="0"/>
    <s v="S12000028"/>
    <x v="16"/>
    <m/>
    <m/>
    <n v="9"/>
    <n v="43"/>
    <m/>
    <n v="0"/>
    <n v="8"/>
  </r>
  <r>
    <x v="1"/>
    <x v="0"/>
    <s v="S12000029"/>
    <x v="17"/>
    <m/>
    <m/>
    <n v="35"/>
    <n v="126"/>
    <m/>
    <n v="2"/>
    <n v="24"/>
  </r>
  <r>
    <x v="1"/>
    <x v="0"/>
    <s v="S12000030"/>
    <x v="18"/>
    <m/>
    <m/>
    <n v="10"/>
    <n v="37"/>
    <m/>
    <n v="0"/>
    <n v="8"/>
  </r>
  <r>
    <x v="1"/>
    <x v="0"/>
    <s v="S12000033"/>
    <x v="19"/>
    <m/>
    <m/>
    <n v="25"/>
    <n v="122"/>
    <m/>
    <n v="0"/>
    <n v="26"/>
  </r>
  <r>
    <x v="1"/>
    <x v="0"/>
    <s v="S12000034"/>
    <x v="20"/>
    <m/>
    <m/>
    <n v="3"/>
    <n v="18"/>
    <m/>
    <n v="0"/>
    <n v="2"/>
  </r>
  <r>
    <x v="1"/>
    <x v="0"/>
    <s v="S12000035"/>
    <x v="21"/>
    <m/>
    <m/>
    <n v="10"/>
    <n v="27"/>
    <m/>
    <n v="2"/>
    <n v="15"/>
  </r>
  <r>
    <x v="1"/>
    <x v="0"/>
    <s v="S12000036"/>
    <x v="22"/>
    <m/>
    <m/>
    <n v="64"/>
    <n v="257"/>
    <m/>
    <n v="1"/>
    <n v="26"/>
  </r>
  <r>
    <x v="1"/>
    <x v="0"/>
    <s v="S12000038"/>
    <x v="23"/>
    <m/>
    <m/>
    <n v="23"/>
    <n v="72"/>
    <m/>
    <n v="0"/>
    <n v="20"/>
  </r>
  <r>
    <x v="1"/>
    <x v="0"/>
    <s v="S12000039"/>
    <x v="24"/>
    <m/>
    <m/>
    <n v="20"/>
    <n v="45"/>
    <m/>
    <n v="0"/>
    <n v="9"/>
  </r>
  <r>
    <x v="1"/>
    <x v="0"/>
    <s v="S12000040"/>
    <x v="25"/>
    <m/>
    <m/>
    <n v="9"/>
    <n v="59"/>
    <m/>
    <n v="1"/>
    <n v="10"/>
  </r>
  <r>
    <x v="1"/>
    <x v="0"/>
    <s v="S12000041"/>
    <x v="26"/>
    <m/>
    <m/>
    <n v="0"/>
    <n v="22"/>
    <m/>
    <n v="1"/>
    <n v="4"/>
  </r>
  <r>
    <x v="1"/>
    <x v="0"/>
    <s v="S12000042"/>
    <x v="27"/>
    <m/>
    <m/>
    <n v="27"/>
    <n v="158"/>
    <m/>
    <n v="1"/>
    <n v="21"/>
  </r>
  <r>
    <x v="1"/>
    <x v="0"/>
    <s v="S12000044"/>
    <x v="28"/>
    <m/>
    <m/>
    <n v="37"/>
    <n v="125"/>
    <m/>
    <n v="1"/>
    <n v="24"/>
  </r>
  <r>
    <x v="1"/>
    <x v="0"/>
    <s v="S12000045"/>
    <x v="29"/>
    <m/>
    <m/>
    <n v="14"/>
    <n v="44"/>
    <m/>
    <n v="0"/>
    <n v="14"/>
  </r>
  <r>
    <x v="1"/>
    <x v="0"/>
    <s v="S12000046"/>
    <x v="30"/>
    <m/>
    <m/>
    <n v="116"/>
    <n v="362"/>
    <m/>
    <n v="1"/>
    <n v="65"/>
  </r>
  <r>
    <x v="1"/>
    <x v="0"/>
    <s v="S12000047"/>
    <x v="31"/>
    <m/>
    <m/>
    <n v="54"/>
    <n v="209"/>
    <m/>
    <n v="0"/>
    <n v="25"/>
  </r>
  <r>
    <x v="1"/>
    <x v="1"/>
    <s v="S39000001"/>
    <x v="19"/>
    <n v="1"/>
    <m/>
    <n v="0"/>
    <n v="0"/>
    <n v="3"/>
    <n v="7"/>
    <n v="7"/>
  </r>
  <r>
    <x v="1"/>
    <x v="1"/>
    <s v="S39000002"/>
    <x v="32"/>
    <n v="1"/>
    <m/>
    <n v="0"/>
    <n v="2"/>
    <n v="1"/>
    <n v="4"/>
    <n v="10"/>
  </r>
  <r>
    <x v="1"/>
    <x v="1"/>
    <s v="S39000003"/>
    <x v="33"/>
    <n v="1"/>
    <m/>
    <n v="0"/>
    <n v="1"/>
    <n v="7"/>
    <n v="5"/>
    <n v="7"/>
  </r>
  <r>
    <x v="1"/>
    <x v="1"/>
    <s v="S39000004"/>
    <x v="1"/>
    <n v="0"/>
    <m/>
    <n v="0"/>
    <n v="1"/>
    <n v="2"/>
    <n v="5"/>
    <n v="10"/>
  </r>
  <r>
    <x v="1"/>
    <x v="1"/>
    <s v="S39000006"/>
    <x v="34"/>
    <n v="1"/>
    <m/>
    <n v="0"/>
    <n v="0"/>
    <n v="7"/>
    <n v="7"/>
    <n v="5"/>
  </r>
  <r>
    <x v="1"/>
    <x v="1"/>
    <s v="S39000007"/>
    <x v="35"/>
    <n v="1"/>
    <m/>
    <n v="0"/>
    <n v="4"/>
    <n v="5"/>
    <n v="1"/>
    <n v="6"/>
  </r>
  <r>
    <x v="1"/>
    <x v="1"/>
    <s v="S39000008"/>
    <x v="36"/>
    <n v="1"/>
    <m/>
    <n v="0"/>
    <n v="0"/>
    <n v="3"/>
    <n v="5"/>
    <n v="3"/>
  </r>
  <r>
    <x v="1"/>
    <x v="1"/>
    <s v="S39000009"/>
    <x v="37"/>
    <n v="2"/>
    <m/>
    <n v="2"/>
    <n v="2"/>
    <n v="8"/>
    <n v="4"/>
    <n v="6"/>
  </r>
  <r>
    <x v="1"/>
    <x v="1"/>
    <s v="S39000010"/>
    <x v="38"/>
    <n v="1"/>
    <m/>
    <n v="0"/>
    <n v="1"/>
    <n v="3"/>
    <n v="3"/>
    <n v="5"/>
  </r>
  <r>
    <x v="1"/>
    <x v="1"/>
    <s v="S39000012"/>
    <x v="30"/>
    <n v="1"/>
    <m/>
    <n v="1"/>
    <n v="2"/>
    <n v="4"/>
    <n v="8"/>
    <n v="9"/>
  </r>
  <r>
    <x v="1"/>
    <x v="1"/>
    <s v="S39000013"/>
    <x v="39"/>
    <n v="1"/>
    <m/>
    <n v="0"/>
    <n v="0"/>
    <n v="6"/>
    <n v="5"/>
    <n v="1"/>
  </r>
  <r>
    <x v="1"/>
    <x v="1"/>
    <s v="S39000014"/>
    <x v="28"/>
    <n v="2"/>
    <m/>
    <n v="1"/>
    <n v="1"/>
    <n v="3"/>
    <n v="5"/>
    <n v="4"/>
  </r>
  <r>
    <x v="1"/>
    <x v="1"/>
    <s v="S39000015"/>
    <x v="17"/>
    <n v="1"/>
    <m/>
    <n v="0"/>
    <n v="0"/>
    <n v="4"/>
    <n v="2"/>
    <n v="3"/>
  </r>
  <r>
    <x v="1"/>
    <x v="1"/>
    <s v="S39000016"/>
    <x v="40"/>
    <n v="0"/>
    <m/>
    <n v="0"/>
    <n v="0"/>
    <n v="1"/>
    <n v="4"/>
    <n v="0"/>
  </r>
  <r>
    <x v="1"/>
    <x v="1"/>
    <s v="S39000017"/>
    <x v="41"/>
    <n v="1"/>
    <m/>
    <n v="0"/>
    <n v="0"/>
    <n v="3"/>
    <n v="3"/>
    <n v="0"/>
  </r>
  <r>
    <x v="1"/>
    <x v="1"/>
    <s v="S39000018"/>
    <x v="42"/>
    <n v="1"/>
    <m/>
    <n v="0"/>
    <n v="0"/>
    <n v="3"/>
    <n v="5"/>
    <n v="3"/>
  </r>
  <r>
    <x v="1"/>
    <x v="1"/>
    <s v="S39000019"/>
    <x v="31"/>
    <n v="2"/>
    <m/>
    <n v="0"/>
    <n v="0"/>
    <n v="2"/>
    <n v="6"/>
    <n v="11"/>
  </r>
  <r>
    <x v="1"/>
    <x v="2"/>
    <s v="S40000003"/>
    <x v="43"/>
    <n v="2"/>
    <m/>
    <n v="9"/>
    <n v="0"/>
    <n v="15"/>
    <n v="4"/>
    <n v="75"/>
  </r>
  <r>
    <x v="1"/>
    <x v="2"/>
    <s v="S40000004"/>
    <x v="44"/>
    <n v="1"/>
    <m/>
    <n v="4"/>
    <n v="6"/>
    <n v="4"/>
    <n v="17"/>
    <n v="46"/>
  </r>
  <r>
    <x v="1"/>
    <x v="2"/>
    <s v="S40000005"/>
    <x v="45"/>
    <n v="1"/>
    <m/>
    <n v="21"/>
    <n v="1"/>
    <n v="7"/>
    <n v="10"/>
    <n v="26"/>
  </r>
  <r>
    <x v="1"/>
    <x v="3"/>
    <s v="S92000003"/>
    <x v="46"/>
    <n v="11"/>
    <n v="7"/>
    <n v="4"/>
    <n v="1"/>
    <n v="12"/>
    <n v="6"/>
    <n v="11"/>
  </r>
  <r>
    <x v="2"/>
    <x v="0"/>
    <s v="S12000005"/>
    <x v="0"/>
    <m/>
    <m/>
    <n v="5"/>
    <n v="17"/>
    <m/>
    <n v="0"/>
    <n v="4"/>
  </r>
  <r>
    <x v="2"/>
    <x v="0"/>
    <s v="S12000006"/>
    <x v="1"/>
    <m/>
    <m/>
    <n v="14"/>
    <n v="48"/>
    <m/>
    <n v="0"/>
    <n v="3"/>
  </r>
  <r>
    <x v="2"/>
    <x v="0"/>
    <s v="S12000008"/>
    <x v="2"/>
    <m/>
    <m/>
    <n v="7"/>
    <n v="41"/>
    <m/>
    <n v="0"/>
    <n v="5"/>
  </r>
  <r>
    <x v="2"/>
    <x v="0"/>
    <s v="S12000010"/>
    <x v="3"/>
    <m/>
    <m/>
    <n v="4"/>
    <n v="19"/>
    <m/>
    <n v="0"/>
    <n v="4"/>
  </r>
  <r>
    <x v="2"/>
    <x v="0"/>
    <s v="S12000011"/>
    <x v="4"/>
    <m/>
    <m/>
    <n v="10"/>
    <n v="34"/>
    <m/>
    <n v="0"/>
    <n v="9"/>
  </r>
  <r>
    <x v="2"/>
    <x v="0"/>
    <s v="S12000013"/>
    <x v="5"/>
    <m/>
    <m/>
    <n v="0"/>
    <n v="0"/>
    <m/>
    <n v="0"/>
    <n v="0"/>
  </r>
  <r>
    <x v="2"/>
    <x v="0"/>
    <s v="S12000014"/>
    <x v="6"/>
    <m/>
    <m/>
    <n v="17"/>
    <n v="66"/>
    <m/>
    <n v="0"/>
    <n v="12"/>
  </r>
  <r>
    <x v="2"/>
    <x v="0"/>
    <s v="S12000017"/>
    <x v="7"/>
    <m/>
    <m/>
    <n v="11"/>
    <n v="53"/>
    <m/>
    <n v="0"/>
    <n v="4"/>
  </r>
  <r>
    <x v="2"/>
    <x v="0"/>
    <s v="S12000018"/>
    <x v="8"/>
    <m/>
    <m/>
    <n v="12"/>
    <n v="48"/>
    <m/>
    <n v="1"/>
    <n v="9"/>
  </r>
  <r>
    <x v="2"/>
    <x v="0"/>
    <s v="S12000019"/>
    <x v="9"/>
    <m/>
    <m/>
    <n v="4"/>
    <n v="16"/>
    <m/>
    <n v="0"/>
    <n v="3"/>
  </r>
  <r>
    <x v="2"/>
    <x v="0"/>
    <s v="S12000020"/>
    <x v="10"/>
    <m/>
    <m/>
    <n v="5"/>
    <n v="21"/>
    <m/>
    <n v="0"/>
    <n v="5"/>
  </r>
  <r>
    <x v="2"/>
    <x v="0"/>
    <s v="S12000021"/>
    <x v="11"/>
    <m/>
    <m/>
    <n v="14"/>
    <n v="52"/>
    <m/>
    <n v="0"/>
    <n v="12"/>
  </r>
  <r>
    <x v="2"/>
    <x v="0"/>
    <s v="S12000023"/>
    <x v="12"/>
    <m/>
    <m/>
    <n v="0"/>
    <n v="0"/>
    <m/>
    <n v="0"/>
    <n v="0"/>
  </r>
  <r>
    <x v="2"/>
    <x v="0"/>
    <s v="S12000024"/>
    <x v="13"/>
    <m/>
    <m/>
    <n v="13"/>
    <n v="56"/>
    <m/>
    <n v="0"/>
    <n v="4"/>
  </r>
  <r>
    <x v="2"/>
    <x v="0"/>
    <s v="S12000026"/>
    <x v="14"/>
    <m/>
    <m/>
    <n v="12"/>
    <n v="50"/>
    <m/>
    <n v="0"/>
    <n v="9"/>
  </r>
  <r>
    <x v="2"/>
    <x v="0"/>
    <s v="S12000027"/>
    <x v="15"/>
    <m/>
    <m/>
    <n v="0"/>
    <n v="0"/>
    <m/>
    <n v="0"/>
    <n v="0"/>
  </r>
  <r>
    <x v="2"/>
    <x v="0"/>
    <s v="S12000028"/>
    <x v="16"/>
    <m/>
    <m/>
    <n v="10"/>
    <n v="40"/>
    <m/>
    <n v="0"/>
    <n v="5"/>
  </r>
  <r>
    <x v="2"/>
    <x v="0"/>
    <s v="S12000029"/>
    <x v="17"/>
    <m/>
    <m/>
    <n v="28"/>
    <n v="132"/>
    <m/>
    <n v="0"/>
    <n v="18"/>
  </r>
  <r>
    <x v="2"/>
    <x v="0"/>
    <s v="S12000030"/>
    <x v="18"/>
    <m/>
    <m/>
    <n v="9"/>
    <n v="40"/>
    <m/>
    <n v="0"/>
    <n v="2"/>
  </r>
  <r>
    <x v="2"/>
    <x v="0"/>
    <s v="S12000033"/>
    <x v="19"/>
    <m/>
    <m/>
    <n v="22"/>
    <n v="109"/>
    <m/>
    <n v="0"/>
    <n v="13"/>
  </r>
  <r>
    <x v="2"/>
    <x v="0"/>
    <s v="S12000034"/>
    <x v="20"/>
    <m/>
    <m/>
    <n v="6"/>
    <n v="22"/>
    <m/>
    <n v="0"/>
    <n v="4"/>
  </r>
  <r>
    <x v="2"/>
    <x v="0"/>
    <s v="S12000035"/>
    <x v="21"/>
    <m/>
    <m/>
    <n v="8"/>
    <n v="37"/>
    <m/>
    <n v="0"/>
    <n v="10"/>
  </r>
  <r>
    <x v="2"/>
    <x v="0"/>
    <s v="S12000036"/>
    <x v="22"/>
    <m/>
    <m/>
    <n v="48"/>
    <n v="248"/>
    <m/>
    <n v="0"/>
    <n v="19"/>
  </r>
  <r>
    <x v="2"/>
    <x v="0"/>
    <s v="S12000038"/>
    <x v="23"/>
    <m/>
    <m/>
    <n v="15"/>
    <n v="62"/>
    <m/>
    <n v="0"/>
    <n v="15"/>
  </r>
  <r>
    <x v="2"/>
    <x v="0"/>
    <s v="S12000039"/>
    <x v="24"/>
    <m/>
    <m/>
    <n v="11"/>
    <n v="49"/>
    <m/>
    <n v="0"/>
    <n v="10"/>
  </r>
  <r>
    <x v="2"/>
    <x v="0"/>
    <s v="S12000040"/>
    <x v="25"/>
    <m/>
    <m/>
    <n v="9"/>
    <n v="44"/>
    <m/>
    <n v="0"/>
    <n v="8"/>
  </r>
  <r>
    <x v="2"/>
    <x v="0"/>
    <s v="S12000041"/>
    <x v="26"/>
    <m/>
    <m/>
    <n v="8"/>
    <n v="25"/>
    <m/>
    <n v="0"/>
    <n v="3"/>
  </r>
  <r>
    <x v="2"/>
    <x v="0"/>
    <s v="S12000042"/>
    <x v="27"/>
    <m/>
    <m/>
    <n v="26"/>
    <n v="135"/>
    <m/>
    <n v="1"/>
    <n v="14"/>
  </r>
  <r>
    <x v="2"/>
    <x v="0"/>
    <s v="S12000044"/>
    <x v="28"/>
    <m/>
    <m/>
    <n v="28"/>
    <n v="136"/>
    <m/>
    <n v="0"/>
    <n v="16"/>
  </r>
  <r>
    <x v="2"/>
    <x v="0"/>
    <s v="S12000045"/>
    <x v="29"/>
    <m/>
    <m/>
    <n v="9"/>
    <n v="46"/>
    <m/>
    <n v="0"/>
    <n v="15"/>
  </r>
  <r>
    <x v="2"/>
    <x v="0"/>
    <s v="S12000046"/>
    <x v="30"/>
    <m/>
    <m/>
    <n v="99"/>
    <n v="350"/>
    <m/>
    <n v="0"/>
    <n v="50"/>
  </r>
  <r>
    <x v="2"/>
    <x v="0"/>
    <s v="S12000047"/>
    <x v="31"/>
    <m/>
    <m/>
    <n v="47"/>
    <n v="211"/>
    <m/>
    <n v="0"/>
    <n v="20"/>
  </r>
  <r>
    <x v="2"/>
    <x v="1"/>
    <s v="S39000001"/>
    <x v="19"/>
    <n v="1"/>
    <m/>
    <n v="0"/>
    <n v="3"/>
    <n v="3"/>
    <n v="2"/>
    <n v="7"/>
  </r>
  <r>
    <x v="2"/>
    <x v="1"/>
    <s v="S39000002"/>
    <x v="32"/>
    <n v="1"/>
    <m/>
    <n v="7"/>
    <n v="1"/>
    <n v="2"/>
    <n v="6"/>
    <n v="10"/>
  </r>
  <r>
    <x v="2"/>
    <x v="1"/>
    <s v="S39000003"/>
    <x v="33"/>
    <n v="1"/>
    <m/>
    <n v="2"/>
    <n v="4"/>
    <n v="5"/>
    <n v="7"/>
    <n v="6"/>
  </r>
  <r>
    <x v="2"/>
    <x v="1"/>
    <s v="S39000004"/>
    <x v="1"/>
    <n v="0"/>
    <m/>
    <n v="0"/>
    <n v="2"/>
    <n v="2"/>
    <n v="5"/>
    <n v="10"/>
  </r>
  <r>
    <x v="2"/>
    <x v="1"/>
    <s v="S39000006"/>
    <x v="34"/>
    <n v="1"/>
    <m/>
    <n v="4"/>
    <n v="2"/>
    <n v="6"/>
    <n v="7"/>
    <n v="9"/>
  </r>
  <r>
    <x v="2"/>
    <x v="1"/>
    <s v="S39000007"/>
    <x v="35"/>
    <n v="1"/>
    <m/>
    <n v="10"/>
    <n v="5"/>
    <n v="5"/>
    <n v="6"/>
    <n v="11"/>
  </r>
  <r>
    <x v="2"/>
    <x v="1"/>
    <s v="S39000008"/>
    <x v="36"/>
    <n v="1"/>
    <m/>
    <n v="1"/>
    <n v="3"/>
    <n v="2"/>
    <n v="3"/>
    <n v="7"/>
  </r>
  <r>
    <x v="2"/>
    <x v="1"/>
    <s v="S39000009"/>
    <x v="37"/>
    <n v="0"/>
    <m/>
    <n v="5"/>
    <n v="4"/>
    <n v="7"/>
    <n v="2"/>
    <n v="9"/>
  </r>
  <r>
    <x v="2"/>
    <x v="1"/>
    <s v="S39000010"/>
    <x v="38"/>
    <n v="1"/>
    <m/>
    <n v="1"/>
    <n v="2"/>
    <n v="2"/>
    <n v="3"/>
    <n v="7"/>
  </r>
  <r>
    <x v="2"/>
    <x v="1"/>
    <s v="S39000012"/>
    <x v="30"/>
    <n v="1"/>
    <m/>
    <n v="1"/>
    <n v="2"/>
    <n v="5"/>
    <n v="8"/>
    <n v="15"/>
  </r>
  <r>
    <x v="2"/>
    <x v="1"/>
    <s v="S39000013"/>
    <x v="39"/>
    <n v="1"/>
    <m/>
    <n v="7"/>
    <n v="0"/>
    <n v="6"/>
    <n v="8"/>
    <n v="7"/>
  </r>
  <r>
    <x v="2"/>
    <x v="1"/>
    <s v="S39000014"/>
    <x v="28"/>
    <n v="1"/>
    <m/>
    <n v="3"/>
    <n v="0"/>
    <n v="3"/>
    <n v="4"/>
    <n v="9"/>
  </r>
  <r>
    <x v="2"/>
    <x v="1"/>
    <s v="S39000015"/>
    <x v="17"/>
    <n v="1"/>
    <m/>
    <n v="3"/>
    <n v="1"/>
    <n v="3"/>
    <n v="5"/>
    <n v="3"/>
  </r>
  <r>
    <x v="2"/>
    <x v="1"/>
    <s v="S39000016"/>
    <x v="40"/>
    <n v="0"/>
    <m/>
    <n v="2"/>
    <n v="1"/>
    <n v="2"/>
    <n v="5"/>
    <n v="3"/>
  </r>
  <r>
    <x v="2"/>
    <x v="1"/>
    <s v="S39000017"/>
    <x v="41"/>
    <n v="1"/>
    <m/>
    <n v="1"/>
    <n v="0"/>
    <n v="3"/>
    <n v="5"/>
    <n v="1"/>
  </r>
  <r>
    <x v="2"/>
    <x v="1"/>
    <s v="S39000018"/>
    <x v="42"/>
    <n v="1"/>
    <m/>
    <n v="0"/>
    <n v="1"/>
    <n v="4"/>
    <n v="10"/>
    <n v="8"/>
  </r>
  <r>
    <x v="2"/>
    <x v="1"/>
    <s v="S39000019"/>
    <x v="31"/>
    <n v="1"/>
    <m/>
    <n v="3"/>
    <n v="4"/>
    <n v="2"/>
    <n v="5"/>
    <n v="11"/>
  </r>
  <r>
    <x v="2"/>
    <x v="2"/>
    <s v="S40000003"/>
    <x v="43"/>
    <n v="1"/>
    <m/>
    <n v="3"/>
    <m/>
    <n v="5"/>
    <n v="3"/>
    <n v="4"/>
  </r>
  <r>
    <x v="2"/>
    <x v="2"/>
    <s v="S40000004"/>
    <x v="44"/>
    <n v="1"/>
    <m/>
    <n v="2"/>
    <m/>
    <n v="2"/>
    <n v="3"/>
    <n v="17"/>
  </r>
  <r>
    <x v="2"/>
    <x v="2"/>
    <s v="S40000005"/>
    <x v="45"/>
    <n v="1"/>
    <m/>
    <n v="8"/>
    <m/>
    <n v="2"/>
    <n v="8"/>
    <n v="25"/>
  </r>
  <r>
    <x v="2"/>
    <x v="3"/>
    <s v="S92000003"/>
    <x v="46"/>
    <n v="18"/>
    <n v="4"/>
    <n v="26"/>
    <n v="16"/>
    <n v="19"/>
    <n v="19"/>
    <n v="93"/>
  </r>
  <r>
    <x v="3"/>
    <x v="0"/>
    <s v="S12000005"/>
    <x v="0"/>
    <m/>
    <m/>
    <n v="4"/>
    <n v="14"/>
    <m/>
    <m/>
    <n v="4"/>
  </r>
  <r>
    <x v="3"/>
    <x v="0"/>
    <s v="S12000006"/>
    <x v="1"/>
    <m/>
    <m/>
    <n v="11"/>
    <n v="48"/>
    <m/>
    <m/>
    <n v="4"/>
  </r>
  <r>
    <x v="3"/>
    <x v="0"/>
    <s v="S12000008"/>
    <x v="2"/>
    <m/>
    <m/>
    <n v="9"/>
    <n v="32"/>
    <m/>
    <m/>
    <n v="5"/>
  </r>
  <r>
    <x v="3"/>
    <x v="0"/>
    <s v="S12000010"/>
    <x v="3"/>
    <m/>
    <m/>
    <n v="4"/>
    <n v="19"/>
    <m/>
    <m/>
    <n v="4"/>
  </r>
  <r>
    <x v="3"/>
    <x v="0"/>
    <s v="S12000011"/>
    <x v="4"/>
    <m/>
    <m/>
    <n v="10"/>
    <n v="30"/>
    <m/>
    <m/>
    <n v="10"/>
  </r>
  <r>
    <x v="3"/>
    <x v="0"/>
    <s v="S12000013"/>
    <x v="5"/>
    <m/>
    <m/>
    <n v="0"/>
    <n v="0"/>
    <m/>
    <m/>
    <n v="0"/>
  </r>
  <r>
    <x v="3"/>
    <x v="0"/>
    <s v="S12000014"/>
    <x v="6"/>
    <m/>
    <m/>
    <n v="16"/>
    <n v="57"/>
    <m/>
    <m/>
    <n v="13"/>
  </r>
  <r>
    <x v="3"/>
    <x v="0"/>
    <s v="S12000017"/>
    <x v="7"/>
    <m/>
    <m/>
    <n v="11"/>
    <n v="52"/>
    <m/>
    <m/>
    <n v="4"/>
  </r>
  <r>
    <x v="3"/>
    <x v="0"/>
    <s v="S12000018"/>
    <x v="8"/>
    <m/>
    <m/>
    <n v="13"/>
    <n v="43"/>
    <m/>
    <n v="1"/>
    <n v="11"/>
  </r>
  <r>
    <x v="3"/>
    <x v="0"/>
    <s v="S12000019"/>
    <x v="9"/>
    <m/>
    <m/>
    <n v="4"/>
    <n v="14"/>
    <m/>
    <m/>
    <n v="4"/>
  </r>
  <r>
    <x v="3"/>
    <x v="0"/>
    <s v="S12000020"/>
    <x v="10"/>
    <m/>
    <m/>
    <n v="4"/>
    <n v="19"/>
    <m/>
    <m/>
    <n v="4"/>
  </r>
  <r>
    <x v="3"/>
    <x v="0"/>
    <s v="S12000021"/>
    <x v="11"/>
    <m/>
    <m/>
    <n v="17"/>
    <n v="46"/>
    <m/>
    <m/>
    <n v="15"/>
  </r>
  <r>
    <x v="3"/>
    <x v="0"/>
    <s v="S12000023"/>
    <x v="12"/>
    <m/>
    <m/>
    <n v="0"/>
    <n v="0"/>
    <m/>
    <m/>
    <n v="0"/>
  </r>
  <r>
    <x v="3"/>
    <x v="0"/>
    <s v="S12000024"/>
    <x v="13"/>
    <m/>
    <m/>
    <n v="12"/>
    <n v="52"/>
    <m/>
    <m/>
    <n v="4"/>
  </r>
  <r>
    <x v="3"/>
    <x v="0"/>
    <s v="S12000026"/>
    <x v="14"/>
    <m/>
    <m/>
    <n v="8"/>
    <n v="40"/>
    <m/>
    <m/>
    <n v="8"/>
  </r>
  <r>
    <x v="3"/>
    <x v="0"/>
    <s v="S12000027"/>
    <x v="15"/>
    <m/>
    <m/>
    <n v="0"/>
    <n v="0"/>
    <m/>
    <m/>
    <n v="0"/>
  </r>
  <r>
    <x v="3"/>
    <x v="0"/>
    <s v="S12000028"/>
    <x v="16"/>
    <m/>
    <m/>
    <n v="10"/>
    <n v="39"/>
    <m/>
    <m/>
    <n v="5"/>
  </r>
  <r>
    <x v="3"/>
    <x v="0"/>
    <s v="S12000029"/>
    <x v="17"/>
    <m/>
    <m/>
    <n v="34"/>
    <n v="117"/>
    <m/>
    <m/>
    <n v="20"/>
  </r>
  <r>
    <x v="3"/>
    <x v="0"/>
    <s v="S12000030"/>
    <x v="18"/>
    <m/>
    <m/>
    <n v="9"/>
    <n v="40"/>
    <m/>
    <m/>
    <n v="4"/>
  </r>
  <r>
    <x v="3"/>
    <x v="0"/>
    <s v="S12000033"/>
    <x v="19"/>
    <m/>
    <m/>
    <n v="26"/>
    <n v="113"/>
    <m/>
    <m/>
    <n v="16"/>
  </r>
  <r>
    <x v="3"/>
    <x v="0"/>
    <s v="S12000034"/>
    <x v="20"/>
    <m/>
    <m/>
    <n v="4"/>
    <n v="17"/>
    <m/>
    <m/>
    <n v="4"/>
  </r>
  <r>
    <x v="3"/>
    <x v="0"/>
    <s v="S12000035"/>
    <x v="21"/>
    <m/>
    <m/>
    <n v="9"/>
    <n v="24"/>
    <m/>
    <m/>
    <n v="10"/>
  </r>
  <r>
    <x v="3"/>
    <x v="0"/>
    <s v="S12000036"/>
    <x v="22"/>
    <m/>
    <m/>
    <n v="60"/>
    <n v="227"/>
    <m/>
    <m/>
    <n v="26"/>
  </r>
  <r>
    <x v="3"/>
    <x v="0"/>
    <s v="S12000038"/>
    <x v="23"/>
    <m/>
    <m/>
    <n v="21"/>
    <n v="60"/>
    <m/>
    <m/>
    <n v="16"/>
  </r>
  <r>
    <x v="3"/>
    <x v="0"/>
    <s v="S12000039"/>
    <x v="24"/>
    <m/>
    <m/>
    <n v="15"/>
    <n v="44"/>
    <m/>
    <m/>
    <n v="10"/>
  </r>
  <r>
    <x v="3"/>
    <x v="0"/>
    <s v="S12000040"/>
    <x v="25"/>
    <m/>
    <m/>
    <n v="10"/>
    <n v="42"/>
    <m/>
    <m/>
    <n v="8"/>
  </r>
  <r>
    <x v="3"/>
    <x v="0"/>
    <s v="S12000041"/>
    <x v="26"/>
    <m/>
    <m/>
    <n v="4"/>
    <n v="18"/>
    <m/>
    <m/>
    <n v="3"/>
  </r>
  <r>
    <x v="3"/>
    <x v="0"/>
    <s v="S12000042"/>
    <x v="27"/>
    <m/>
    <m/>
    <n v="30"/>
    <n v="144"/>
    <m/>
    <m/>
    <n v="18"/>
  </r>
  <r>
    <x v="3"/>
    <x v="0"/>
    <s v="S12000044"/>
    <x v="28"/>
    <m/>
    <m/>
    <n v="30"/>
    <n v="123"/>
    <m/>
    <m/>
    <n v="20"/>
  </r>
  <r>
    <x v="3"/>
    <x v="0"/>
    <s v="S12000045"/>
    <x v="29"/>
    <m/>
    <m/>
    <n v="14"/>
    <n v="39"/>
    <m/>
    <m/>
    <n v="15"/>
  </r>
  <r>
    <x v="3"/>
    <x v="0"/>
    <s v="S12000046"/>
    <x v="30"/>
    <m/>
    <m/>
    <n v="105"/>
    <n v="313"/>
    <m/>
    <m/>
    <n v="57"/>
  </r>
  <r>
    <x v="3"/>
    <x v="0"/>
    <s v="S12000047"/>
    <x v="31"/>
    <m/>
    <m/>
    <n v="48"/>
    <n v="201"/>
    <m/>
    <m/>
    <n v="21"/>
  </r>
  <r>
    <x v="3"/>
    <x v="1"/>
    <s v="S39000001"/>
    <x v="19"/>
    <n v="1"/>
    <m/>
    <n v="2"/>
    <n v="2"/>
    <n v="1"/>
    <n v="3"/>
    <n v="5"/>
  </r>
  <r>
    <x v="3"/>
    <x v="1"/>
    <s v="S39000002"/>
    <x v="32"/>
    <n v="1"/>
    <m/>
    <n v="5"/>
    <n v="0"/>
    <n v="2"/>
    <n v="8"/>
    <n v="9"/>
  </r>
  <r>
    <x v="3"/>
    <x v="1"/>
    <s v="S39000003"/>
    <x v="33"/>
    <n v="1"/>
    <m/>
    <n v="4"/>
    <n v="2"/>
    <n v="3"/>
    <n v="9"/>
    <n v="7"/>
  </r>
  <r>
    <x v="3"/>
    <x v="1"/>
    <s v="S39000004"/>
    <x v="1"/>
    <n v="1"/>
    <m/>
    <n v="3"/>
    <n v="1"/>
    <n v="2"/>
    <n v="6"/>
    <n v="9"/>
  </r>
  <r>
    <x v="3"/>
    <x v="1"/>
    <s v="S39000006"/>
    <x v="34"/>
    <n v="1"/>
    <m/>
    <n v="5"/>
    <n v="2"/>
    <n v="4"/>
    <n v="9"/>
    <n v="9"/>
  </r>
  <r>
    <x v="3"/>
    <x v="1"/>
    <s v="S39000007"/>
    <x v="35"/>
    <n v="1"/>
    <m/>
    <n v="5"/>
    <n v="5"/>
    <n v="4"/>
    <n v="8"/>
    <n v="8"/>
  </r>
  <r>
    <x v="3"/>
    <x v="1"/>
    <s v="S39000008"/>
    <x v="36"/>
    <n v="1"/>
    <m/>
    <n v="2"/>
    <n v="1"/>
    <n v="3"/>
    <n v="4"/>
    <n v="7"/>
  </r>
  <r>
    <x v="3"/>
    <x v="1"/>
    <s v="S39000009"/>
    <x v="37"/>
    <n v="1"/>
    <m/>
    <n v="2"/>
    <n v="4"/>
    <n v="3"/>
    <n v="6"/>
    <n v="11"/>
  </r>
  <r>
    <x v="3"/>
    <x v="1"/>
    <s v="S39000010"/>
    <x v="38"/>
    <n v="1"/>
    <m/>
    <n v="3"/>
    <n v="2"/>
    <n v="2"/>
    <n v="6"/>
    <n v="7"/>
  </r>
  <r>
    <x v="3"/>
    <x v="1"/>
    <s v="S39000012"/>
    <x v="30"/>
    <n v="1"/>
    <m/>
    <n v="3"/>
    <n v="2"/>
    <n v="4"/>
    <n v="9"/>
    <n v="6"/>
  </r>
  <r>
    <x v="3"/>
    <x v="1"/>
    <s v="S39000013"/>
    <x v="39"/>
    <n v="1"/>
    <m/>
    <n v="10"/>
    <n v="1"/>
    <n v="4"/>
    <n v="13"/>
    <n v="8"/>
  </r>
  <r>
    <x v="3"/>
    <x v="1"/>
    <s v="S39000014"/>
    <x v="28"/>
    <n v="1"/>
    <m/>
    <n v="1"/>
    <n v="1"/>
    <n v="2"/>
    <n v="5"/>
    <n v="5"/>
  </r>
  <r>
    <x v="3"/>
    <x v="1"/>
    <s v="S39000015"/>
    <x v="17"/>
    <n v="1"/>
    <m/>
    <n v="2"/>
    <n v="1"/>
    <n v="2"/>
    <n v="5"/>
    <n v="4"/>
  </r>
  <r>
    <x v="3"/>
    <x v="1"/>
    <s v="S39000016"/>
    <x v="40"/>
    <n v="0"/>
    <m/>
    <n v="3"/>
    <n v="1"/>
    <n v="2"/>
    <n v="4"/>
    <n v="5"/>
  </r>
  <r>
    <x v="3"/>
    <x v="1"/>
    <s v="S39000017"/>
    <x v="41"/>
    <n v="1"/>
    <m/>
    <n v="6"/>
    <n v="0"/>
    <n v="3"/>
    <n v="5"/>
    <n v="1"/>
  </r>
  <r>
    <x v="3"/>
    <x v="1"/>
    <s v="S39000018"/>
    <x v="42"/>
    <n v="1"/>
    <m/>
    <n v="2"/>
    <n v="2"/>
    <n v="4"/>
    <n v="9"/>
    <n v="10"/>
  </r>
  <r>
    <x v="3"/>
    <x v="1"/>
    <s v="S39000019"/>
    <x v="31"/>
    <n v="1"/>
    <m/>
    <n v="3"/>
    <n v="3"/>
    <n v="2"/>
    <n v="7"/>
    <n v="8"/>
  </r>
  <r>
    <x v="3"/>
    <x v="2"/>
    <s v="S40000003"/>
    <x v="43"/>
    <n v="1"/>
    <m/>
    <n v="10"/>
    <n v="1"/>
    <n v="3"/>
    <n v="11"/>
    <n v="42"/>
  </r>
  <r>
    <x v="3"/>
    <x v="2"/>
    <s v="S40000004"/>
    <x v="44"/>
    <n v="1"/>
    <m/>
    <n v="6"/>
    <n v="1"/>
    <n v="5"/>
    <n v="5"/>
    <n v="20"/>
  </r>
  <r>
    <x v="3"/>
    <x v="2"/>
    <s v="S40000005"/>
    <x v="45"/>
    <n v="1"/>
    <m/>
    <n v="6"/>
    <n v="1"/>
    <n v="4"/>
    <n v="9"/>
    <n v="24"/>
  </r>
  <r>
    <x v="3"/>
    <x v="3"/>
    <s v="S92000003"/>
    <x v="46"/>
    <n v="15"/>
    <n v="4"/>
    <n v="0"/>
    <n v="101"/>
    <n v="11"/>
    <n v="9"/>
    <n v="42"/>
  </r>
  <r>
    <x v="4"/>
    <x v="0"/>
    <s v="S12000005"/>
    <x v="0"/>
    <m/>
    <m/>
    <n v="5"/>
    <n v="15"/>
    <m/>
    <m/>
    <n v="5"/>
  </r>
  <r>
    <x v="4"/>
    <x v="0"/>
    <s v="S12000006"/>
    <x v="1"/>
    <m/>
    <m/>
    <n v="11"/>
    <n v="38"/>
    <m/>
    <m/>
    <n v="5"/>
  </r>
  <r>
    <x v="4"/>
    <x v="0"/>
    <s v="S12000008"/>
    <x v="2"/>
    <m/>
    <m/>
    <n v="10"/>
    <n v="34"/>
    <m/>
    <m/>
    <n v="5"/>
  </r>
  <r>
    <x v="4"/>
    <x v="0"/>
    <s v="S12000010"/>
    <x v="3"/>
    <m/>
    <m/>
    <n v="5"/>
    <n v="13"/>
    <m/>
    <m/>
    <n v="5"/>
  </r>
  <r>
    <x v="4"/>
    <x v="0"/>
    <s v="S12000011"/>
    <x v="4"/>
    <m/>
    <m/>
    <n v="10"/>
    <n v="30"/>
    <m/>
    <m/>
    <n v="11"/>
  </r>
  <r>
    <x v="4"/>
    <x v="0"/>
    <s v="S12000014"/>
    <x v="6"/>
    <m/>
    <m/>
    <n v="22"/>
    <n v="49"/>
    <m/>
    <m/>
    <n v="16"/>
  </r>
  <r>
    <x v="4"/>
    <x v="0"/>
    <s v="S12000017"/>
    <x v="7"/>
    <m/>
    <m/>
    <n v="15"/>
    <n v="49"/>
    <m/>
    <m/>
    <n v="4"/>
  </r>
  <r>
    <x v="4"/>
    <x v="0"/>
    <s v="S12000018"/>
    <x v="8"/>
    <m/>
    <m/>
    <n v="15"/>
    <n v="44"/>
    <m/>
    <m/>
    <n v="13"/>
  </r>
  <r>
    <x v="4"/>
    <x v="0"/>
    <s v="S12000019"/>
    <x v="9"/>
    <m/>
    <m/>
    <n v="5"/>
    <n v="18"/>
    <m/>
    <m/>
    <n v="5"/>
  </r>
  <r>
    <x v="4"/>
    <x v="0"/>
    <s v="S12000020"/>
    <x v="10"/>
    <m/>
    <m/>
    <n v="5"/>
    <n v="19"/>
    <m/>
    <m/>
    <n v="5"/>
  </r>
  <r>
    <x v="4"/>
    <x v="0"/>
    <s v="S12000021"/>
    <x v="11"/>
    <m/>
    <m/>
    <n v="16"/>
    <n v="45"/>
    <m/>
    <m/>
    <n v="15"/>
  </r>
  <r>
    <x v="4"/>
    <x v="0"/>
    <s v="S12000024"/>
    <x v="13"/>
    <m/>
    <m/>
    <n v="10"/>
    <n v="54"/>
    <m/>
    <m/>
    <n v="5"/>
  </r>
  <r>
    <x v="4"/>
    <x v="0"/>
    <s v="S12000026"/>
    <x v="14"/>
    <m/>
    <m/>
    <n v="9"/>
    <n v="32"/>
    <m/>
    <m/>
    <n v="10"/>
  </r>
  <r>
    <x v="4"/>
    <x v="0"/>
    <s v="S12000028"/>
    <x v="16"/>
    <m/>
    <m/>
    <n v="10"/>
    <n v="35"/>
    <m/>
    <m/>
    <n v="5"/>
  </r>
  <r>
    <x v="4"/>
    <x v="0"/>
    <s v="S12000029"/>
    <x v="17"/>
    <m/>
    <m/>
    <n v="35"/>
    <n v="111"/>
    <m/>
    <m/>
    <n v="20"/>
  </r>
  <r>
    <x v="4"/>
    <x v="0"/>
    <s v="S12000030"/>
    <x v="18"/>
    <m/>
    <m/>
    <n v="9"/>
    <n v="34"/>
    <m/>
    <m/>
    <n v="5"/>
  </r>
  <r>
    <x v="4"/>
    <x v="0"/>
    <s v="S12000033"/>
    <x v="19"/>
    <m/>
    <m/>
    <n v="33"/>
    <n v="97"/>
    <m/>
    <m/>
    <n v="15"/>
  </r>
  <r>
    <x v="4"/>
    <x v="0"/>
    <s v="S12000034"/>
    <x v="20"/>
    <m/>
    <m/>
    <n v="5"/>
    <n v="14"/>
    <m/>
    <m/>
    <n v="5"/>
  </r>
  <r>
    <x v="4"/>
    <x v="0"/>
    <s v="S12000035"/>
    <x v="21"/>
    <m/>
    <m/>
    <n v="10"/>
    <n v="30"/>
    <m/>
    <m/>
    <n v="10"/>
  </r>
  <r>
    <x v="4"/>
    <x v="0"/>
    <s v="S12000036"/>
    <x v="22"/>
    <m/>
    <m/>
    <n v="54"/>
    <n v="204"/>
    <m/>
    <m/>
    <n v="35"/>
  </r>
  <r>
    <x v="4"/>
    <x v="0"/>
    <s v="S12000038"/>
    <x v="23"/>
    <m/>
    <m/>
    <n v="20"/>
    <n v="59"/>
    <m/>
    <m/>
    <n v="15"/>
  </r>
  <r>
    <x v="4"/>
    <x v="0"/>
    <s v="S12000039"/>
    <x v="24"/>
    <m/>
    <m/>
    <n v="15"/>
    <n v="43"/>
    <m/>
    <m/>
    <n v="10"/>
  </r>
  <r>
    <x v="4"/>
    <x v="0"/>
    <s v="S12000040"/>
    <x v="25"/>
    <m/>
    <m/>
    <n v="11"/>
    <n v="37"/>
    <m/>
    <m/>
    <n v="10"/>
  </r>
  <r>
    <x v="4"/>
    <x v="0"/>
    <s v="S12000041"/>
    <x v="26"/>
    <m/>
    <m/>
    <n v="5"/>
    <n v="18"/>
    <m/>
    <m/>
    <n v="5"/>
  </r>
  <r>
    <x v="4"/>
    <x v="0"/>
    <s v="S12000042"/>
    <x v="27"/>
    <m/>
    <m/>
    <n v="35"/>
    <n v="122"/>
    <m/>
    <m/>
    <n v="21"/>
  </r>
  <r>
    <x v="4"/>
    <x v="0"/>
    <s v="S12000044"/>
    <x v="28"/>
    <m/>
    <m/>
    <n v="31"/>
    <n v="113"/>
    <m/>
    <m/>
    <n v="19"/>
  </r>
  <r>
    <x v="4"/>
    <x v="0"/>
    <s v="S12000045"/>
    <x v="29"/>
    <m/>
    <m/>
    <n v="15"/>
    <n v="48"/>
    <m/>
    <m/>
    <n v="15"/>
  </r>
  <r>
    <x v="4"/>
    <x v="0"/>
    <s v="S12000046"/>
    <x v="30"/>
    <m/>
    <m/>
    <n v="113"/>
    <n v="319"/>
    <m/>
    <m/>
    <n v="57"/>
  </r>
  <r>
    <x v="4"/>
    <x v="0"/>
    <s v="S12000047"/>
    <x v="31"/>
    <m/>
    <m/>
    <n v="49"/>
    <n v="181"/>
    <m/>
    <m/>
    <n v="24"/>
  </r>
  <r>
    <x v="4"/>
    <x v="1"/>
    <s v="S39000001"/>
    <x v="19"/>
    <n v="1"/>
    <m/>
    <n v="2"/>
    <n v="2"/>
    <n v="2"/>
    <n v="3"/>
    <n v="5"/>
  </r>
  <r>
    <x v="4"/>
    <x v="1"/>
    <s v="S39000002"/>
    <x v="32"/>
    <n v="1"/>
    <m/>
    <n v="7"/>
    <m/>
    <n v="2"/>
    <n v="7"/>
    <n v="8"/>
  </r>
  <r>
    <x v="4"/>
    <x v="1"/>
    <s v="S39000003"/>
    <x v="33"/>
    <n v="1"/>
    <m/>
    <n v="6"/>
    <n v="1"/>
    <n v="3"/>
    <n v="9"/>
    <n v="6"/>
  </r>
  <r>
    <x v="4"/>
    <x v="1"/>
    <s v="S39000004"/>
    <x v="1"/>
    <n v="1"/>
    <m/>
    <n v="4"/>
    <n v="2"/>
    <n v="2"/>
    <n v="6"/>
    <n v="7"/>
  </r>
  <r>
    <x v="4"/>
    <x v="1"/>
    <s v="S39000006"/>
    <x v="34"/>
    <n v="1"/>
    <m/>
    <n v="5"/>
    <n v="1"/>
    <n v="3"/>
    <n v="9"/>
    <n v="8"/>
  </r>
  <r>
    <x v="4"/>
    <x v="1"/>
    <s v="S39000007"/>
    <x v="35"/>
    <n v="1"/>
    <m/>
    <n v="3"/>
    <n v="5"/>
    <n v="3"/>
    <n v="7"/>
    <n v="8"/>
  </r>
  <r>
    <x v="4"/>
    <x v="1"/>
    <s v="S39000008"/>
    <x v="36"/>
    <n v="1"/>
    <m/>
    <n v="2"/>
    <n v="2"/>
    <n v="3"/>
    <n v="4"/>
    <n v="4"/>
  </r>
  <r>
    <x v="4"/>
    <x v="1"/>
    <s v="S39000009"/>
    <x v="37"/>
    <n v="1"/>
    <m/>
    <n v="6"/>
    <n v="3"/>
    <n v="3"/>
    <n v="7"/>
    <n v="11"/>
  </r>
  <r>
    <x v="4"/>
    <x v="1"/>
    <s v="S39000010"/>
    <x v="38"/>
    <n v="1"/>
    <m/>
    <n v="3"/>
    <n v="2"/>
    <n v="2"/>
    <n v="5"/>
    <n v="6"/>
  </r>
  <r>
    <x v="4"/>
    <x v="1"/>
    <s v="S39000012"/>
    <x v="30"/>
    <n v="1"/>
    <m/>
    <n v="2"/>
    <n v="1"/>
    <n v="4"/>
    <n v="8"/>
    <n v="6"/>
  </r>
  <r>
    <x v="4"/>
    <x v="1"/>
    <s v="S39000013"/>
    <x v="39"/>
    <n v="1"/>
    <m/>
    <n v="7"/>
    <n v="1"/>
    <n v="4"/>
    <n v="12"/>
    <n v="7"/>
  </r>
  <r>
    <x v="4"/>
    <x v="1"/>
    <s v="S39000014"/>
    <x v="28"/>
    <n v="1"/>
    <m/>
    <n v="2"/>
    <n v="1"/>
    <n v="2"/>
    <n v="6"/>
    <n v="5"/>
  </r>
  <r>
    <x v="4"/>
    <x v="1"/>
    <s v="S39000015"/>
    <x v="17"/>
    <n v="1"/>
    <m/>
    <n v="2"/>
    <n v="1"/>
    <n v="2"/>
    <n v="6"/>
    <n v="4"/>
  </r>
  <r>
    <x v="4"/>
    <x v="1"/>
    <s v="S39000016"/>
    <x v="40"/>
    <n v="1"/>
    <m/>
    <n v="3"/>
    <n v="1"/>
    <n v="3"/>
    <n v="5"/>
    <n v="5"/>
  </r>
  <r>
    <x v="4"/>
    <x v="1"/>
    <s v="S39000017"/>
    <x v="41"/>
    <n v="1"/>
    <m/>
    <n v="5"/>
    <m/>
    <n v="2"/>
    <n v="6"/>
    <n v="5"/>
  </r>
  <r>
    <x v="4"/>
    <x v="1"/>
    <s v="S39000018"/>
    <x v="42"/>
    <n v="1"/>
    <m/>
    <n v="3"/>
    <n v="2"/>
    <n v="4"/>
    <n v="9"/>
    <n v="9"/>
  </r>
  <r>
    <x v="4"/>
    <x v="1"/>
    <s v="S39000019"/>
    <x v="31"/>
    <m/>
    <m/>
    <n v="1"/>
    <n v="4"/>
    <n v="2"/>
    <n v="6"/>
    <n v="6"/>
  </r>
  <r>
    <x v="4"/>
    <x v="2"/>
    <s v="S40000003"/>
    <x v="43"/>
    <n v="1"/>
    <m/>
    <n v="18"/>
    <m/>
    <n v="4"/>
    <n v="13"/>
    <n v="37"/>
  </r>
  <r>
    <x v="4"/>
    <x v="2"/>
    <s v="S40000004"/>
    <x v="44"/>
    <n v="1"/>
    <m/>
    <n v="9"/>
    <m/>
    <n v="5"/>
    <n v="6"/>
    <n v="16"/>
  </r>
  <r>
    <x v="4"/>
    <x v="2"/>
    <s v="S40000005"/>
    <x v="45"/>
    <n v="1"/>
    <m/>
    <n v="11"/>
    <m/>
    <n v="6"/>
    <n v="10"/>
    <n v="18"/>
  </r>
  <r>
    <x v="4"/>
    <x v="3"/>
    <s v="S92000003"/>
    <x v="46"/>
    <n v="15"/>
    <n v="4"/>
    <m/>
    <n v="55"/>
    <n v="13"/>
    <n v="9"/>
    <n v="47"/>
  </r>
  <r>
    <x v="5"/>
    <x v="0"/>
    <s v="S12000006"/>
    <x v="1"/>
    <n v="0"/>
    <n v="0"/>
    <n v="10"/>
    <n v="38"/>
    <n v="0"/>
    <n v="0"/>
    <n v="5"/>
  </r>
  <r>
    <x v="5"/>
    <x v="0"/>
    <s v="S12000008"/>
    <x v="2"/>
    <n v="0"/>
    <n v="0"/>
    <n v="10"/>
    <n v="32"/>
    <n v="0"/>
    <n v="0"/>
    <n v="5"/>
  </r>
  <r>
    <x v="5"/>
    <x v="0"/>
    <s v="S12000011"/>
    <x v="4"/>
    <n v="0"/>
    <n v="0"/>
    <n v="10"/>
    <n v="31"/>
    <n v="0"/>
    <n v="0"/>
    <n v="11"/>
  </r>
  <r>
    <x v="5"/>
    <x v="0"/>
    <s v="S12000017"/>
    <x v="7"/>
    <n v="0"/>
    <n v="0"/>
    <n v="15"/>
    <n v="50"/>
    <n v="0"/>
    <n v="0"/>
    <n v="5"/>
  </r>
  <r>
    <x v="5"/>
    <x v="0"/>
    <s v="S12000018"/>
    <x v="8"/>
    <n v="0"/>
    <n v="0"/>
    <n v="15"/>
    <n v="47"/>
    <n v="0"/>
    <n v="0"/>
    <n v="10"/>
  </r>
  <r>
    <x v="5"/>
    <x v="0"/>
    <s v="S12000020"/>
    <x v="10"/>
    <n v="0"/>
    <n v="0"/>
    <n v="5"/>
    <n v="20"/>
    <n v="0"/>
    <n v="0"/>
    <n v="5"/>
  </r>
  <r>
    <x v="5"/>
    <x v="0"/>
    <s v="S12000021"/>
    <x v="11"/>
    <n v="0"/>
    <n v="0"/>
    <n v="15"/>
    <n v="45"/>
    <n v="0"/>
    <n v="0"/>
    <n v="16"/>
  </r>
  <r>
    <x v="5"/>
    <x v="0"/>
    <s v="S12000028"/>
    <x v="16"/>
    <n v="0"/>
    <n v="0"/>
    <n v="11"/>
    <n v="34"/>
    <n v="0"/>
    <n v="0"/>
    <n v="5"/>
  </r>
  <r>
    <x v="5"/>
    <x v="0"/>
    <s v="S12000029"/>
    <x v="17"/>
    <n v="0"/>
    <n v="0"/>
    <n v="36"/>
    <n v="111"/>
    <n v="0"/>
    <n v="0"/>
    <n v="20"/>
  </r>
  <r>
    <x v="5"/>
    <x v="0"/>
    <s v="S12000033"/>
    <x v="19"/>
    <n v="0"/>
    <n v="0"/>
    <n v="35"/>
    <n v="104"/>
    <n v="0"/>
    <n v="0"/>
    <n v="15"/>
  </r>
  <r>
    <x v="5"/>
    <x v="0"/>
    <s v="S12000034"/>
    <x v="20"/>
    <n v="0"/>
    <n v="0"/>
    <n v="5"/>
    <n v="20"/>
    <n v="0"/>
    <n v="0"/>
    <n v="5"/>
  </r>
  <r>
    <x v="5"/>
    <x v="0"/>
    <s v="S12000035"/>
    <x v="21"/>
    <n v="0"/>
    <n v="0"/>
    <n v="11"/>
    <n v="33"/>
    <n v="0"/>
    <n v="0"/>
    <n v="10"/>
  </r>
  <r>
    <x v="5"/>
    <x v="0"/>
    <s v="S12000038"/>
    <x v="23"/>
    <n v="0"/>
    <n v="0"/>
    <n v="18"/>
    <n v="65"/>
    <n v="0"/>
    <n v="0"/>
    <n v="16"/>
  </r>
  <r>
    <x v="5"/>
    <x v="0"/>
    <s v="S12000039"/>
    <x v="24"/>
    <n v="0"/>
    <n v="0"/>
    <n v="15"/>
    <n v="48"/>
    <n v="0"/>
    <n v="0"/>
    <n v="10"/>
  </r>
  <r>
    <x v="5"/>
    <x v="0"/>
    <s v="S12000041"/>
    <x v="26"/>
    <n v="0"/>
    <n v="0"/>
    <n v="5"/>
    <n v="18"/>
    <n v="0"/>
    <n v="0"/>
    <n v="5"/>
  </r>
  <r>
    <x v="5"/>
    <x v="0"/>
    <s v="S12000042"/>
    <x v="27"/>
    <n v="0"/>
    <n v="0"/>
    <n v="35"/>
    <n v="122"/>
    <n v="0"/>
    <n v="0"/>
    <n v="20"/>
  </r>
  <r>
    <x v="5"/>
    <x v="0"/>
    <s v="S12000044"/>
    <x v="28"/>
    <n v="0"/>
    <n v="0"/>
    <n v="35"/>
    <n v="111"/>
    <n v="0"/>
    <n v="0"/>
    <n v="20"/>
  </r>
  <r>
    <x v="5"/>
    <x v="0"/>
    <s v="S12000045"/>
    <x v="29"/>
    <n v="0"/>
    <n v="0"/>
    <n v="15"/>
    <n v="47"/>
    <n v="0"/>
    <n v="0"/>
    <n v="16"/>
  </r>
  <r>
    <x v="5"/>
    <x v="0"/>
    <s v="S12000046"/>
    <x v="30"/>
    <n v="0"/>
    <n v="0"/>
    <n v="110"/>
    <n v="349"/>
    <n v="0"/>
    <n v="0"/>
    <n v="56"/>
  </r>
  <r>
    <x v="5"/>
    <x v="0"/>
    <s v="S12000048"/>
    <x v="13"/>
    <n v="0"/>
    <n v="0"/>
    <n v="10"/>
    <n v="54"/>
    <n v="0"/>
    <n v="0"/>
    <n v="5"/>
  </r>
  <r>
    <x v="5"/>
    <x v="0"/>
    <s v="S40000004"/>
    <x v="22"/>
    <n v="0"/>
    <n v="0"/>
    <n v="59"/>
    <n v="203"/>
    <n v="0"/>
    <n v="0"/>
    <n v="35"/>
  </r>
  <r>
    <x v="5"/>
    <x v="0"/>
    <s v="S40000004"/>
    <x v="0"/>
    <n v="0"/>
    <n v="0"/>
    <n v="5"/>
    <n v="15"/>
    <n v="0"/>
    <n v="0"/>
    <n v="5"/>
  </r>
  <r>
    <x v="5"/>
    <x v="0"/>
    <s v="S40000004"/>
    <x v="3"/>
    <n v="0"/>
    <n v="0"/>
    <n v="5"/>
    <n v="14"/>
    <n v="0"/>
    <n v="0"/>
    <n v="5"/>
  </r>
  <r>
    <x v="5"/>
    <x v="0"/>
    <s v="S40000004"/>
    <x v="6"/>
    <n v="0"/>
    <n v="0"/>
    <n v="20"/>
    <n v="53"/>
    <n v="0"/>
    <n v="0"/>
    <n v="15"/>
  </r>
  <r>
    <x v="5"/>
    <x v="0"/>
    <s v="S40000004"/>
    <x v="31"/>
    <n v="0"/>
    <n v="0"/>
    <n v="48"/>
    <n v="199"/>
    <n v="0"/>
    <n v="0"/>
    <n v="27"/>
  </r>
  <r>
    <x v="5"/>
    <x v="0"/>
    <s v="S40000004"/>
    <x v="9"/>
    <n v="0"/>
    <n v="0"/>
    <n v="4"/>
    <n v="17"/>
    <n v="0"/>
    <n v="0"/>
    <n v="5"/>
  </r>
  <r>
    <x v="5"/>
    <x v="0"/>
    <s v="S40000004"/>
    <x v="14"/>
    <n v="0"/>
    <n v="0"/>
    <n v="10"/>
    <n v="36"/>
    <n v="0"/>
    <n v="0"/>
    <n v="10"/>
  </r>
  <r>
    <x v="5"/>
    <x v="0"/>
    <s v="S40000004"/>
    <x v="18"/>
    <n v="0"/>
    <n v="0"/>
    <n v="10"/>
    <n v="34"/>
    <n v="0"/>
    <n v="0"/>
    <n v="5"/>
  </r>
  <r>
    <x v="5"/>
    <x v="0"/>
    <s v="S40000004"/>
    <x v="25"/>
    <n v="0"/>
    <n v="0"/>
    <n v="10"/>
    <n v="36"/>
    <n v="0"/>
    <n v="0"/>
    <n v="10"/>
  </r>
  <r>
    <x v="5"/>
    <x v="1"/>
    <s v="S39000001"/>
    <x v="19"/>
    <n v="1"/>
    <n v="0"/>
    <n v="2"/>
    <n v="1"/>
    <n v="2"/>
    <n v="4"/>
    <n v="6"/>
  </r>
  <r>
    <x v="5"/>
    <x v="1"/>
    <s v="S39000002"/>
    <x v="32"/>
    <n v="1"/>
    <n v="0"/>
    <n v="6"/>
    <n v="0"/>
    <n v="2"/>
    <n v="8"/>
    <n v="8"/>
  </r>
  <r>
    <x v="5"/>
    <x v="1"/>
    <s v="S39000003"/>
    <x v="33"/>
    <n v="1"/>
    <n v="0"/>
    <n v="6"/>
    <n v="2"/>
    <n v="3"/>
    <n v="8"/>
    <n v="6"/>
  </r>
  <r>
    <x v="5"/>
    <x v="1"/>
    <s v="S39000004"/>
    <x v="1"/>
    <n v="1"/>
    <n v="0"/>
    <n v="4"/>
    <n v="2"/>
    <n v="2"/>
    <n v="6"/>
    <n v="7"/>
  </r>
  <r>
    <x v="5"/>
    <x v="1"/>
    <s v="S39000006"/>
    <x v="34"/>
    <n v="1"/>
    <n v="0"/>
    <n v="2"/>
    <n v="2"/>
    <n v="3"/>
    <n v="9"/>
    <n v="8"/>
  </r>
  <r>
    <x v="5"/>
    <x v="1"/>
    <s v="S39000007"/>
    <x v="35"/>
    <n v="1"/>
    <n v="0"/>
    <n v="2"/>
    <n v="3"/>
    <n v="3"/>
    <n v="7"/>
    <n v="9"/>
  </r>
  <r>
    <x v="5"/>
    <x v="1"/>
    <s v="S39000008"/>
    <x v="36"/>
    <n v="1"/>
    <n v="0"/>
    <n v="0"/>
    <n v="2"/>
    <n v="4"/>
    <n v="4"/>
    <n v="3"/>
  </r>
  <r>
    <x v="5"/>
    <x v="1"/>
    <s v="S39000009"/>
    <x v="37"/>
    <n v="1"/>
    <n v="0"/>
    <n v="5"/>
    <n v="3"/>
    <n v="5"/>
    <n v="4"/>
    <n v="12"/>
  </r>
  <r>
    <x v="5"/>
    <x v="1"/>
    <s v="S39000010"/>
    <x v="38"/>
    <n v="1"/>
    <n v="0"/>
    <n v="3"/>
    <n v="2"/>
    <n v="2"/>
    <n v="6"/>
    <n v="6"/>
  </r>
  <r>
    <x v="5"/>
    <x v="1"/>
    <s v="S39000012"/>
    <x v="30"/>
    <n v="1"/>
    <n v="0"/>
    <n v="2"/>
    <n v="2"/>
    <n v="4"/>
    <n v="9"/>
    <n v="7"/>
  </r>
  <r>
    <x v="5"/>
    <x v="1"/>
    <s v="S39000013"/>
    <x v="39"/>
    <n v="1"/>
    <n v="0"/>
    <n v="9"/>
    <n v="1"/>
    <n v="4"/>
    <n v="14"/>
    <n v="16"/>
  </r>
  <r>
    <x v="5"/>
    <x v="1"/>
    <s v="S39000014"/>
    <x v="28"/>
    <n v="1"/>
    <n v="0"/>
    <n v="2"/>
    <n v="1"/>
    <n v="2"/>
    <n v="5"/>
    <n v="6"/>
  </r>
  <r>
    <x v="5"/>
    <x v="1"/>
    <s v="S39000015"/>
    <x v="17"/>
    <n v="1"/>
    <n v="0"/>
    <n v="2"/>
    <n v="1"/>
    <n v="2"/>
    <n v="6"/>
    <n v="4"/>
  </r>
  <r>
    <x v="5"/>
    <x v="1"/>
    <s v="S39000016"/>
    <x v="40"/>
    <n v="1"/>
    <n v="0"/>
    <n v="3"/>
    <n v="1"/>
    <n v="2"/>
    <n v="6"/>
    <n v="5"/>
  </r>
  <r>
    <x v="5"/>
    <x v="1"/>
    <s v="S39000017"/>
    <x v="41"/>
    <n v="1"/>
    <n v="0"/>
    <n v="3"/>
    <n v="0"/>
    <n v="3"/>
    <n v="5"/>
    <n v="4"/>
  </r>
  <r>
    <x v="5"/>
    <x v="1"/>
    <s v="S39000018"/>
    <x v="42"/>
    <n v="1"/>
    <n v="0"/>
    <n v="3"/>
    <n v="2"/>
    <n v="4"/>
    <n v="8"/>
    <n v="11"/>
  </r>
  <r>
    <x v="5"/>
    <x v="1"/>
    <s v="S39000019"/>
    <x v="31"/>
    <n v="0"/>
    <n v="0"/>
    <n v="0"/>
    <n v="4"/>
    <n v="2"/>
    <n v="6"/>
    <n v="6"/>
  </r>
  <r>
    <x v="5"/>
    <x v="2"/>
    <s v="S40000003"/>
    <x v="43"/>
    <n v="1"/>
    <n v="0"/>
    <n v="26"/>
    <n v="0"/>
    <n v="5"/>
    <n v="12"/>
    <n v="35"/>
  </r>
  <r>
    <x v="5"/>
    <x v="2"/>
    <s v="S40000004"/>
    <x v="44"/>
    <n v="1"/>
    <n v="0"/>
    <n v="8"/>
    <n v="0"/>
    <n v="5"/>
    <n v="5"/>
    <n v="18"/>
  </r>
  <r>
    <x v="5"/>
    <x v="2"/>
    <s v="S40000005"/>
    <x v="45"/>
    <n v="1"/>
    <n v="0"/>
    <n v="7"/>
    <n v="0"/>
    <n v="4"/>
    <n v="7"/>
    <n v="11"/>
  </r>
  <r>
    <x v="5"/>
    <x v="3"/>
    <s v="S92000003"/>
    <x v="46"/>
    <n v="14"/>
    <n v="4"/>
    <n v="0"/>
    <n v="60"/>
    <n v="17"/>
    <n v="8"/>
    <n v="46"/>
  </r>
  <r>
    <x v="6"/>
    <x v="0"/>
    <s v="S40000003"/>
    <x v="21"/>
    <n v="0"/>
    <n v="0"/>
    <n v="10"/>
    <n v="33"/>
    <n v="0"/>
    <n v="0"/>
    <n v="10"/>
  </r>
  <r>
    <x v="6"/>
    <x v="0"/>
    <s v="S40000003"/>
    <x v="1"/>
    <n v="0"/>
    <n v="0"/>
    <n v="10"/>
    <n v="37"/>
    <n v="0"/>
    <n v="0"/>
    <n v="5"/>
  </r>
  <r>
    <x v="6"/>
    <x v="0"/>
    <s v="S40000003"/>
    <x v="2"/>
    <n v="0"/>
    <n v="0"/>
    <n v="10"/>
    <n v="34"/>
    <n v="0"/>
    <n v="0"/>
    <n v="5"/>
  </r>
  <r>
    <x v="6"/>
    <x v="0"/>
    <s v="S40000003"/>
    <x v="29"/>
    <n v="0"/>
    <n v="0"/>
    <n v="15"/>
    <n v="49"/>
    <n v="0"/>
    <n v="0"/>
    <n v="15"/>
  </r>
  <r>
    <x v="6"/>
    <x v="0"/>
    <s v="S40000003"/>
    <x v="4"/>
    <n v="0"/>
    <n v="0"/>
    <n v="10"/>
    <n v="30"/>
    <n v="0"/>
    <n v="0"/>
    <n v="10"/>
  </r>
  <r>
    <x v="6"/>
    <x v="0"/>
    <s v="S40000003"/>
    <x v="30"/>
    <n v="0"/>
    <n v="0"/>
    <n v="114"/>
    <n v="346"/>
    <n v="0"/>
    <n v="0"/>
    <n v="57"/>
  </r>
  <r>
    <x v="6"/>
    <x v="0"/>
    <s v="S40000003"/>
    <x v="8"/>
    <n v="0"/>
    <n v="0"/>
    <n v="15"/>
    <n v="45"/>
    <n v="0"/>
    <n v="0"/>
    <n v="10"/>
  </r>
  <r>
    <x v="6"/>
    <x v="0"/>
    <s v="S40000003"/>
    <x v="11"/>
    <n v="0"/>
    <n v="0"/>
    <n v="15"/>
    <n v="45"/>
    <n v="0"/>
    <n v="0"/>
    <n v="15"/>
  </r>
  <r>
    <x v="6"/>
    <x v="0"/>
    <s v="S40000003"/>
    <x v="28"/>
    <n v="0"/>
    <n v="0"/>
    <n v="37"/>
    <n v="105"/>
    <n v="0"/>
    <n v="0"/>
    <n v="21"/>
  </r>
  <r>
    <x v="6"/>
    <x v="0"/>
    <s v="S40000003"/>
    <x v="23"/>
    <n v="0"/>
    <n v="0"/>
    <n v="21"/>
    <n v="66"/>
    <n v="0"/>
    <n v="0"/>
    <n v="15"/>
  </r>
  <r>
    <x v="6"/>
    <x v="0"/>
    <s v="S40000003"/>
    <x v="16"/>
    <n v="0"/>
    <n v="0"/>
    <n v="9"/>
    <n v="36"/>
    <n v="0"/>
    <n v="0"/>
    <n v="5"/>
  </r>
  <r>
    <x v="6"/>
    <x v="0"/>
    <s v="S40000003"/>
    <x v="17"/>
    <n v="0"/>
    <n v="0"/>
    <n v="37"/>
    <n v="111"/>
    <n v="0"/>
    <n v="0"/>
    <n v="20"/>
  </r>
  <r>
    <x v="6"/>
    <x v="0"/>
    <s v="S40000003"/>
    <x v="24"/>
    <n v="0"/>
    <n v="0"/>
    <n v="15"/>
    <n v="48"/>
    <n v="0"/>
    <n v="0"/>
    <n v="10"/>
  </r>
  <r>
    <x v="6"/>
    <x v="0"/>
    <s v="S40000004"/>
    <x v="22"/>
    <n v="0"/>
    <n v="0"/>
    <n v="56"/>
    <n v="214"/>
    <n v="0"/>
    <n v="0"/>
    <n v="36"/>
  </r>
  <r>
    <x v="6"/>
    <x v="0"/>
    <s v="S40000004"/>
    <x v="0"/>
    <n v="0"/>
    <n v="0"/>
    <n v="5"/>
    <n v="15"/>
    <n v="0"/>
    <n v="0"/>
    <n v="5"/>
  </r>
  <r>
    <x v="6"/>
    <x v="0"/>
    <s v="S40000004"/>
    <x v="3"/>
    <n v="0"/>
    <n v="0"/>
    <n v="5"/>
    <n v="15"/>
    <n v="0"/>
    <n v="0"/>
    <n v="5"/>
  </r>
  <r>
    <x v="6"/>
    <x v="0"/>
    <s v="S40000004"/>
    <x v="6"/>
    <n v="0"/>
    <n v="0"/>
    <n v="19"/>
    <n v="54"/>
    <n v="0"/>
    <n v="0"/>
    <n v="15"/>
  </r>
  <r>
    <x v="6"/>
    <x v="0"/>
    <s v="S40000004"/>
    <x v="31"/>
    <n v="0"/>
    <n v="0"/>
    <n v="51"/>
    <n v="192"/>
    <n v="0"/>
    <n v="0"/>
    <n v="26"/>
  </r>
  <r>
    <x v="6"/>
    <x v="0"/>
    <s v="S40000004"/>
    <x v="9"/>
    <n v="0"/>
    <n v="0"/>
    <n v="4"/>
    <n v="17"/>
    <n v="0"/>
    <n v="0"/>
    <n v="5"/>
  </r>
  <r>
    <x v="6"/>
    <x v="0"/>
    <s v="S40000004"/>
    <x v="14"/>
    <n v="0"/>
    <n v="0"/>
    <n v="10"/>
    <n v="33"/>
    <n v="0"/>
    <n v="0"/>
    <n v="10"/>
  </r>
  <r>
    <x v="6"/>
    <x v="0"/>
    <s v="S40000004"/>
    <x v="18"/>
    <n v="0"/>
    <n v="0"/>
    <n v="10"/>
    <n v="36"/>
    <n v="0"/>
    <n v="0"/>
    <n v="5"/>
  </r>
  <r>
    <x v="6"/>
    <x v="0"/>
    <s v="S40000004"/>
    <x v="25"/>
    <n v="0"/>
    <n v="0"/>
    <n v="10"/>
    <n v="38"/>
    <n v="0"/>
    <n v="0"/>
    <n v="10"/>
  </r>
  <r>
    <x v="6"/>
    <x v="0"/>
    <s v="S40000005"/>
    <x v="19"/>
    <n v="0"/>
    <n v="0"/>
    <n v="35"/>
    <n v="105"/>
    <n v="0"/>
    <n v="0"/>
    <n v="15"/>
  </r>
  <r>
    <x v="6"/>
    <x v="0"/>
    <s v="S40000005"/>
    <x v="20"/>
    <n v="0"/>
    <n v="0"/>
    <n v="4"/>
    <n v="22"/>
    <n v="0"/>
    <n v="0"/>
    <n v="6"/>
  </r>
  <r>
    <x v="6"/>
    <x v="0"/>
    <s v="S40000005"/>
    <x v="26"/>
    <n v="0"/>
    <n v="0"/>
    <n v="5"/>
    <n v="17"/>
    <n v="0"/>
    <n v="0"/>
    <n v="5"/>
  </r>
  <r>
    <x v="6"/>
    <x v="0"/>
    <s v="S40000005"/>
    <x v="27"/>
    <n v="0"/>
    <n v="0"/>
    <n v="36"/>
    <n v="126"/>
    <n v="0"/>
    <n v="0"/>
    <n v="20"/>
  </r>
  <r>
    <x v="6"/>
    <x v="0"/>
    <s v="S40000005"/>
    <x v="7"/>
    <n v="0"/>
    <n v="0"/>
    <n v="14"/>
    <n v="52"/>
    <n v="0"/>
    <n v="0"/>
    <n v="5"/>
  </r>
  <r>
    <x v="6"/>
    <x v="0"/>
    <s v="S40000005"/>
    <x v="10"/>
    <n v="0"/>
    <n v="0"/>
    <n v="5"/>
    <n v="20"/>
    <n v="0"/>
    <n v="0"/>
    <n v="5"/>
  </r>
  <r>
    <x v="6"/>
    <x v="0"/>
    <s v="S40000005"/>
    <x v="13"/>
    <n v="0"/>
    <n v="0"/>
    <n v="10"/>
    <n v="52"/>
    <n v="0"/>
    <n v="0"/>
    <n v="5"/>
  </r>
  <r>
    <x v="6"/>
    <x v="1"/>
    <m/>
    <x v="47"/>
    <n v="1"/>
    <n v="0"/>
    <n v="6"/>
    <n v="4"/>
    <n v="4"/>
    <n v="12"/>
    <n v="11"/>
  </r>
  <r>
    <x v="6"/>
    <x v="1"/>
    <s v="S40000003"/>
    <x v="33"/>
    <n v="1"/>
    <n v="0"/>
    <n v="7"/>
    <n v="2"/>
    <n v="3"/>
    <n v="8"/>
    <n v="7"/>
  </r>
  <r>
    <x v="6"/>
    <x v="1"/>
    <s v="S40000003"/>
    <x v="1"/>
    <n v="1"/>
    <n v="0"/>
    <n v="3"/>
    <n v="2"/>
    <n v="2"/>
    <n v="6"/>
    <n v="8"/>
  </r>
  <r>
    <x v="6"/>
    <x v="1"/>
    <s v="S40000003"/>
    <x v="34"/>
    <n v="1"/>
    <n v="0"/>
    <n v="5"/>
    <n v="1"/>
    <n v="3"/>
    <n v="10"/>
    <n v="8"/>
  </r>
  <r>
    <x v="6"/>
    <x v="1"/>
    <s v="S40000003"/>
    <x v="36"/>
    <n v="1"/>
    <n v="0"/>
    <n v="0"/>
    <n v="1"/>
    <n v="4"/>
    <n v="4"/>
    <n v="3"/>
  </r>
  <r>
    <x v="6"/>
    <x v="1"/>
    <s v="S40000003"/>
    <x v="30"/>
    <n v="1"/>
    <n v="0"/>
    <n v="2"/>
    <n v="2"/>
    <n v="5"/>
    <n v="10"/>
    <n v="5"/>
  </r>
  <r>
    <x v="6"/>
    <x v="1"/>
    <s v="S40000003"/>
    <x v="28"/>
    <n v="1"/>
    <n v="0"/>
    <n v="2"/>
    <n v="1"/>
    <n v="2"/>
    <n v="5"/>
    <n v="5"/>
  </r>
  <r>
    <x v="6"/>
    <x v="1"/>
    <s v="S40000003"/>
    <x v="17"/>
    <n v="1"/>
    <n v="0"/>
    <n v="3"/>
    <n v="0"/>
    <n v="2"/>
    <n v="6"/>
    <n v="4"/>
  </r>
  <r>
    <x v="6"/>
    <x v="1"/>
    <s v="S40000004"/>
    <x v="35"/>
    <n v="1"/>
    <n v="0"/>
    <n v="5"/>
    <n v="4"/>
    <n v="3"/>
    <n v="7"/>
    <n v="9"/>
  </r>
  <r>
    <x v="6"/>
    <x v="1"/>
    <s v="S40000004"/>
    <x v="37"/>
    <n v="1"/>
    <n v="0"/>
    <n v="4"/>
    <n v="4"/>
    <n v="4"/>
    <n v="5"/>
    <n v="10"/>
  </r>
  <r>
    <x v="6"/>
    <x v="1"/>
    <s v="S40000004"/>
    <x v="38"/>
    <n v="1"/>
    <n v="0"/>
    <n v="2"/>
    <n v="2"/>
    <n v="2"/>
    <n v="6"/>
    <n v="6"/>
  </r>
  <r>
    <x v="6"/>
    <x v="1"/>
    <s v="S40000005"/>
    <x v="19"/>
    <n v="1"/>
    <n v="0"/>
    <n v="2"/>
    <n v="1"/>
    <n v="2"/>
    <n v="3"/>
    <n v="4"/>
  </r>
  <r>
    <x v="6"/>
    <x v="1"/>
    <s v="S40000005"/>
    <x v="32"/>
    <n v="1"/>
    <n v="0"/>
    <n v="4"/>
    <n v="1"/>
    <n v="3"/>
    <n v="9"/>
    <n v="7"/>
  </r>
  <r>
    <x v="6"/>
    <x v="1"/>
    <s v="S40000005"/>
    <x v="42"/>
    <n v="1"/>
    <n v="0"/>
    <n v="4"/>
    <n v="2"/>
    <n v="4"/>
    <n v="9"/>
    <n v="11"/>
  </r>
  <r>
    <x v="6"/>
    <x v="1"/>
    <s v="S40000005"/>
    <x v="39"/>
    <n v="1"/>
    <n v="0"/>
    <n v="8"/>
    <n v="1"/>
    <n v="4"/>
    <n v="13"/>
    <n v="11"/>
  </r>
  <r>
    <x v="6"/>
    <x v="1"/>
    <s v="S40000005"/>
    <x v="41"/>
    <n v="1"/>
    <n v="0"/>
    <n v="1"/>
    <n v="0"/>
    <n v="3"/>
    <n v="5"/>
    <n v="4"/>
  </r>
  <r>
    <x v="6"/>
    <x v="2"/>
    <s v="S40000003"/>
    <x v="43"/>
    <n v="3"/>
    <n v="0"/>
    <n v="21"/>
    <n v="0"/>
    <n v="10"/>
    <n v="14"/>
    <n v="55"/>
  </r>
  <r>
    <x v="6"/>
    <x v="2"/>
    <s v="S40000004"/>
    <x v="44"/>
    <n v="1"/>
    <n v="0"/>
    <n v="6"/>
    <n v="0"/>
    <n v="4"/>
    <n v="8"/>
    <n v="33"/>
  </r>
  <r>
    <x v="6"/>
    <x v="2"/>
    <s v="S40000005"/>
    <x v="45"/>
    <n v="2"/>
    <n v="0"/>
    <n v="6"/>
    <n v="0"/>
    <n v="3"/>
    <n v="7"/>
    <n v="24"/>
  </r>
  <r>
    <x v="6"/>
    <x v="3"/>
    <s v="S92000003"/>
    <x v="46"/>
    <n v="9"/>
    <n v="6"/>
    <n v="0"/>
    <n v="49"/>
    <n v="13"/>
    <n v="6"/>
    <n v="7"/>
  </r>
  <r>
    <x v="7"/>
    <x v="0"/>
    <s v="S40000003"/>
    <x v="21"/>
    <n v="0"/>
    <n v="0"/>
    <n v="10"/>
    <n v="32"/>
    <n v="0"/>
    <n v="0"/>
    <n v="10"/>
  </r>
  <r>
    <x v="7"/>
    <x v="0"/>
    <s v="S40000003"/>
    <x v="1"/>
    <n v="0"/>
    <n v="0"/>
    <n v="10"/>
    <n v="36"/>
    <n v="0"/>
    <n v="0"/>
    <n v="5"/>
  </r>
  <r>
    <x v="7"/>
    <x v="0"/>
    <s v="S40000003"/>
    <x v="2"/>
    <n v="0"/>
    <n v="0"/>
    <n v="10"/>
    <n v="32"/>
    <n v="0"/>
    <n v="0"/>
    <n v="5"/>
  </r>
  <r>
    <x v="7"/>
    <x v="0"/>
    <s v="S40000003"/>
    <x v="29"/>
    <n v="0"/>
    <n v="0"/>
    <n v="14"/>
    <n v="46"/>
    <n v="0"/>
    <n v="0"/>
    <n v="16"/>
  </r>
  <r>
    <x v="7"/>
    <x v="0"/>
    <s v="S40000003"/>
    <x v="4"/>
    <n v="0"/>
    <n v="0"/>
    <n v="10"/>
    <n v="28"/>
    <n v="0"/>
    <n v="0"/>
    <n v="10"/>
  </r>
  <r>
    <x v="7"/>
    <x v="0"/>
    <s v="S40000003"/>
    <x v="30"/>
    <n v="0"/>
    <n v="0"/>
    <n v="109"/>
    <n v="335"/>
    <n v="0"/>
    <n v="0"/>
    <n v="55"/>
  </r>
  <r>
    <x v="7"/>
    <x v="0"/>
    <s v="S40000003"/>
    <x v="8"/>
    <n v="0"/>
    <n v="0"/>
    <n v="15"/>
    <n v="45"/>
    <n v="0"/>
    <n v="0"/>
    <n v="10"/>
  </r>
  <r>
    <x v="7"/>
    <x v="0"/>
    <s v="S40000003"/>
    <x v="11"/>
    <n v="0"/>
    <n v="0"/>
    <n v="15"/>
    <n v="45"/>
    <n v="0"/>
    <n v="0"/>
    <n v="15"/>
  </r>
  <r>
    <x v="7"/>
    <x v="0"/>
    <s v="S40000003"/>
    <x v="28"/>
    <n v="0"/>
    <n v="0"/>
    <n v="35"/>
    <n v="105"/>
    <n v="0"/>
    <n v="0"/>
    <n v="20"/>
  </r>
  <r>
    <x v="7"/>
    <x v="0"/>
    <s v="S40000003"/>
    <x v="23"/>
    <n v="0"/>
    <n v="0"/>
    <n v="21"/>
    <n v="64"/>
    <n v="0"/>
    <n v="0"/>
    <n v="15"/>
  </r>
  <r>
    <x v="7"/>
    <x v="0"/>
    <s v="S40000003"/>
    <x v="16"/>
    <n v="0"/>
    <n v="0"/>
    <n v="10"/>
    <n v="36"/>
    <n v="0"/>
    <n v="0"/>
    <n v="5"/>
  </r>
  <r>
    <x v="7"/>
    <x v="0"/>
    <s v="S40000003"/>
    <x v="17"/>
    <n v="0"/>
    <n v="0"/>
    <n v="37"/>
    <n v="111"/>
    <n v="0"/>
    <n v="0"/>
    <n v="20"/>
  </r>
  <r>
    <x v="7"/>
    <x v="0"/>
    <s v="S40000003"/>
    <x v="24"/>
    <n v="0"/>
    <n v="0"/>
    <n v="17"/>
    <n v="46"/>
    <n v="0"/>
    <n v="0"/>
    <n v="10"/>
  </r>
  <r>
    <x v="7"/>
    <x v="0"/>
    <s v="S40000004"/>
    <x v="22"/>
    <n v="0"/>
    <n v="0"/>
    <n v="58"/>
    <n v="206"/>
    <n v="0"/>
    <n v="0"/>
    <n v="36"/>
  </r>
  <r>
    <x v="7"/>
    <x v="0"/>
    <s v="S40000004"/>
    <x v="0"/>
    <n v="0"/>
    <n v="0"/>
    <n v="5"/>
    <n v="13"/>
    <n v="0"/>
    <n v="0"/>
    <n v="6"/>
  </r>
  <r>
    <x v="7"/>
    <x v="0"/>
    <s v="S40000004"/>
    <x v="3"/>
    <n v="0"/>
    <n v="0"/>
    <n v="5"/>
    <n v="16"/>
    <n v="0"/>
    <n v="0"/>
    <n v="5"/>
  </r>
  <r>
    <x v="7"/>
    <x v="0"/>
    <s v="S40000004"/>
    <x v="6"/>
    <n v="0"/>
    <n v="0"/>
    <n v="20"/>
    <n v="53"/>
    <n v="0"/>
    <n v="0"/>
    <n v="15"/>
  </r>
  <r>
    <x v="7"/>
    <x v="0"/>
    <s v="S40000004"/>
    <x v="31"/>
    <n v="0"/>
    <n v="0"/>
    <n v="50"/>
    <n v="179"/>
    <n v="0"/>
    <n v="0"/>
    <n v="25"/>
  </r>
  <r>
    <x v="7"/>
    <x v="0"/>
    <s v="S40000004"/>
    <x v="9"/>
    <n v="0"/>
    <n v="0"/>
    <n v="5"/>
    <n v="17"/>
    <n v="0"/>
    <n v="0"/>
    <n v="5"/>
  </r>
  <r>
    <x v="7"/>
    <x v="0"/>
    <s v="S40000004"/>
    <x v="14"/>
    <n v="0"/>
    <n v="0"/>
    <n v="8"/>
    <n v="33"/>
    <n v="0"/>
    <n v="0"/>
    <n v="10"/>
  </r>
  <r>
    <x v="7"/>
    <x v="0"/>
    <s v="S40000004"/>
    <x v="18"/>
    <n v="0"/>
    <n v="0"/>
    <n v="10"/>
    <n v="37"/>
    <n v="0"/>
    <n v="0"/>
    <n v="5"/>
  </r>
  <r>
    <x v="7"/>
    <x v="0"/>
    <s v="S40000004"/>
    <x v="25"/>
    <n v="0"/>
    <n v="0"/>
    <n v="11"/>
    <n v="36"/>
    <n v="0"/>
    <n v="0"/>
    <n v="10"/>
  </r>
  <r>
    <x v="7"/>
    <x v="0"/>
    <s v="S40000005"/>
    <x v="19"/>
    <n v="0"/>
    <n v="0"/>
    <n v="35"/>
    <n v="99"/>
    <n v="0"/>
    <n v="0"/>
    <n v="15"/>
  </r>
  <r>
    <x v="7"/>
    <x v="0"/>
    <s v="S40000005"/>
    <x v="20"/>
    <n v="0"/>
    <n v="0"/>
    <n v="5"/>
    <n v="19"/>
    <n v="0"/>
    <n v="0"/>
    <n v="5"/>
  </r>
  <r>
    <x v="7"/>
    <x v="0"/>
    <s v="S40000005"/>
    <x v="26"/>
    <n v="0"/>
    <n v="0"/>
    <n v="5"/>
    <n v="17"/>
    <n v="0"/>
    <n v="0"/>
    <n v="5"/>
  </r>
  <r>
    <x v="7"/>
    <x v="0"/>
    <s v="S40000005"/>
    <x v="27"/>
    <n v="0"/>
    <n v="0"/>
    <n v="36"/>
    <n v="127"/>
    <n v="0"/>
    <n v="0"/>
    <n v="19"/>
  </r>
  <r>
    <x v="7"/>
    <x v="0"/>
    <s v="S40000005"/>
    <x v="7"/>
    <n v="0"/>
    <n v="0"/>
    <n v="15"/>
    <n v="54"/>
    <n v="0"/>
    <n v="0"/>
    <n v="5"/>
  </r>
  <r>
    <x v="7"/>
    <x v="0"/>
    <s v="S40000005"/>
    <x v="10"/>
    <n v="0"/>
    <n v="0"/>
    <n v="5"/>
    <n v="20"/>
    <n v="0"/>
    <n v="0"/>
    <n v="5"/>
  </r>
  <r>
    <x v="7"/>
    <x v="0"/>
    <s v="S40000005"/>
    <x v="13"/>
    <n v="0"/>
    <n v="0"/>
    <n v="10"/>
    <n v="48"/>
    <n v="0"/>
    <n v="0"/>
    <n v="5"/>
  </r>
  <r>
    <x v="7"/>
    <x v="1"/>
    <m/>
    <x v="47"/>
    <n v="1"/>
    <n v="0"/>
    <n v="6"/>
    <n v="4"/>
    <n v="4"/>
    <n v="11"/>
    <n v="11"/>
  </r>
  <r>
    <x v="7"/>
    <x v="1"/>
    <s v="S40000003"/>
    <x v="33"/>
    <n v="1"/>
    <n v="0"/>
    <n v="6"/>
    <n v="2"/>
    <n v="3"/>
    <n v="7"/>
    <n v="7"/>
  </r>
  <r>
    <x v="7"/>
    <x v="1"/>
    <s v="S40000003"/>
    <x v="1"/>
    <n v="1"/>
    <n v="0"/>
    <n v="4"/>
    <n v="2"/>
    <n v="2"/>
    <n v="6"/>
    <n v="6"/>
  </r>
  <r>
    <x v="7"/>
    <x v="1"/>
    <s v="S40000003"/>
    <x v="34"/>
    <n v="1"/>
    <n v="0"/>
    <n v="5"/>
    <n v="1"/>
    <n v="3"/>
    <n v="9"/>
    <n v="8"/>
  </r>
  <r>
    <x v="7"/>
    <x v="1"/>
    <s v="S40000003"/>
    <x v="36"/>
    <n v="1"/>
    <n v="0"/>
    <n v="2"/>
    <n v="1"/>
    <n v="4"/>
    <n v="5"/>
    <n v="4"/>
  </r>
  <r>
    <x v="7"/>
    <x v="1"/>
    <s v="S40000003"/>
    <x v="30"/>
    <n v="1"/>
    <n v="0"/>
    <n v="2"/>
    <n v="2"/>
    <n v="5"/>
    <n v="9"/>
    <n v="7"/>
  </r>
  <r>
    <x v="7"/>
    <x v="1"/>
    <s v="S40000003"/>
    <x v="28"/>
    <n v="1"/>
    <n v="0"/>
    <n v="2"/>
    <n v="0"/>
    <n v="2"/>
    <n v="5"/>
    <n v="5"/>
  </r>
  <r>
    <x v="7"/>
    <x v="1"/>
    <s v="S40000003"/>
    <x v="17"/>
    <n v="1"/>
    <n v="0"/>
    <n v="3"/>
    <n v="0"/>
    <n v="2"/>
    <n v="6"/>
    <n v="4"/>
  </r>
  <r>
    <x v="7"/>
    <x v="1"/>
    <s v="S40000004"/>
    <x v="35"/>
    <n v="1"/>
    <n v="0"/>
    <n v="3"/>
    <n v="4"/>
    <n v="3"/>
    <n v="7"/>
    <n v="10"/>
  </r>
  <r>
    <x v="7"/>
    <x v="1"/>
    <s v="S40000004"/>
    <x v="37"/>
    <n v="1"/>
    <n v="0"/>
    <n v="3"/>
    <n v="4"/>
    <n v="3"/>
    <n v="7"/>
    <n v="10"/>
  </r>
  <r>
    <x v="7"/>
    <x v="1"/>
    <s v="S40000004"/>
    <x v="38"/>
    <n v="1"/>
    <n v="0"/>
    <n v="3"/>
    <n v="2"/>
    <n v="2"/>
    <n v="5"/>
    <n v="6"/>
  </r>
  <r>
    <x v="7"/>
    <x v="1"/>
    <s v="S40000005"/>
    <x v="19"/>
    <n v="1"/>
    <n v="0"/>
    <n v="1"/>
    <n v="1"/>
    <n v="2"/>
    <n v="3"/>
    <n v="4"/>
  </r>
  <r>
    <x v="7"/>
    <x v="1"/>
    <s v="S40000005"/>
    <x v="32"/>
    <n v="1"/>
    <n v="0"/>
    <n v="4"/>
    <n v="1"/>
    <n v="3"/>
    <n v="9"/>
    <n v="8"/>
  </r>
  <r>
    <x v="7"/>
    <x v="1"/>
    <s v="S40000005"/>
    <x v="42"/>
    <n v="1"/>
    <n v="0"/>
    <n v="4"/>
    <n v="1"/>
    <n v="4"/>
    <n v="8"/>
    <n v="10"/>
  </r>
  <r>
    <x v="7"/>
    <x v="1"/>
    <s v="S40000005"/>
    <x v="39"/>
    <n v="1"/>
    <n v="0"/>
    <n v="7"/>
    <n v="1"/>
    <n v="4"/>
    <n v="12"/>
    <n v="10"/>
  </r>
  <r>
    <x v="7"/>
    <x v="1"/>
    <s v="S40000005"/>
    <x v="41"/>
    <n v="1"/>
    <n v="0"/>
    <n v="0"/>
    <n v="0"/>
    <n v="3"/>
    <n v="7"/>
    <n v="4"/>
  </r>
  <r>
    <x v="7"/>
    <x v="2"/>
    <s v="S40000003"/>
    <x v="43"/>
    <n v="3"/>
    <n v="0"/>
    <n v="17"/>
    <n v="25"/>
    <n v="5"/>
    <n v="5"/>
    <n v="36"/>
  </r>
  <r>
    <x v="7"/>
    <x v="2"/>
    <s v="S40000004"/>
    <x v="44"/>
    <n v="1"/>
    <n v="0"/>
    <n v="6"/>
    <n v="20"/>
    <n v="2"/>
    <n v="5"/>
    <n v="32"/>
  </r>
  <r>
    <x v="7"/>
    <x v="2"/>
    <s v="S40000005"/>
    <x v="45"/>
    <n v="2"/>
    <n v="0"/>
    <n v="13"/>
    <n v="13"/>
    <n v="2"/>
    <n v="6"/>
    <n v="19"/>
  </r>
  <r>
    <x v="7"/>
    <x v="3"/>
    <s v="S92000003"/>
    <x v="46"/>
    <n v="13"/>
    <n v="5"/>
    <n v="0"/>
    <n v="1"/>
    <n v="21"/>
    <n v="20"/>
    <n v="30"/>
  </r>
  <r>
    <x v="8"/>
    <x v="0"/>
    <m/>
    <x v="19"/>
    <n v="0"/>
    <n v="0"/>
    <n v="35"/>
    <n v="103"/>
    <n v="0"/>
    <n v="0"/>
    <n v="16"/>
  </r>
  <r>
    <x v="8"/>
    <x v="0"/>
    <m/>
    <x v="20"/>
    <n v="0"/>
    <n v="0"/>
    <n v="5"/>
    <n v="18"/>
    <n v="0"/>
    <n v="0"/>
    <n v="5"/>
  </r>
  <r>
    <x v="8"/>
    <x v="0"/>
    <m/>
    <x v="26"/>
    <n v="0"/>
    <n v="0"/>
    <n v="5"/>
    <n v="16"/>
    <n v="0"/>
    <n v="0"/>
    <n v="5"/>
  </r>
  <r>
    <x v="8"/>
    <x v="0"/>
    <m/>
    <x v="21"/>
    <n v="0"/>
    <n v="0"/>
    <n v="8"/>
    <n v="28"/>
    <n v="0"/>
    <n v="0"/>
    <n v="10"/>
  </r>
  <r>
    <x v="8"/>
    <x v="0"/>
    <m/>
    <x v="1"/>
    <n v="0"/>
    <n v="0"/>
    <n v="10"/>
    <n v="35"/>
    <n v="0"/>
    <n v="0"/>
    <n v="5"/>
  </r>
  <r>
    <x v="8"/>
    <x v="0"/>
    <m/>
    <x v="27"/>
    <n v="0"/>
    <n v="0"/>
    <n v="35"/>
    <n v="119"/>
    <n v="0"/>
    <n v="0"/>
    <n v="20"/>
  </r>
  <r>
    <x v="8"/>
    <x v="0"/>
    <m/>
    <x v="2"/>
    <n v="0"/>
    <n v="0"/>
    <n v="10"/>
    <n v="31"/>
    <n v="0"/>
    <n v="0"/>
    <n v="5"/>
  </r>
  <r>
    <x v="8"/>
    <x v="0"/>
    <m/>
    <x v="29"/>
    <n v="0"/>
    <n v="0"/>
    <n v="13"/>
    <n v="46"/>
    <n v="0"/>
    <n v="0"/>
    <n v="16"/>
  </r>
  <r>
    <x v="8"/>
    <x v="0"/>
    <m/>
    <x v="4"/>
    <n v="0"/>
    <n v="0"/>
    <n v="7"/>
    <n v="30"/>
    <n v="0"/>
    <n v="0"/>
    <n v="10"/>
  </r>
  <r>
    <x v="8"/>
    <x v="0"/>
    <m/>
    <x v="30"/>
    <n v="0"/>
    <n v="0"/>
    <n v="106"/>
    <n v="332"/>
    <n v="0"/>
    <n v="0"/>
    <n v="55"/>
  </r>
  <r>
    <x v="8"/>
    <x v="0"/>
    <m/>
    <x v="7"/>
    <n v="0"/>
    <n v="0"/>
    <n v="15"/>
    <n v="50"/>
    <n v="0"/>
    <n v="0"/>
    <n v="5"/>
  </r>
  <r>
    <x v="8"/>
    <x v="0"/>
    <m/>
    <x v="8"/>
    <n v="0"/>
    <n v="0"/>
    <n v="12"/>
    <n v="46"/>
    <n v="0"/>
    <n v="0"/>
    <n v="10"/>
  </r>
  <r>
    <x v="8"/>
    <x v="0"/>
    <m/>
    <x v="10"/>
    <n v="0"/>
    <n v="0"/>
    <n v="5"/>
    <n v="20"/>
    <n v="0"/>
    <n v="0"/>
    <n v="5"/>
  </r>
  <r>
    <x v="8"/>
    <x v="0"/>
    <m/>
    <x v="11"/>
    <n v="0"/>
    <n v="0"/>
    <n v="14"/>
    <n v="46"/>
    <n v="0"/>
    <n v="0"/>
    <n v="14"/>
  </r>
  <r>
    <x v="8"/>
    <x v="0"/>
    <m/>
    <x v="28"/>
    <n v="0"/>
    <n v="0"/>
    <n v="37"/>
    <n v="100"/>
    <n v="0"/>
    <n v="0"/>
    <n v="19"/>
  </r>
  <r>
    <x v="8"/>
    <x v="0"/>
    <m/>
    <x v="13"/>
    <n v="0"/>
    <n v="0"/>
    <n v="9"/>
    <n v="53"/>
    <n v="0"/>
    <n v="0"/>
    <n v="4"/>
  </r>
  <r>
    <x v="8"/>
    <x v="0"/>
    <m/>
    <x v="23"/>
    <n v="0"/>
    <n v="0"/>
    <n v="19"/>
    <n v="63"/>
    <n v="0"/>
    <n v="0"/>
    <n v="17"/>
  </r>
  <r>
    <x v="8"/>
    <x v="0"/>
    <m/>
    <x v="16"/>
    <n v="0"/>
    <n v="0"/>
    <n v="10"/>
    <n v="32"/>
    <n v="0"/>
    <n v="0"/>
    <n v="5"/>
  </r>
  <r>
    <x v="8"/>
    <x v="0"/>
    <m/>
    <x v="17"/>
    <n v="0"/>
    <n v="0"/>
    <n v="36"/>
    <n v="99"/>
    <n v="0"/>
    <n v="0"/>
    <n v="20"/>
  </r>
  <r>
    <x v="8"/>
    <x v="0"/>
    <m/>
    <x v="18"/>
    <n v="0"/>
    <n v="0"/>
    <n v="1"/>
    <n v="0"/>
    <n v="0"/>
    <n v="0"/>
    <n v="0"/>
  </r>
  <r>
    <x v="8"/>
    <x v="0"/>
    <m/>
    <x v="24"/>
    <n v="0"/>
    <n v="0"/>
    <n v="11"/>
    <n v="47"/>
    <n v="0"/>
    <n v="0"/>
    <n v="11"/>
  </r>
  <r>
    <x v="8"/>
    <x v="0"/>
    <s v="S40000004"/>
    <x v="22"/>
    <n v="0"/>
    <n v="0"/>
    <n v="58"/>
    <n v="202"/>
    <n v="0"/>
    <n v="0"/>
    <n v="35"/>
  </r>
  <r>
    <x v="8"/>
    <x v="0"/>
    <s v="S40000004"/>
    <x v="0"/>
    <n v="0"/>
    <n v="0"/>
    <n v="4"/>
    <n v="15"/>
    <n v="0"/>
    <n v="0"/>
    <n v="5"/>
  </r>
  <r>
    <x v="8"/>
    <x v="0"/>
    <s v="S40000004"/>
    <x v="3"/>
    <n v="0"/>
    <n v="0"/>
    <n v="4"/>
    <n v="14"/>
    <n v="0"/>
    <n v="0"/>
    <n v="6"/>
  </r>
  <r>
    <x v="8"/>
    <x v="0"/>
    <s v="S40000004"/>
    <x v="6"/>
    <n v="0"/>
    <n v="0"/>
    <n v="19"/>
    <n v="53"/>
    <n v="0"/>
    <n v="0"/>
    <n v="15"/>
  </r>
  <r>
    <x v="8"/>
    <x v="0"/>
    <s v="S40000004"/>
    <x v="31"/>
    <n v="0"/>
    <n v="0"/>
    <n v="50"/>
    <n v="179"/>
    <n v="0"/>
    <n v="0"/>
    <n v="25"/>
  </r>
  <r>
    <x v="8"/>
    <x v="0"/>
    <s v="S40000004"/>
    <x v="9"/>
    <n v="0"/>
    <n v="0"/>
    <n v="4"/>
    <n v="17"/>
    <n v="0"/>
    <n v="0"/>
    <n v="5"/>
  </r>
  <r>
    <x v="8"/>
    <x v="0"/>
    <s v="S40000004"/>
    <x v="14"/>
    <n v="0"/>
    <n v="0"/>
    <n v="10"/>
    <n v="33"/>
    <n v="0"/>
    <n v="0"/>
    <n v="10"/>
  </r>
  <r>
    <x v="8"/>
    <x v="0"/>
    <s v="S40000004"/>
    <x v="18"/>
    <n v="0"/>
    <n v="0"/>
    <n v="10"/>
    <n v="33"/>
    <n v="0"/>
    <n v="0"/>
    <n v="5"/>
  </r>
  <r>
    <x v="8"/>
    <x v="0"/>
    <s v="S40000004"/>
    <x v="25"/>
    <n v="0"/>
    <n v="0"/>
    <n v="10"/>
    <n v="38"/>
    <n v="0"/>
    <n v="0"/>
    <n v="10"/>
  </r>
  <r>
    <x v="8"/>
    <x v="1"/>
    <m/>
    <x v="48"/>
    <n v="1"/>
    <n v="0"/>
    <n v="5"/>
    <n v="2"/>
    <n v="4"/>
    <n v="12"/>
    <n v="12"/>
  </r>
  <r>
    <x v="8"/>
    <x v="1"/>
    <m/>
    <x v="33"/>
    <n v="1"/>
    <n v="0"/>
    <n v="6"/>
    <n v="2"/>
    <n v="4"/>
    <n v="8"/>
    <n v="7"/>
  </r>
  <r>
    <x v="8"/>
    <x v="1"/>
    <m/>
    <x v="1"/>
    <n v="1"/>
    <n v="0"/>
    <n v="4"/>
    <n v="2"/>
    <n v="2"/>
    <n v="6"/>
    <n v="7"/>
  </r>
  <r>
    <x v="8"/>
    <x v="1"/>
    <m/>
    <x v="42"/>
    <n v="1"/>
    <n v="0"/>
    <n v="5"/>
    <n v="2"/>
    <n v="4"/>
    <n v="8"/>
    <n v="11"/>
  </r>
  <r>
    <x v="8"/>
    <x v="1"/>
    <m/>
    <x v="34"/>
    <n v="1"/>
    <n v="0"/>
    <n v="3"/>
    <n v="1"/>
    <n v="3"/>
    <n v="11"/>
    <n v="8"/>
  </r>
  <r>
    <x v="8"/>
    <x v="1"/>
    <m/>
    <x v="35"/>
    <n v="1"/>
    <n v="0"/>
    <n v="6"/>
    <n v="4"/>
    <n v="3"/>
    <n v="7"/>
    <n v="8"/>
  </r>
  <r>
    <x v="8"/>
    <x v="1"/>
    <m/>
    <x v="36"/>
    <n v="1"/>
    <n v="0"/>
    <n v="3"/>
    <n v="1"/>
    <n v="3"/>
    <n v="6"/>
    <n v="5"/>
  </r>
  <r>
    <x v="8"/>
    <x v="1"/>
    <m/>
    <x v="37"/>
    <n v="1"/>
    <n v="0"/>
    <n v="3"/>
    <n v="4"/>
    <n v="3"/>
    <n v="7"/>
    <n v="9"/>
  </r>
  <r>
    <x v="8"/>
    <x v="1"/>
    <m/>
    <x v="38"/>
    <n v="1"/>
    <n v="0"/>
    <n v="3"/>
    <n v="2"/>
    <n v="2"/>
    <n v="4"/>
    <n v="6"/>
  </r>
  <r>
    <x v="8"/>
    <x v="1"/>
    <m/>
    <x v="30"/>
    <n v="1"/>
    <n v="0"/>
    <n v="1"/>
    <n v="1"/>
    <n v="4"/>
    <n v="9"/>
    <n v="7"/>
  </r>
  <r>
    <x v="8"/>
    <x v="1"/>
    <m/>
    <x v="39"/>
    <n v="1"/>
    <n v="0"/>
    <n v="6"/>
    <n v="2"/>
    <n v="4"/>
    <n v="10"/>
    <n v="10"/>
  </r>
  <r>
    <x v="8"/>
    <x v="1"/>
    <m/>
    <x v="49"/>
    <n v="1"/>
    <n v="0"/>
    <n v="4"/>
    <n v="1"/>
    <n v="3"/>
    <n v="11"/>
    <n v="10"/>
  </r>
  <r>
    <x v="8"/>
    <x v="1"/>
    <m/>
    <x v="47"/>
    <n v="1"/>
    <n v="0"/>
    <n v="7"/>
    <n v="3"/>
    <n v="4"/>
    <n v="13"/>
    <n v="10"/>
  </r>
  <r>
    <x v="8"/>
    <x v="1"/>
    <m/>
    <x v="41"/>
    <n v="1"/>
    <n v="0"/>
    <n v="0"/>
    <n v="0"/>
    <n v="4"/>
    <n v="7"/>
    <n v="5"/>
  </r>
  <r>
    <x v="8"/>
    <x v="2"/>
    <m/>
    <x v="45"/>
    <n v="2"/>
    <n v="0"/>
    <n v="10"/>
    <n v="10"/>
    <n v="2"/>
    <n v="7"/>
    <n v="17"/>
  </r>
  <r>
    <x v="8"/>
    <x v="2"/>
    <m/>
    <x v="43"/>
    <n v="2"/>
    <n v="0"/>
    <n v="16"/>
    <n v="34"/>
    <n v="5"/>
    <n v="7"/>
    <n v="43"/>
  </r>
  <r>
    <x v="8"/>
    <x v="2"/>
    <s v="S40000004"/>
    <x v="44"/>
    <n v="1"/>
    <n v="0"/>
    <n v="6"/>
    <n v="21"/>
    <n v="2"/>
    <n v="5"/>
    <n v="31"/>
  </r>
  <r>
    <x v="8"/>
    <x v="3"/>
    <s v="S92000003"/>
    <x v="46"/>
    <n v="16"/>
    <n v="5"/>
    <n v="0"/>
    <n v="0"/>
    <n v="20"/>
    <n v="19"/>
    <n v="28"/>
  </r>
  <r>
    <x v="9"/>
    <x v="0"/>
    <m/>
    <x v="19"/>
    <n v="0"/>
    <n v="0"/>
    <n v="32"/>
    <n v="103"/>
    <n v="0"/>
    <n v="0"/>
    <n v="20"/>
  </r>
  <r>
    <x v="9"/>
    <x v="0"/>
    <m/>
    <x v="20"/>
    <n v="0"/>
    <n v="0"/>
    <n v="5"/>
    <n v="18"/>
    <n v="0"/>
    <n v="0"/>
    <n v="5"/>
  </r>
  <r>
    <x v="9"/>
    <x v="0"/>
    <m/>
    <x v="26"/>
    <n v="0"/>
    <n v="0"/>
    <n v="5"/>
    <n v="14"/>
    <n v="0"/>
    <n v="0"/>
    <n v="5"/>
  </r>
  <r>
    <x v="9"/>
    <x v="0"/>
    <m/>
    <x v="21"/>
    <n v="0"/>
    <n v="0"/>
    <n v="11"/>
    <n v="29"/>
    <n v="0"/>
    <n v="0"/>
    <n v="10"/>
  </r>
  <r>
    <x v="9"/>
    <x v="0"/>
    <m/>
    <x v="1"/>
    <n v="0"/>
    <n v="0"/>
    <n v="9"/>
    <n v="37"/>
    <n v="0"/>
    <n v="0"/>
    <n v="5"/>
  </r>
  <r>
    <x v="9"/>
    <x v="0"/>
    <m/>
    <x v="27"/>
    <n v="0"/>
    <n v="0"/>
    <n v="37"/>
    <n v="112"/>
    <n v="0"/>
    <n v="0"/>
    <n v="20"/>
  </r>
  <r>
    <x v="9"/>
    <x v="0"/>
    <m/>
    <x v="2"/>
    <n v="0"/>
    <n v="0"/>
    <n v="8"/>
    <n v="34"/>
    <n v="0"/>
    <n v="0"/>
    <n v="5"/>
  </r>
  <r>
    <x v="9"/>
    <x v="0"/>
    <m/>
    <x v="29"/>
    <n v="0"/>
    <n v="0"/>
    <n v="12"/>
    <n v="44"/>
    <n v="0"/>
    <n v="0"/>
    <n v="15"/>
  </r>
  <r>
    <x v="9"/>
    <x v="0"/>
    <m/>
    <x v="4"/>
    <n v="0"/>
    <n v="0"/>
    <n v="10"/>
    <n v="27"/>
    <n v="0"/>
    <n v="0"/>
    <n v="10"/>
  </r>
  <r>
    <x v="9"/>
    <x v="0"/>
    <m/>
    <x v="30"/>
    <n v="0"/>
    <n v="0"/>
    <n v="108"/>
    <n v="317"/>
    <n v="0"/>
    <n v="0"/>
    <n v="66"/>
  </r>
  <r>
    <x v="9"/>
    <x v="0"/>
    <m/>
    <x v="7"/>
    <n v="0"/>
    <n v="0"/>
    <n v="7"/>
    <n v="0"/>
    <n v="0"/>
    <n v="0"/>
    <n v="4"/>
  </r>
  <r>
    <x v="9"/>
    <x v="0"/>
    <m/>
    <x v="7"/>
    <n v="0"/>
    <n v="0"/>
    <n v="16"/>
    <n v="51"/>
    <n v="0"/>
    <n v="0"/>
    <n v="6"/>
  </r>
  <r>
    <x v="9"/>
    <x v="0"/>
    <m/>
    <x v="8"/>
    <n v="0"/>
    <n v="0"/>
    <n v="14"/>
    <n v="43"/>
    <n v="0"/>
    <n v="0"/>
    <n v="10"/>
  </r>
  <r>
    <x v="9"/>
    <x v="0"/>
    <m/>
    <x v="10"/>
    <n v="0"/>
    <n v="0"/>
    <n v="4"/>
    <n v="20"/>
    <n v="0"/>
    <n v="0"/>
    <n v="5"/>
  </r>
  <r>
    <x v="9"/>
    <x v="0"/>
    <m/>
    <x v="5"/>
    <n v="0"/>
    <n v="0"/>
    <n v="0"/>
    <n v="0"/>
    <n v="0"/>
    <n v="0"/>
    <n v="3"/>
  </r>
  <r>
    <x v="9"/>
    <x v="0"/>
    <m/>
    <x v="11"/>
    <n v="0"/>
    <n v="0"/>
    <n v="16"/>
    <n v="44"/>
    <n v="0"/>
    <n v="0"/>
    <n v="15"/>
  </r>
  <r>
    <x v="9"/>
    <x v="0"/>
    <m/>
    <x v="28"/>
    <n v="0"/>
    <n v="0"/>
    <n v="36"/>
    <n v="102"/>
    <n v="0"/>
    <n v="0"/>
    <n v="21"/>
  </r>
  <r>
    <x v="9"/>
    <x v="0"/>
    <m/>
    <x v="12"/>
    <n v="0"/>
    <n v="0"/>
    <n v="0"/>
    <n v="0"/>
    <n v="0"/>
    <n v="0"/>
    <n v="1"/>
  </r>
  <r>
    <x v="9"/>
    <x v="0"/>
    <m/>
    <x v="13"/>
    <n v="0"/>
    <n v="0"/>
    <n v="11"/>
    <n v="53"/>
    <n v="0"/>
    <n v="0"/>
    <n v="5"/>
  </r>
  <r>
    <x v="9"/>
    <x v="0"/>
    <m/>
    <x v="23"/>
    <n v="0"/>
    <n v="0"/>
    <n v="20"/>
    <n v="60"/>
    <n v="0"/>
    <n v="0"/>
    <n v="15"/>
  </r>
  <r>
    <x v="9"/>
    <x v="0"/>
    <m/>
    <x v="15"/>
    <n v="0"/>
    <n v="0"/>
    <n v="0"/>
    <n v="0"/>
    <n v="0"/>
    <n v="0"/>
    <n v="1"/>
  </r>
  <r>
    <x v="9"/>
    <x v="0"/>
    <m/>
    <x v="16"/>
    <n v="0"/>
    <n v="0"/>
    <n v="9"/>
    <n v="34"/>
    <n v="0"/>
    <n v="0"/>
    <n v="5"/>
  </r>
  <r>
    <x v="9"/>
    <x v="0"/>
    <m/>
    <x v="17"/>
    <n v="0"/>
    <n v="0"/>
    <n v="35"/>
    <n v="109"/>
    <n v="0"/>
    <n v="0"/>
    <n v="20"/>
  </r>
  <r>
    <x v="9"/>
    <x v="0"/>
    <m/>
    <x v="24"/>
    <n v="0"/>
    <n v="0"/>
    <n v="15"/>
    <n v="43"/>
    <n v="0"/>
    <n v="0"/>
    <n v="10"/>
  </r>
  <r>
    <x v="9"/>
    <x v="0"/>
    <m/>
    <x v="25"/>
    <n v="0"/>
    <n v="0"/>
    <n v="0"/>
    <n v="0"/>
    <n v="0"/>
    <n v="0"/>
    <n v="2"/>
  </r>
  <r>
    <x v="9"/>
    <x v="0"/>
    <s v="S40000004"/>
    <x v="22"/>
    <n v="0"/>
    <n v="0"/>
    <n v="53"/>
    <n v="192"/>
    <n v="0"/>
    <n v="0"/>
    <n v="38"/>
  </r>
  <r>
    <x v="9"/>
    <x v="0"/>
    <s v="S40000004"/>
    <x v="0"/>
    <n v="0"/>
    <n v="0"/>
    <n v="6"/>
    <n v="14"/>
    <n v="0"/>
    <n v="0"/>
    <n v="5"/>
  </r>
  <r>
    <x v="9"/>
    <x v="0"/>
    <s v="S40000004"/>
    <x v="3"/>
    <n v="0"/>
    <n v="0"/>
    <n v="4"/>
    <n v="15"/>
    <n v="0"/>
    <n v="0"/>
    <n v="5"/>
  </r>
  <r>
    <x v="9"/>
    <x v="0"/>
    <s v="S40000004"/>
    <x v="6"/>
    <n v="0"/>
    <n v="0"/>
    <n v="19"/>
    <n v="50"/>
    <n v="0"/>
    <n v="0"/>
    <n v="15"/>
  </r>
  <r>
    <x v="9"/>
    <x v="0"/>
    <s v="S40000004"/>
    <x v="31"/>
    <n v="0"/>
    <n v="0"/>
    <n v="51"/>
    <n v="163"/>
    <n v="0"/>
    <n v="0"/>
    <n v="25"/>
  </r>
  <r>
    <x v="9"/>
    <x v="0"/>
    <s v="S40000004"/>
    <x v="9"/>
    <n v="0"/>
    <n v="0"/>
    <n v="4"/>
    <n v="15"/>
    <n v="0"/>
    <n v="0"/>
    <n v="6"/>
  </r>
  <r>
    <x v="9"/>
    <x v="0"/>
    <s v="S40000004"/>
    <x v="14"/>
    <n v="0"/>
    <n v="0"/>
    <n v="9"/>
    <n v="37"/>
    <n v="0"/>
    <n v="0"/>
    <n v="10"/>
  </r>
  <r>
    <x v="9"/>
    <x v="0"/>
    <s v="S40000004"/>
    <x v="18"/>
    <n v="0"/>
    <n v="0"/>
    <n v="9"/>
    <n v="32"/>
    <n v="0"/>
    <n v="0"/>
    <n v="5"/>
  </r>
  <r>
    <x v="9"/>
    <x v="0"/>
    <s v="S40000004"/>
    <x v="25"/>
    <n v="0"/>
    <n v="0"/>
    <n v="10"/>
    <n v="37"/>
    <n v="0"/>
    <n v="0"/>
    <n v="10"/>
  </r>
  <r>
    <x v="9"/>
    <x v="1"/>
    <m/>
    <x v="48"/>
    <n v="1"/>
    <n v="0"/>
    <n v="0"/>
    <n v="0"/>
    <n v="4"/>
    <n v="10"/>
    <n v="9"/>
  </r>
  <r>
    <x v="9"/>
    <x v="1"/>
    <m/>
    <x v="33"/>
    <n v="1"/>
    <n v="0"/>
    <n v="6"/>
    <n v="2"/>
    <n v="4"/>
    <n v="10"/>
    <n v="7"/>
  </r>
  <r>
    <x v="9"/>
    <x v="1"/>
    <m/>
    <x v="1"/>
    <n v="1"/>
    <n v="0"/>
    <n v="4"/>
    <n v="2"/>
    <n v="2"/>
    <n v="6"/>
    <n v="3"/>
  </r>
  <r>
    <x v="9"/>
    <x v="1"/>
    <m/>
    <x v="42"/>
    <n v="1"/>
    <n v="0"/>
    <n v="0"/>
    <n v="2"/>
    <n v="4"/>
    <n v="7"/>
    <n v="9"/>
  </r>
  <r>
    <x v="9"/>
    <x v="1"/>
    <m/>
    <x v="34"/>
    <n v="1"/>
    <n v="0"/>
    <n v="4"/>
    <n v="0"/>
    <n v="4"/>
    <n v="10"/>
    <n v="7"/>
  </r>
  <r>
    <x v="9"/>
    <x v="1"/>
    <m/>
    <x v="35"/>
    <n v="1"/>
    <n v="0"/>
    <n v="6"/>
    <n v="4"/>
    <n v="4"/>
    <n v="6"/>
    <n v="11"/>
  </r>
  <r>
    <x v="9"/>
    <x v="1"/>
    <m/>
    <x v="36"/>
    <n v="1"/>
    <n v="0"/>
    <n v="4"/>
    <n v="1"/>
    <n v="3"/>
    <n v="6"/>
    <n v="4"/>
  </r>
  <r>
    <x v="9"/>
    <x v="1"/>
    <m/>
    <x v="37"/>
    <n v="1"/>
    <n v="0"/>
    <n v="3"/>
    <n v="3"/>
    <n v="3"/>
    <n v="8"/>
    <n v="8"/>
  </r>
  <r>
    <x v="9"/>
    <x v="1"/>
    <m/>
    <x v="38"/>
    <n v="1"/>
    <n v="0"/>
    <n v="4"/>
    <n v="1"/>
    <n v="1"/>
    <n v="6"/>
    <n v="6"/>
  </r>
  <r>
    <x v="9"/>
    <x v="1"/>
    <m/>
    <x v="30"/>
    <n v="1"/>
    <n v="0"/>
    <n v="2"/>
    <n v="1"/>
    <n v="4"/>
    <n v="9"/>
    <n v="6"/>
  </r>
  <r>
    <x v="9"/>
    <x v="1"/>
    <m/>
    <x v="39"/>
    <n v="1"/>
    <n v="0"/>
    <n v="0"/>
    <n v="1"/>
    <n v="4"/>
    <n v="10"/>
    <n v="4"/>
  </r>
  <r>
    <x v="9"/>
    <x v="1"/>
    <m/>
    <x v="49"/>
    <n v="1"/>
    <n v="0"/>
    <n v="4"/>
    <n v="1"/>
    <n v="3"/>
    <n v="8"/>
    <n v="10"/>
  </r>
  <r>
    <x v="9"/>
    <x v="1"/>
    <m/>
    <x v="47"/>
    <n v="1"/>
    <n v="0"/>
    <n v="6"/>
    <n v="2"/>
    <n v="4"/>
    <n v="10"/>
    <n v="8"/>
  </r>
  <r>
    <x v="9"/>
    <x v="1"/>
    <m/>
    <x v="41"/>
    <n v="0"/>
    <n v="0"/>
    <n v="0"/>
    <n v="0"/>
    <n v="1"/>
    <n v="0"/>
    <n v="0"/>
  </r>
  <r>
    <x v="9"/>
    <x v="1"/>
    <m/>
    <x v="41"/>
    <n v="1"/>
    <n v="0"/>
    <n v="0"/>
    <n v="0"/>
    <n v="3"/>
    <n v="5"/>
    <n v="0"/>
  </r>
  <r>
    <x v="9"/>
    <x v="2"/>
    <m/>
    <x v="45"/>
    <n v="2"/>
    <n v="0"/>
    <n v="12"/>
    <n v="25"/>
    <n v="3"/>
    <n v="6"/>
    <n v="22"/>
  </r>
  <r>
    <x v="9"/>
    <x v="2"/>
    <m/>
    <x v="43"/>
    <n v="2"/>
    <n v="0"/>
    <n v="10"/>
    <n v="48"/>
    <n v="5"/>
    <n v="11"/>
    <n v="43"/>
  </r>
  <r>
    <x v="9"/>
    <x v="2"/>
    <s v="S40000004"/>
    <x v="44"/>
    <n v="1"/>
    <n v="0"/>
    <n v="4"/>
    <n v="30"/>
    <n v="3"/>
    <n v="4"/>
    <n v="25"/>
  </r>
  <r>
    <x v="9"/>
    <x v="3"/>
    <s v="S92000003"/>
    <x v="46"/>
    <n v="12"/>
    <n v="5"/>
    <n v="1"/>
    <n v="0"/>
    <n v="19"/>
    <n v="16"/>
    <n v="16"/>
  </r>
  <r>
    <x v="10"/>
    <x v="0"/>
    <m/>
    <x v="19"/>
    <n v="0"/>
    <n v="0"/>
    <n v="34"/>
    <n v="106"/>
    <n v="0"/>
    <n v="0"/>
    <n v="22"/>
  </r>
  <r>
    <x v="10"/>
    <x v="0"/>
    <m/>
    <x v="20"/>
    <n v="0"/>
    <n v="0"/>
    <n v="6"/>
    <n v="17"/>
    <n v="0"/>
    <n v="0"/>
    <n v="5"/>
  </r>
  <r>
    <x v="10"/>
    <x v="0"/>
    <m/>
    <x v="26"/>
    <n v="0"/>
    <n v="0"/>
    <n v="5"/>
    <n v="17"/>
    <n v="0"/>
    <n v="0"/>
    <n v="5"/>
  </r>
  <r>
    <x v="10"/>
    <x v="0"/>
    <m/>
    <x v="21"/>
    <n v="0"/>
    <n v="0"/>
    <n v="10"/>
    <n v="34"/>
    <n v="0"/>
    <n v="0"/>
    <n v="11"/>
  </r>
  <r>
    <x v="10"/>
    <x v="0"/>
    <m/>
    <x v="1"/>
    <n v="0"/>
    <n v="0"/>
    <n v="10"/>
    <n v="38"/>
    <n v="0"/>
    <n v="0"/>
    <n v="5"/>
  </r>
  <r>
    <x v="10"/>
    <x v="0"/>
    <m/>
    <x v="27"/>
    <n v="0"/>
    <n v="0"/>
    <n v="30"/>
    <n v="118"/>
    <n v="0"/>
    <n v="0"/>
    <n v="20"/>
  </r>
  <r>
    <x v="10"/>
    <x v="0"/>
    <m/>
    <x v="2"/>
    <n v="0"/>
    <n v="0"/>
    <n v="10"/>
    <n v="32"/>
    <n v="0"/>
    <n v="0"/>
    <n v="6"/>
  </r>
  <r>
    <x v="10"/>
    <x v="0"/>
    <m/>
    <x v="29"/>
    <n v="0"/>
    <n v="0"/>
    <n v="15"/>
    <n v="46"/>
    <n v="0"/>
    <n v="0"/>
    <n v="15"/>
  </r>
  <r>
    <x v="10"/>
    <x v="0"/>
    <m/>
    <x v="4"/>
    <n v="0"/>
    <n v="0"/>
    <n v="10"/>
    <n v="33"/>
    <n v="0"/>
    <n v="0"/>
    <n v="10"/>
  </r>
  <r>
    <x v="10"/>
    <x v="0"/>
    <m/>
    <x v="30"/>
    <n v="0"/>
    <n v="0"/>
    <n v="94"/>
    <n v="302"/>
    <n v="0"/>
    <n v="0"/>
    <n v="67"/>
  </r>
  <r>
    <x v="10"/>
    <x v="0"/>
    <m/>
    <x v="7"/>
    <n v="0"/>
    <n v="0"/>
    <n v="20"/>
    <n v="52"/>
    <n v="0"/>
    <n v="0"/>
    <n v="8"/>
  </r>
  <r>
    <x v="10"/>
    <x v="0"/>
    <m/>
    <x v="8"/>
    <n v="0"/>
    <n v="0"/>
    <n v="14"/>
    <n v="39"/>
    <n v="0"/>
    <n v="0"/>
    <n v="10"/>
  </r>
  <r>
    <x v="10"/>
    <x v="0"/>
    <m/>
    <x v="10"/>
    <n v="0"/>
    <n v="0"/>
    <n v="4"/>
    <n v="21"/>
    <n v="0"/>
    <n v="0"/>
    <n v="5"/>
  </r>
  <r>
    <x v="10"/>
    <x v="0"/>
    <m/>
    <x v="5"/>
    <n v="0"/>
    <n v="0"/>
    <n v="0"/>
    <n v="0"/>
    <n v="0"/>
    <n v="0"/>
    <n v="3"/>
  </r>
  <r>
    <x v="10"/>
    <x v="0"/>
    <m/>
    <x v="11"/>
    <n v="0"/>
    <n v="0"/>
    <n v="16"/>
    <n v="54"/>
    <n v="0"/>
    <n v="0"/>
    <n v="15"/>
  </r>
  <r>
    <x v="10"/>
    <x v="0"/>
    <m/>
    <x v="28"/>
    <n v="0"/>
    <n v="0"/>
    <n v="36"/>
    <n v="112"/>
    <n v="0"/>
    <n v="0"/>
    <n v="21"/>
  </r>
  <r>
    <x v="10"/>
    <x v="0"/>
    <m/>
    <x v="13"/>
    <n v="0"/>
    <n v="0"/>
    <n v="12"/>
    <n v="49"/>
    <n v="0"/>
    <n v="0"/>
    <n v="5"/>
  </r>
  <r>
    <x v="10"/>
    <x v="0"/>
    <m/>
    <x v="23"/>
    <n v="0"/>
    <n v="0"/>
    <n v="21"/>
    <n v="66"/>
    <n v="0"/>
    <n v="0"/>
    <n v="15"/>
  </r>
  <r>
    <x v="10"/>
    <x v="0"/>
    <m/>
    <x v="15"/>
    <n v="0"/>
    <n v="0"/>
    <n v="0"/>
    <n v="0"/>
    <n v="0"/>
    <n v="0"/>
    <n v="1"/>
  </r>
  <r>
    <x v="10"/>
    <x v="0"/>
    <m/>
    <x v="16"/>
    <n v="0"/>
    <n v="0"/>
    <n v="10"/>
    <n v="36"/>
    <n v="0"/>
    <n v="0"/>
    <n v="6"/>
  </r>
  <r>
    <x v="10"/>
    <x v="0"/>
    <m/>
    <x v="17"/>
    <n v="0"/>
    <n v="0"/>
    <n v="30"/>
    <n v="111"/>
    <n v="0"/>
    <n v="0"/>
    <n v="20"/>
  </r>
  <r>
    <x v="10"/>
    <x v="0"/>
    <m/>
    <x v="24"/>
    <n v="0"/>
    <n v="0"/>
    <n v="13"/>
    <n v="51"/>
    <n v="0"/>
    <n v="0"/>
    <n v="11"/>
  </r>
  <r>
    <x v="10"/>
    <x v="0"/>
    <s v="S40000004"/>
    <x v="22"/>
    <n v="0"/>
    <n v="0"/>
    <n v="59"/>
    <n v="199"/>
    <n v="0"/>
    <n v="0"/>
    <n v="35"/>
  </r>
  <r>
    <x v="10"/>
    <x v="0"/>
    <s v="S40000004"/>
    <x v="0"/>
    <n v="0"/>
    <n v="0"/>
    <n v="5"/>
    <n v="16"/>
    <n v="0"/>
    <n v="0"/>
    <n v="6"/>
  </r>
  <r>
    <x v="10"/>
    <x v="0"/>
    <s v="S40000004"/>
    <x v="3"/>
    <n v="0"/>
    <n v="0"/>
    <n v="5"/>
    <n v="15"/>
    <n v="0"/>
    <n v="0"/>
    <n v="5"/>
  </r>
  <r>
    <x v="10"/>
    <x v="0"/>
    <s v="S40000004"/>
    <x v="6"/>
    <n v="0"/>
    <n v="0"/>
    <n v="20"/>
    <n v="56"/>
    <n v="0"/>
    <n v="0"/>
    <n v="15"/>
  </r>
  <r>
    <x v="10"/>
    <x v="0"/>
    <s v="S40000004"/>
    <x v="31"/>
    <n v="0"/>
    <n v="0"/>
    <n v="43"/>
    <n v="146"/>
    <n v="0"/>
    <n v="0"/>
    <n v="27"/>
  </r>
  <r>
    <x v="10"/>
    <x v="0"/>
    <s v="S40000004"/>
    <x v="9"/>
    <n v="0"/>
    <n v="0"/>
    <n v="7"/>
    <n v="16"/>
    <n v="0"/>
    <n v="0"/>
    <n v="6"/>
  </r>
  <r>
    <x v="10"/>
    <x v="0"/>
    <s v="S40000004"/>
    <x v="14"/>
    <n v="0"/>
    <n v="0"/>
    <n v="9"/>
    <n v="38"/>
    <n v="0"/>
    <n v="0"/>
    <n v="10"/>
  </r>
  <r>
    <x v="10"/>
    <x v="0"/>
    <s v="S40000004"/>
    <x v="18"/>
    <n v="0"/>
    <n v="0"/>
    <n v="10"/>
    <n v="34"/>
    <n v="0"/>
    <n v="0"/>
    <n v="5"/>
  </r>
  <r>
    <x v="10"/>
    <x v="0"/>
    <s v="S40000004"/>
    <x v="25"/>
    <n v="0"/>
    <n v="0"/>
    <n v="11"/>
    <n v="39"/>
    <n v="0"/>
    <n v="0"/>
    <n v="13"/>
  </r>
  <r>
    <x v="10"/>
    <x v="1"/>
    <m/>
    <x v="48"/>
    <n v="1"/>
    <n v="0"/>
    <n v="0"/>
    <n v="0"/>
    <n v="4"/>
    <n v="11"/>
    <n v="6"/>
  </r>
  <r>
    <x v="10"/>
    <x v="1"/>
    <m/>
    <x v="33"/>
    <n v="1"/>
    <n v="0"/>
    <n v="6"/>
    <n v="2"/>
    <n v="4"/>
    <n v="9"/>
    <n v="6"/>
  </r>
  <r>
    <x v="10"/>
    <x v="1"/>
    <m/>
    <x v="1"/>
    <n v="1"/>
    <n v="0"/>
    <n v="5"/>
    <n v="2"/>
    <n v="2"/>
    <n v="5"/>
    <n v="7"/>
  </r>
  <r>
    <x v="10"/>
    <x v="1"/>
    <m/>
    <x v="42"/>
    <n v="2"/>
    <n v="0"/>
    <n v="0"/>
    <n v="0"/>
    <n v="4"/>
    <n v="8"/>
    <n v="9"/>
  </r>
  <r>
    <x v="10"/>
    <x v="1"/>
    <m/>
    <x v="34"/>
    <n v="1"/>
    <n v="0"/>
    <n v="5"/>
    <n v="0"/>
    <n v="3"/>
    <n v="9"/>
    <n v="7"/>
  </r>
  <r>
    <x v="10"/>
    <x v="1"/>
    <m/>
    <x v="35"/>
    <n v="1"/>
    <n v="0"/>
    <n v="3"/>
    <n v="4"/>
    <n v="3"/>
    <n v="6"/>
    <n v="9"/>
  </r>
  <r>
    <x v="10"/>
    <x v="1"/>
    <m/>
    <x v="36"/>
    <n v="1"/>
    <n v="0"/>
    <n v="3"/>
    <n v="1"/>
    <n v="3"/>
    <n v="6"/>
    <n v="4"/>
  </r>
  <r>
    <x v="10"/>
    <x v="1"/>
    <m/>
    <x v="37"/>
    <n v="1"/>
    <n v="0"/>
    <n v="4"/>
    <n v="3"/>
    <n v="3"/>
    <n v="7"/>
    <n v="9"/>
  </r>
  <r>
    <x v="10"/>
    <x v="1"/>
    <m/>
    <x v="38"/>
    <n v="1"/>
    <n v="0"/>
    <n v="3"/>
    <n v="1"/>
    <n v="2"/>
    <n v="6"/>
    <n v="6"/>
  </r>
  <r>
    <x v="10"/>
    <x v="1"/>
    <m/>
    <x v="30"/>
    <n v="1"/>
    <n v="0"/>
    <n v="2"/>
    <n v="1"/>
    <n v="4"/>
    <n v="8"/>
    <n v="7"/>
  </r>
  <r>
    <x v="10"/>
    <x v="1"/>
    <m/>
    <x v="39"/>
    <n v="1"/>
    <n v="0"/>
    <n v="1"/>
    <n v="1"/>
    <n v="4"/>
    <n v="12"/>
    <n v="4"/>
  </r>
  <r>
    <x v="10"/>
    <x v="1"/>
    <m/>
    <x v="49"/>
    <n v="1"/>
    <n v="0"/>
    <n v="3"/>
    <n v="1"/>
    <n v="3"/>
    <n v="10"/>
    <n v="9"/>
  </r>
  <r>
    <x v="10"/>
    <x v="1"/>
    <m/>
    <x v="47"/>
    <n v="1"/>
    <n v="0"/>
    <n v="7"/>
    <n v="2"/>
    <n v="4"/>
    <n v="9"/>
    <n v="10"/>
  </r>
  <r>
    <x v="10"/>
    <x v="1"/>
    <m/>
    <x v="41"/>
    <n v="0"/>
    <n v="0"/>
    <n v="0"/>
    <n v="0"/>
    <n v="1"/>
    <n v="0"/>
    <n v="0"/>
  </r>
  <r>
    <x v="10"/>
    <x v="1"/>
    <m/>
    <x v="41"/>
    <n v="1"/>
    <n v="0"/>
    <n v="0"/>
    <n v="0"/>
    <n v="3"/>
    <n v="6"/>
    <n v="0"/>
  </r>
  <r>
    <x v="10"/>
    <x v="2"/>
    <m/>
    <x v="45"/>
    <n v="2"/>
    <n v="0"/>
    <n v="17"/>
    <n v="0"/>
    <n v="2"/>
    <n v="8"/>
    <n v="23"/>
  </r>
  <r>
    <x v="10"/>
    <x v="2"/>
    <m/>
    <x v="43"/>
    <n v="2"/>
    <n v="0"/>
    <n v="8"/>
    <n v="1"/>
    <n v="4"/>
    <n v="7"/>
    <n v="38"/>
  </r>
  <r>
    <x v="10"/>
    <x v="2"/>
    <s v="S40000004"/>
    <x v="44"/>
    <n v="1"/>
    <n v="0"/>
    <n v="3"/>
    <n v="0"/>
    <n v="2"/>
    <n v="5"/>
    <n v="18"/>
  </r>
  <r>
    <x v="10"/>
    <x v="3"/>
    <s v="S92000003"/>
    <x v="46"/>
    <n v="11"/>
    <n v="5"/>
    <n v="1"/>
    <n v="0"/>
    <n v="16"/>
    <n v="24"/>
    <n v="27"/>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4">
  <r>
    <x v="0"/>
    <s v="1:LA"/>
    <x v="0"/>
    <s v="S12000033"/>
    <n v="2"/>
    <n v="1"/>
    <n v="5"/>
  </r>
  <r>
    <x v="0"/>
    <s v="1:LA"/>
    <x v="1"/>
    <s v="S12000034"/>
    <n v="65"/>
    <n v="29"/>
    <n v="203"/>
  </r>
  <r>
    <x v="0"/>
    <s v="1:LA"/>
    <x v="2"/>
    <s v="S12000041"/>
    <n v="19"/>
    <n v="7"/>
    <n v="73"/>
  </r>
  <r>
    <x v="0"/>
    <s v="1:LA"/>
    <x v="3"/>
    <s v="S12000035"/>
    <n v="24"/>
    <n v="17"/>
    <n v="146"/>
  </r>
  <r>
    <x v="0"/>
    <s v="1:LA"/>
    <x v="4"/>
    <s v="S12000036"/>
    <n v="2"/>
    <n v="1"/>
    <n v="9"/>
  </r>
  <r>
    <x v="0"/>
    <s v="1:LA"/>
    <x v="5"/>
    <s v="S12000005"/>
    <n v="4"/>
    <n v="2"/>
    <n v="15"/>
  </r>
  <r>
    <x v="0"/>
    <s v="1:LA"/>
    <x v="6"/>
    <s v="S12000006"/>
    <n v="34"/>
    <n v="17"/>
    <n v="147"/>
  </r>
  <r>
    <x v="0"/>
    <s v="1:LA"/>
    <x v="7"/>
    <s v="S12000042"/>
    <n v="3"/>
    <n v="1"/>
    <n v="10"/>
  </r>
  <r>
    <x v="0"/>
    <s v="1:LA"/>
    <x v="8"/>
    <s v="S12000008"/>
    <n v="10"/>
    <n v="9"/>
    <n v="58"/>
  </r>
  <r>
    <x v="0"/>
    <s v="1:LA"/>
    <x v="9"/>
    <s v="S12000045"/>
    <n v="0"/>
    <n v="0"/>
    <n v="0"/>
  </r>
  <r>
    <x v="0"/>
    <s v="1:LA"/>
    <x v="10"/>
    <s v="S12000010"/>
    <n v="9"/>
    <n v="5"/>
    <n v="38"/>
  </r>
  <r>
    <x v="0"/>
    <s v="1:LA"/>
    <x v="11"/>
    <s v="S12000011"/>
    <n v="0"/>
    <n v="0"/>
    <n v="0"/>
  </r>
  <r>
    <x v="0"/>
    <s v="1:LA"/>
    <x v="12"/>
    <s v="S12000014"/>
    <n v="10"/>
    <n v="5"/>
    <n v="50"/>
  </r>
  <r>
    <x v="0"/>
    <s v="1:LA"/>
    <x v="13"/>
    <s v="S12000047"/>
    <n v="19"/>
    <n v="11"/>
    <n v="81"/>
  </r>
  <r>
    <x v="0"/>
    <s v="1:LA"/>
    <x v="14"/>
    <s v="S12000046"/>
    <n v="1"/>
    <n v="0"/>
    <n v="1"/>
  </r>
  <r>
    <x v="0"/>
    <s v="1:LA"/>
    <x v="15"/>
    <s v="S12000017"/>
    <n v="115"/>
    <n v="55"/>
    <n v="394"/>
  </r>
  <r>
    <x v="0"/>
    <s v="1:LA"/>
    <x v="16"/>
    <s v="S12000018"/>
    <n v="4"/>
    <n v="3"/>
    <n v="35"/>
  </r>
  <r>
    <x v="0"/>
    <s v="1:LA"/>
    <x v="17"/>
    <s v="S12000019"/>
    <n v="2"/>
    <n v="1"/>
    <n v="7"/>
  </r>
  <r>
    <x v="0"/>
    <s v="1:LA"/>
    <x v="18"/>
    <s v="S12000020"/>
    <n v="22"/>
    <n v="9"/>
    <n v="73"/>
  </r>
  <r>
    <x v="0"/>
    <s v="1:LA"/>
    <x v="19"/>
    <s v="S12000013"/>
    <n v="25"/>
    <n v="13"/>
    <n v="94"/>
  </r>
  <r>
    <x v="0"/>
    <s v="1:LA"/>
    <x v="20"/>
    <s v="S12000021"/>
    <n v="15"/>
    <n v="9"/>
    <n v="70"/>
  </r>
  <r>
    <x v="0"/>
    <s v="1:LA"/>
    <x v="21"/>
    <s v="S12000044"/>
    <n v="3"/>
    <n v="3"/>
    <n v="22"/>
  </r>
  <r>
    <x v="0"/>
    <s v="1:LA"/>
    <x v="22"/>
    <s v="S12000023"/>
    <n v="22"/>
    <n v="12"/>
    <n v="79"/>
  </r>
  <r>
    <x v="0"/>
    <s v="1:LA"/>
    <x v="23"/>
    <s v="S12000024"/>
    <n v="25"/>
    <n v="10"/>
    <n v="105"/>
  </r>
  <r>
    <x v="0"/>
    <s v="1:LA"/>
    <x v="24"/>
    <s v="S12000038"/>
    <n v="2"/>
    <n v="1"/>
    <n v="11"/>
  </r>
  <r>
    <x v="0"/>
    <s v="1:LA"/>
    <x v="25"/>
    <s v="S12000026"/>
    <n v="25"/>
    <n v="13"/>
    <n v="96"/>
  </r>
  <r>
    <x v="0"/>
    <s v="1:LA"/>
    <x v="26"/>
    <s v="S12000027"/>
    <n v="29"/>
    <n v="13"/>
    <n v="92"/>
  </r>
  <r>
    <x v="0"/>
    <s v="1:LA"/>
    <x v="27"/>
    <s v="S12000028"/>
    <n v="9"/>
    <n v="5"/>
    <n v="40"/>
  </r>
  <r>
    <x v="0"/>
    <s v="1:LA"/>
    <x v="28"/>
    <s v="S12000029"/>
    <n v="8"/>
    <n v="9"/>
    <n v="67"/>
  </r>
  <r>
    <x v="0"/>
    <s v="1:LA"/>
    <x v="29"/>
    <s v="S12000030"/>
    <n v="15"/>
    <n v="9"/>
    <n v="50"/>
  </r>
  <r>
    <x v="0"/>
    <s v="1:LA"/>
    <x v="30"/>
    <s v="S12000039"/>
    <n v="1"/>
    <n v="2"/>
    <n v="15"/>
  </r>
  <r>
    <x v="0"/>
    <s v="1:LA"/>
    <x v="31"/>
    <s v="S12000040"/>
    <n v="11"/>
    <n v="6"/>
    <n v="41"/>
  </r>
  <r>
    <x v="1"/>
    <s v="1:LA"/>
    <x v="0"/>
    <s v="S12000033"/>
    <n v="2"/>
    <n v="1"/>
    <n v="5"/>
  </r>
  <r>
    <x v="1"/>
    <s v="1:LA"/>
    <x v="1"/>
    <s v="S12000034"/>
    <n v="63"/>
    <n v="27"/>
    <n v="190"/>
  </r>
  <r>
    <x v="1"/>
    <s v="1:LA"/>
    <x v="2"/>
    <s v="S12000041"/>
    <n v="20"/>
    <n v="7"/>
    <n v="68"/>
  </r>
  <r>
    <x v="1"/>
    <s v="1:LA"/>
    <x v="3"/>
    <s v="S12000035"/>
    <n v="24"/>
    <n v="15"/>
    <n v="136"/>
  </r>
  <r>
    <x v="1"/>
    <s v="1:LA"/>
    <x v="4"/>
    <s v="S12000036"/>
    <n v="2"/>
    <n v="1"/>
    <n v="10"/>
  </r>
  <r>
    <x v="1"/>
    <s v="1:LA"/>
    <x v="5"/>
    <s v="S12000005"/>
    <n v="5"/>
    <n v="2"/>
    <n v="16"/>
  </r>
  <r>
    <x v="1"/>
    <s v="1:LA"/>
    <x v="6"/>
    <s v="S12000006"/>
    <n v="36"/>
    <n v="17"/>
    <n v="153"/>
  </r>
  <r>
    <x v="1"/>
    <s v="1:LA"/>
    <x v="7"/>
    <s v="S12000042"/>
    <n v="3"/>
    <n v="1"/>
    <n v="10"/>
  </r>
  <r>
    <x v="1"/>
    <s v="1:LA"/>
    <x v="8"/>
    <s v="S12000008"/>
    <n v="9"/>
    <n v="8"/>
    <n v="63"/>
  </r>
  <r>
    <x v="1"/>
    <s v="1:LA"/>
    <x v="9"/>
    <s v="S12000045"/>
    <n v="0"/>
    <n v="0"/>
    <n v="0"/>
  </r>
  <r>
    <x v="1"/>
    <s v="1:LA"/>
    <x v="10"/>
    <s v="S12000010"/>
    <n v="12"/>
    <n v="5"/>
    <n v="43"/>
  </r>
  <r>
    <x v="1"/>
    <s v="1:LA"/>
    <x v="11"/>
    <s v="S12000011"/>
    <n v="0"/>
    <n v="0"/>
    <n v="0"/>
  </r>
  <r>
    <x v="1"/>
    <s v="1:LA"/>
    <x v="12"/>
    <s v="S12000014"/>
    <n v="9"/>
    <n v="6"/>
    <n v="53"/>
  </r>
  <r>
    <x v="1"/>
    <s v="1:LA"/>
    <x v="13"/>
    <s v="S12000047"/>
    <n v="23"/>
    <n v="10"/>
    <n v="79"/>
  </r>
  <r>
    <x v="1"/>
    <s v="1:LA"/>
    <x v="14"/>
    <s v="S12000046"/>
    <n v="0"/>
    <n v="0"/>
    <n v="0"/>
  </r>
  <r>
    <x v="1"/>
    <s v="1:LA"/>
    <x v="15"/>
    <s v="S12000017"/>
    <n v="106"/>
    <n v="54"/>
    <n v="388"/>
  </r>
  <r>
    <x v="1"/>
    <s v="1:LA"/>
    <x v="16"/>
    <s v="S12000018"/>
    <n v="4"/>
    <n v="3"/>
    <n v="33"/>
  </r>
  <r>
    <x v="1"/>
    <s v="1:LA"/>
    <x v="17"/>
    <s v="S12000019"/>
    <n v="2"/>
    <n v="1"/>
    <n v="11"/>
  </r>
  <r>
    <x v="1"/>
    <s v="1:LA"/>
    <x v="18"/>
    <s v="S12000020"/>
    <n v="26"/>
    <n v="11"/>
    <n v="84"/>
  </r>
  <r>
    <x v="1"/>
    <s v="1:LA"/>
    <x v="19"/>
    <s v="S12000013"/>
    <n v="27"/>
    <n v="16"/>
    <n v="104"/>
  </r>
  <r>
    <x v="1"/>
    <s v="1:LA"/>
    <x v="20"/>
    <s v="S12000021"/>
    <n v="17"/>
    <n v="9"/>
    <n v="64"/>
  </r>
  <r>
    <x v="1"/>
    <s v="1:LA"/>
    <x v="21"/>
    <s v="S12000044"/>
    <n v="3"/>
    <n v="3"/>
    <n v="24"/>
  </r>
  <r>
    <x v="1"/>
    <s v="1:LA"/>
    <x v="22"/>
    <s v="S12000023"/>
    <n v="26"/>
    <n v="12"/>
    <n v="71"/>
  </r>
  <r>
    <x v="1"/>
    <s v="1:LA"/>
    <x v="23"/>
    <s v="S12000024"/>
    <n v="26"/>
    <n v="13"/>
    <n v="89"/>
  </r>
  <r>
    <x v="1"/>
    <s v="1:LA"/>
    <x v="24"/>
    <s v="S12000038"/>
    <n v="2"/>
    <n v="1"/>
    <n v="11"/>
  </r>
  <r>
    <x v="1"/>
    <s v="1:LA"/>
    <x v="25"/>
    <s v="S12000026"/>
    <n v="26"/>
    <n v="14"/>
    <n v="111"/>
  </r>
  <r>
    <x v="1"/>
    <s v="1:LA"/>
    <x v="26"/>
    <s v="S12000027"/>
    <n v="29"/>
    <n v="12"/>
    <n v="86"/>
  </r>
  <r>
    <x v="1"/>
    <s v="1:LA"/>
    <x v="27"/>
    <s v="S12000028"/>
    <n v="9"/>
    <n v="5"/>
    <n v="40"/>
  </r>
  <r>
    <x v="1"/>
    <s v="1:LA"/>
    <x v="28"/>
    <s v="S12000029"/>
    <n v="8"/>
    <n v="9"/>
    <n v="65"/>
  </r>
  <r>
    <x v="1"/>
    <s v="1:LA"/>
    <x v="29"/>
    <s v="S12000030"/>
    <n v="14"/>
    <n v="9"/>
    <n v="52"/>
  </r>
  <r>
    <x v="1"/>
    <s v="1:LA"/>
    <x v="30"/>
    <s v="S12000039"/>
    <n v="1"/>
    <n v="2"/>
    <n v="18"/>
  </r>
  <r>
    <x v="1"/>
    <s v="1:LA"/>
    <x v="31"/>
    <s v="S12000040"/>
    <n v="12"/>
    <n v="6"/>
    <n v="47"/>
  </r>
  <r>
    <x v="2"/>
    <s v="1:LA"/>
    <x v="0"/>
    <s v="S12000033"/>
    <n v="8"/>
    <n v="2"/>
    <n v="13"/>
  </r>
  <r>
    <x v="2"/>
    <s v="1:LA"/>
    <x v="1"/>
    <s v="S12000034"/>
    <n v="66"/>
    <n v="25"/>
    <n v="180"/>
  </r>
  <r>
    <x v="2"/>
    <s v="1:LA"/>
    <x v="2"/>
    <s v="S12000041"/>
    <n v="16"/>
    <n v="6"/>
    <n v="76"/>
  </r>
  <r>
    <x v="2"/>
    <s v="1:LA"/>
    <x v="3"/>
    <s v="S12000035"/>
    <n v="26"/>
    <n v="12"/>
    <n v="144"/>
  </r>
  <r>
    <x v="2"/>
    <s v="1:LA"/>
    <x v="4"/>
    <s v="S12000036"/>
    <n v="2"/>
    <n v="1"/>
    <n v="9"/>
  </r>
  <r>
    <x v="2"/>
    <s v="1:LA"/>
    <x v="5"/>
    <s v="S12000005"/>
    <n v="4"/>
    <n v="2"/>
    <n v="15"/>
  </r>
  <r>
    <x v="2"/>
    <s v="1:LA"/>
    <x v="6"/>
    <s v="S12000006"/>
    <n v="34"/>
    <n v="16"/>
    <n v="140"/>
  </r>
  <r>
    <x v="2"/>
    <s v="1:LA"/>
    <x v="7"/>
    <s v="S12000042"/>
    <n v="3"/>
    <n v="1"/>
    <n v="7"/>
  </r>
  <r>
    <x v="2"/>
    <s v="1:LA"/>
    <x v="8"/>
    <s v="S12000008"/>
    <n v="11"/>
    <n v="7"/>
    <n v="65"/>
  </r>
  <r>
    <x v="2"/>
    <s v="1:LA"/>
    <x v="9"/>
    <s v="S12000045"/>
    <n v="0"/>
    <n v="0"/>
    <n v="1"/>
  </r>
  <r>
    <x v="2"/>
    <s v="1:LA"/>
    <x v="10"/>
    <s v="S12000010"/>
    <n v="11"/>
    <n v="4"/>
    <n v="40"/>
  </r>
  <r>
    <x v="2"/>
    <s v="1:LA"/>
    <x v="11"/>
    <s v="S12000011"/>
    <n v="0"/>
    <n v="0"/>
    <n v="2"/>
  </r>
  <r>
    <x v="2"/>
    <s v="1:LA"/>
    <x v="12"/>
    <s v="S12000014"/>
    <n v="9"/>
    <n v="5"/>
    <n v="39"/>
  </r>
  <r>
    <x v="2"/>
    <s v="1:LA"/>
    <x v="13"/>
    <s v="S12000047"/>
    <n v="23"/>
    <n v="9"/>
    <n v="80"/>
  </r>
  <r>
    <x v="2"/>
    <s v="1:LA"/>
    <x v="14"/>
    <s v="S12000046"/>
    <n v="0"/>
    <n v="0"/>
    <n v="6"/>
  </r>
  <r>
    <x v="2"/>
    <s v="1:LA"/>
    <x v="15"/>
    <s v="S12000017"/>
    <n v="107"/>
    <n v="53"/>
    <n v="365"/>
  </r>
  <r>
    <x v="2"/>
    <s v="1:LA"/>
    <x v="16"/>
    <s v="S12000018"/>
    <n v="6"/>
    <n v="4"/>
    <n v="31"/>
  </r>
  <r>
    <x v="2"/>
    <s v="1:LA"/>
    <x v="17"/>
    <s v="S12000019"/>
    <n v="2"/>
    <n v="1"/>
    <n v="8"/>
  </r>
  <r>
    <x v="2"/>
    <s v="1:LA"/>
    <x v="18"/>
    <s v="S12000020"/>
    <n v="26"/>
    <n v="12"/>
    <n v="72"/>
  </r>
  <r>
    <x v="2"/>
    <s v="1:LA"/>
    <x v="19"/>
    <s v="S12000013"/>
    <n v="34"/>
    <n v="12"/>
    <n v="94"/>
  </r>
  <r>
    <x v="2"/>
    <s v="1:LA"/>
    <x v="20"/>
    <s v="S12000021"/>
    <n v="12"/>
    <n v="9"/>
    <n v="87"/>
  </r>
  <r>
    <x v="2"/>
    <s v="1:LA"/>
    <x v="21"/>
    <s v="S12000044"/>
    <n v="3"/>
    <n v="3"/>
    <n v="28"/>
  </r>
  <r>
    <x v="2"/>
    <s v="1:LA"/>
    <x v="22"/>
    <s v="S12000023"/>
    <n v="19"/>
    <n v="12"/>
    <n v="67"/>
  </r>
  <r>
    <x v="2"/>
    <s v="1:LA"/>
    <x v="23"/>
    <s v="S12000024"/>
    <n v="24"/>
    <n v="9"/>
    <n v="93"/>
  </r>
  <r>
    <x v="2"/>
    <s v="1:LA"/>
    <x v="24"/>
    <s v="S12000038"/>
    <n v="1"/>
    <n v="1"/>
    <n v="11"/>
  </r>
  <r>
    <x v="2"/>
    <s v="1:LA"/>
    <x v="25"/>
    <s v="S12000026"/>
    <n v="26"/>
    <n v="13"/>
    <n v="108"/>
  </r>
  <r>
    <x v="2"/>
    <s v="1:LA"/>
    <x v="26"/>
    <s v="S12000027"/>
    <n v="25"/>
    <n v="14"/>
    <n v="87"/>
  </r>
  <r>
    <x v="2"/>
    <s v="1:LA"/>
    <x v="27"/>
    <s v="S12000028"/>
    <n v="7"/>
    <n v="5"/>
    <n v="41"/>
  </r>
  <r>
    <x v="2"/>
    <s v="1:LA"/>
    <x v="28"/>
    <s v="S12000029"/>
    <n v="9"/>
    <n v="8"/>
    <n v="54"/>
  </r>
  <r>
    <x v="2"/>
    <s v="1:LA"/>
    <x v="29"/>
    <s v="S12000030"/>
    <n v="17"/>
    <n v="9"/>
    <n v="47"/>
  </r>
  <r>
    <x v="2"/>
    <s v="1:LA"/>
    <x v="30"/>
    <s v="S12000039"/>
    <n v="2"/>
    <n v="2"/>
    <n v="15"/>
  </r>
  <r>
    <x v="2"/>
    <s v="1:LA"/>
    <x v="31"/>
    <s v="S12000040"/>
    <n v="10"/>
    <n v="5"/>
    <n v="40"/>
  </r>
  <r>
    <x v="3"/>
    <s v="1:LA"/>
    <x v="0"/>
    <s v="S12000033"/>
    <n v="2"/>
    <n v="1"/>
    <n v="5"/>
  </r>
  <r>
    <x v="3"/>
    <s v="1:LA"/>
    <x v="1"/>
    <s v="S12000034"/>
    <n v="68"/>
    <n v="26"/>
    <n v="188"/>
  </r>
  <r>
    <x v="3"/>
    <s v="1:LA"/>
    <x v="2"/>
    <s v="S12000041"/>
    <n v="17"/>
    <n v="6"/>
    <n v="71"/>
  </r>
  <r>
    <x v="3"/>
    <s v="1:LA"/>
    <x v="3"/>
    <s v="S12000035"/>
    <n v="27"/>
    <n v="14"/>
    <n v="144"/>
  </r>
  <r>
    <x v="3"/>
    <s v="1:LA"/>
    <x v="4"/>
    <s v="S12000036"/>
    <n v="1"/>
    <n v="1"/>
    <n v="10"/>
  </r>
  <r>
    <x v="3"/>
    <s v="1:LA"/>
    <x v="5"/>
    <s v="S12000005"/>
    <n v="4"/>
    <n v="2"/>
    <n v="18"/>
  </r>
  <r>
    <x v="3"/>
    <s v="1:LA"/>
    <x v="6"/>
    <s v="S12000006"/>
    <n v="37"/>
    <n v="16"/>
    <n v="149"/>
  </r>
  <r>
    <x v="3"/>
    <s v="1:LA"/>
    <x v="7"/>
    <s v="S12000042"/>
    <n v="3"/>
    <n v="1"/>
    <n v="9"/>
  </r>
  <r>
    <x v="3"/>
    <s v="1:LA"/>
    <x v="8"/>
    <s v="S12000008"/>
    <n v="11"/>
    <n v="7"/>
    <n v="63"/>
  </r>
  <r>
    <x v="3"/>
    <s v="1:LA"/>
    <x v="9"/>
    <s v="S12000045"/>
    <n v="0"/>
    <n v="0"/>
    <n v="0"/>
  </r>
  <r>
    <x v="3"/>
    <s v="1:LA"/>
    <x v="10"/>
    <s v="S12000010"/>
    <n v="12"/>
    <n v="5"/>
    <n v="38"/>
  </r>
  <r>
    <x v="3"/>
    <s v="1:LA"/>
    <x v="11"/>
    <s v="S12000011"/>
    <n v="0"/>
    <n v="0"/>
    <n v="0"/>
  </r>
  <r>
    <x v="3"/>
    <s v="1:LA"/>
    <x v="12"/>
    <s v="S12000014"/>
    <n v="10"/>
    <n v="5"/>
    <n v="41"/>
  </r>
  <r>
    <x v="3"/>
    <s v="1:LA"/>
    <x v="13"/>
    <s v="S12000047"/>
    <n v="22"/>
    <n v="9"/>
    <n v="78"/>
  </r>
  <r>
    <x v="3"/>
    <s v="1:LA"/>
    <x v="14"/>
    <s v="S12000046"/>
    <n v="0"/>
    <n v="0"/>
    <n v="0"/>
  </r>
  <r>
    <x v="3"/>
    <s v="1:LA"/>
    <x v="15"/>
    <s v="S12000017"/>
    <n v="102"/>
    <n v="52"/>
    <n v="371"/>
  </r>
  <r>
    <x v="3"/>
    <s v="1:LA"/>
    <x v="16"/>
    <s v="S12000018"/>
    <n v="6"/>
    <n v="3"/>
    <n v="30"/>
  </r>
  <r>
    <x v="3"/>
    <s v="1:LA"/>
    <x v="17"/>
    <s v="S12000019"/>
    <n v="2"/>
    <n v="1"/>
    <n v="8"/>
  </r>
  <r>
    <x v="3"/>
    <s v="1:LA"/>
    <x v="18"/>
    <s v="S12000020"/>
    <n v="26"/>
    <n v="13"/>
    <n v="86"/>
  </r>
  <r>
    <x v="3"/>
    <s v="1:LA"/>
    <x v="19"/>
    <s v="S12000013"/>
    <n v="33"/>
    <n v="12"/>
    <n v="92"/>
  </r>
  <r>
    <x v="3"/>
    <s v="1:LA"/>
    <x v="20"/>
    <s v="S12000021"/>
    <n v="12"/>
    <n v="10"/>
    <n v="84"/>
  </r>
  <r>
    <x v="3"/>
    <s v="1:LA"/>
    <x v="21"/>
    <s v="S12000044"/>
    <n v="6"/>
    <n v="3"/>
    <n v="26"/>
  </r>
  <r>
    <x v="3"/>
    <s v="1:LA"/>
    <x v="22"/>
    <s v="S12000023"/>
    <n v="21"/>
    <n v="11"/>
    <n v="63"/>
  </r>
  <r>
    <x v="3"/>
    <s v="1:LA"/>
    <x v="23"/>
    <s v="S12000024"/>
    <n v="23"/>
    <n v="9"/>
    <n v="90"/>
  </r>
  <r>
    <x v="3"/>
    <s v="1:LA"/>
    <x v="24"/>
    <s v="S12000038"/>
    <n v="2"/>
    <n v="1"/>
    <n v="10"/>
  </r>
  <r>
    <x v="3"/>
    <s v="1:LA"/>
    <x v="25"/>
    <s v="S12000026"/>
    <n v="27"/>
    <n v="13"/>
    <n v="103"/>
  </r>
  <r>
    <x v="3"/>
    <s v="1:LA"/>
    <x v="26"/>
    <s v="S12000027"/>
    <n v="27"/>
    <n v="12"/>
    <n v="83"/>
  </r>
  <r>
    <x v="3"/>
    <s v="1:LA"/>
    <x v="27"/>
    <s v="S12000028"/>
    <n v="8"/>
    <n v="5"/>
    <n v="35"/>
  </r>
  <r>
    <x v="3"/>
    <s v="1:LA"/>
    <x v="28"/>
    <s v="S12000029"/>
    <n v="9"/>
    <n v="8"/>
    <n v="57"/>
  </r>
  <r>
    <x v="3"/>
    <s v="1:LA"/>
    <x v="29"/>
    <s v="S12000030"/>
    <n v="17"/>
    <n v="8"/>
    <n v="48"/>
  </r>
  <r>
    <x v="3"/>
    <s v="1:LA"/>
    <x v="30"/>
    <s v="S12000039"/>
    <n v="2"/>
    <n v="1"/>
    <n v="14"/>
  </r>
  <r>
    <x v="3"/>
    <s v="1:LA"/>
    <x v="31"/>
    <s v="S12000040"/>
    <n v="12"/>
    <n v="5"/>
    <n v="47"/>
  </r>
  <r>
    <x v="4"/>
    <s v="1:LA"/>
    <x v="0"/>
    <s v="S12000033"/>
    <n v="1"/>
    <n v="1"/>
    <n v="6"/>
  </r>
  <r>
    <x v="4"/>
    <s v="1:LA"/>
    <x v="1"/>
    <s v="S12000034"/>
    <n v="69"/>
    <n v="24"/>
    <n v="182"/>
  </r>
  <r>
    <x v="4"/>
    <s v="1:LA"/>
    <x v="2"/>
    <s v="S12000041"/>
    <n v="16"/>
    <n v="6"/>
    <n v="71"/>
  </r>
  <r>
    <x v="4"/>
    <s v="1:LA"/>
    <x v="3"/>
    <s v="S12000035"/>
    <n v="26"/>
    <n v="14"/>
    <n v="137"/>
  </r>
  <r>
    <x v="4"/>
    <s v="1:LA"/>
    <x v="4"/>
    <s v="S12000036"/>
    <n v="1"/>
    <n v="1"/>
    <n v="9"/>
  </r>
  <r>
    <x v="4"/>
    <s v="1:LA"/>
    <x v="5"/>
    <s v="S12000005"/>
    <n v="3"/>
    <n v="2"/>
    <n v="17"/>
  </r>
  <r>
    <x v="4"/>
    <s v="1:LA"/>
    <x v="6"/>
    <s v="S12000006"/>
    <n v="34"/>
    <n v="16"/>
    <n v="139"/>
  </r>
  <r>
    <x v="4"/>
    <s v="1:LA"/>
    <x v="7"/>
    <s v="S12000042"/>
    <n v="2"/>
    <n v="1"/>
    <n v="10"/>
  </r>
  <r>
    <x v="4"/>
    <s v="1:LA"/>
    <x v="8"/>
    <s v="S12000008"/>
    <n v="9"/>
    <n v="7"/>
    <n v="66"/>
  </r>
  <r>
    <x v="4"/>
    <s v="1:LA"/>
    <x v="10"/>
    <s v="S12000010"/>
    <n v="10"/>
    <n v="5"/>
    <n v="41"/>
  </r>
  <r>
    <x v="4"/>
    <s v="1:LA"/>
    <x v="12"/>
    <s v="S12000014"/>
    <n v="11"/>
    <n v="5"/>
    <n v="38"/>
  </r>
  <r>
    <x v="4"/>
    <s v="1:LA"/>
    <x v="13"/>
    <s v="S12000047"/>
    <n v="21"/>
    <n v="9"/>
    <n v="85"/>
  </r>
  <r>
    <x v="4"/>
    <s v="1:LA"/>
    <x v="15"/>
    <s v="S12000017"/>
    <n v="106"/>
    <n v="55"/>
    <n v="377"/>
  </r>
  <r>
    <x v="4"/>
    <s v="1:LA"/>
    <x v="16"/>
    <s v="S12000018"/>
    <n v="6"/>
    <n v="3"/>
    <n v="33"/>
  </r>
  <r>
    <x v="4"/>
    <s v="1:LA"/>
    <x v="17"/>
    <s v="S12000019"/>
    <n v="2"/>
    <n v="1"/>
    <n v="9"/>
  </r>
  <r>
    <x v="4"/>
    <s v="1:LA"/>
    <x v="18"/>
    <s v="S12000020"/>
    <n v="27"/>
    <n v="12"/>
    <n v="81"/>
  </r>
  <r>
    <x v="4"/>
    <s v="1:LA"/>
    <x v="19"/>
    <s v="S12000013"/>
    <n v="25"/>
    <n v="13"/>
    <n v="93"/>
  </r>
  <r>
    <x v="4"/>
    <s v="1:LA"/>
    <x v="20"/>
    <s v="S12000021"/>
    <n v="10"/>
    <n v="10"/>
    <n v="86"/>
  </r>
  <r>
    <x v="4"/>
    <s v="1:LA"/>
    <x v="21"/>
    <s v="S12000044"/>
    <n v="6"/>
    <n v="3"/>
    <n v="28"/>
  </r>
  <r>
    <x v="4"/>
    <s v="1:LA"/>
    <x v="22"/>
    <s v="S12000023"/>
    <n v="22"/>
    <n v="9"/>
    <n v="69"/>
  </r>
  <r>
    <x v="4"/>
    <s v="1:LA"/>
    <x v="23"/>
    <s v="S12000024"/>
    <n v="23"/>
    <n v="9"/>
    <n v="94"/>
  </r>
  <r>
    <x v="4"/>
    <s v="1:LA"/>
    <x v="24"/>
    <s v="S12000038"/>
    <n v="2"/>
    <n v="1"/>
    <n v="13"/>
  </r>
  <r>
    <x v="4"/>
    <s v="1:LA"/>
    <x v="25"/>
    <s v="S12000026"/>
    <n v="27"/>
    <n v="13"/>
    <n v="103"/>
  </r>
  <r>
    <x v="4"/>
    <s v="1:LA"/>
    <x v="26"/>
    <s v="S12000027"/>
    <n v="24"/>
    <n v="12"/>
    <n v="82"/>
  </r>
  <r>
    <x v="4"/>
    <s v="1:LA"/>
    <x v="27"/>
    <s v="S12000028"/>
    <n v="6"/>
    <n v="5"/>
    <n v="38"/>
  </r>
  <r>
    <x v="4"/>
    <s v="1:LA"/>
    <x v="28"/>
    <s v="S12000029"/>
    <n v="8"/>
    <n v="9"/>
    <n v="56"/>
  </r>
  <r>
    <x v="4"/>
    <s v="1:LA"/>
    <x v="29"/>
    <s v="S12000030"/>
    <n v="15"/>
    <n v="8"/>
    <n v="51"/>
  </r>
  <r>
    <x v="4"/>
    <s v="1:LA"/>
    <x v="30"/>
    <s v="S12000039"/>
    <n v="2"/>
    <n v="2"/>
    <n v="14"/>
  </r>
  <r>
    <x v="4"/>
    <s v="1:LA"/>
    <x v="31"/>
    <s v="S12000040"/>
    <n v="11"/>
    <n v="5"/>
    <n v="49"/>
  </r>
  <r>
    <x v="5"/>
    <s v="1:LA"/>
    <x v="0"/>
    <s v="S12000033"/>
    <n v="1"/>
    <n v="3"/>
    <n v="5"/>
  </r>
  <r>
    <x v="5"/>
    <s v="1:LA"/>
    <x v="1"/>
    <s v="S12000034"/>
    <n v="24"/>
    <n v="69"/>
    <n v="191"/>
  </r>
  <r>
    <x v="5"/>
    <s v="1:LA"/>
    <x v="2"/>
    <s v="S12000041"/>
    <n v="6"/>
    <n v="14"/>
    <n v="78"/>
  </r>
  <r>
    <x v="5"/>
    <s v="1:LA"/>
    <x v="3"/>
    <s v="S12000035"/>
    <n v="14"/>
    <n v="25"/>
    <n v="137"/>
  </r>
  <r>
    <x v="5"/>
    <s v="1:LA"/>
    <x v="4"/>
    <s v="S12000036"/>
    <n v="0"/>
    <n v="2"/>
    <n v="7"/>
  </r>
  <r>
    <x v="5"/>
    <s v="1:LA"/>
    <x v="5"/>
    <s v="S12000005"/>
    <n v="2"/>
    <n v="4"/>
    <n v="14"/>
  </r>
  <r>
    <x v="5"/>
    <s v="1:LA"/>
    <x v="6"/>
    <s v="S12000006"/>
    <n v="17"/>
    <n v="34"/>
    <n v="147"/>
  </r>
  <r>
    <x v="5"/>
    <s v="1:LA"/>
    <x v="7"/>
    <s v="S12000042"/>
    <n v="1"/>
    <n v="2"/>
    <n v="9"/>
  </r>
  <r>
    <x v="5"/>
    <s v="1:LA"/>
    <x v="8"/>
    <s v="S12000008"/>
    <n v="5"/>
    <n v="10"/>
    <n v="62"/>
  </r>
  <r>
    <x v="5"/>
    <s v="1:LA"/>
    <x v="10"/>
    <s v="S12000010"/>
    <n v="5"/>
    <n v="12"/>
    <n v="45"/>
  </r>
  <r>
    <x v="5"/>
    <s v="1:LA"/>
    <x v="12"/>
    <s v="S12000014"/>
    <n v="5"/>
    <n v="10"/>
    <n v="40"/>
  </r>
  <r>
    <x v="5"/>
    <s v="1:LA"/>
    <x v="13"/>
    <s v="S12000047"/>
    <n v="9"/>
    <n v="21"/>
    <n v="86"/>
  </r>
  <r>
    <x v="5"/>
    <s v="1:LA"/>
    <x v="15"/>
    <s v="S12000017"/>
    <n v="56"/>
    <n v="103"/>
    <n v="393"/>
  </r>
  <r>
    <x v="5"/>
    <s v="1:LA"/>
    <x v="16"/>
    <s v="S12000018"/>
    <n v="3"/>
    <n v="6"/>
    <n v="35"/>
  </r>
  <r>
    <x v="5"/>
    <s v="1:LA"/>
    <x v="17"/>
    <s v="S12000019"/>
    <n v="1"/>
    <n v="3"/>
    <n v="9"/>
  </r>
  <r>
    <x v="5"/>
    <s v="1:LA"/>
    <x v="18"/>
    <s v="S12000020"/>
    <n v="11"/>
    <n v="28"/>
    <n v="81"/>
  </r>
  <r>
    <x v="5"/>
    <s v="1:LA"/>
    <x v="19"/>
    <s v="S12000013"/>
    <n v="13"/>
    <n v="25"/>
    <n v="94"/>
  </r>
  <r>
    <x v="5"/>
    <s v="1:LA"/>
    <x v="20"/>
    <s v="S12000021"/>
    <n v="11"/>
    <n v="11"/>
    <n v="85"/>
  </r>
  <r>
    <x v="5"/>
    <s v="1:LA"/>
    <x v="21"/>
    <s v="S12000044"/>
    <n v="3"/>
    <n v="6"/>
    <n v="26"/>
  </r>
  <r>
    <x v="5"/>
    <s v="1:LA"/>
    <x v="22"/>
    <s v="S12000023"/>
    <n v="9"/>
    <n v="23"/>
    <n v="77"/>
  </r>
  <r>
    <x v="5"/>
    <s v="1:LA"/>
    <x v="23"/>
    <s v="S12000048"/>
    <n v="10"/>
    <n v="23"/>
    <n v="98"/>
  </r>
  <r>
    <x v="5"/>
    <s v="1:LA"/>
    <x v="24"/>
    <s v="S12000038"/>
    <n v="1"/>
    <n v="2"/>
    <n v="14"/>
  </r>
  <r>
    <x v="5"/>
    <s v="1:LA"/>
    <x v="25"/>
    <s v="S12000026"/>
    <n v="13"/>
    <n v="28"/>
    <n v="102"/>
  </r>
  <r>
    <x v="5"/>
    <s v="1:LA"/>
    <x v="26"/>
    <s v="S12000027"/>
    <n v="13"/>
    <n v="25"/>
    <n v="89"/>
  </r>
  <r>
    <x v="5"/>
    <s v="1:LA"/>
    <x v="27"/>
    <s v="S12000028"/>
    <n v="5"/>
    <n v="7"/>
    <n v="46"/>
  </r>
  <r>
    <x v="5"/>
    <s v="1:LA"/>
    <x v="28"/>
    <s v="S12000029"/>
    <n v="8"/>
    <n v="8"/>
    <n v="61"/>
  </r>
  <r>
    <x v="5"/>
    <s v="1:LA"/>
    <x v="29"/>
    <s v="S12000030"/>
    <n v="8"/>
    <n v="16"/>
    <n v="51"/>
  </r>
  <r>
    <x v="5"/>
    <s v="1:LA"/>
    <x v="30"/>
    <s v="S12000039"/>
    <n v="2"/>
    <n v="2"/>
    <n v="16"/>
  </r>
  <r>
    <x v="5"/>
    <s v="1:LA"/>
    <x v="31"/>
    <s v="S12000040"/>
    <n v="5"/>
    <n v="11"/>
    <n v="43"/>
  </r>
  <r>
    <x v="6"/>
    <s v="1:LA"/>
    <x v="0"/>
    <s v="S40000005"/>
    <n v="1"/>
    <n v="3"/>
    <n v="4"/>
  </r>
  <r>
    <x v="6"/>
    <s v="1:LA"/>
    <x v="1"/>
    <s v="S40000005"/>
    <n v="25"/>
    <n v="65"/>
    <n v="195"/>
  </r>
  <r>
    <x v="6"/>
    <s v="1:LA"/>
    <x v="2"/>
    <s v="S40000005"/>
    <n v="6"/>
    <n v="16"/>
    <n v="81"/>
  </r>
  <r>
    <x v="6"/>
    <s v="1:LA"/>
    <x v="3"/>
    <s v="S40000003"/>
    <n v="13"/>
    <n v="25"/>
    <n v="136"/>
  </r>
  <r>
    <x v="6"/>
    <s v="1:LA"/>
    <x v="4"/>
    <s v="S40000004"/>
    <n v="1"/>
    <n v="2"/>
    <n v="5"/>
  </r>
  <r>
    <x v="6"/>
    <s v="1:LA"/>
    <x v="5"/>
    <s v="S40000004"/>
    <n v="3"/>
    <n v="5"/>
    <n v="17"/>
  </r>
  <r>
    <x v="6"/>
    <s v="1:LA"/>
    <x v="6"/>
    <s v="S40000003"/>
    <n v="16"/>
    <n v="34"/>
    <n v="142"/>
  </r>
  <r>
    <x v="6"/>
    <s v="1:LA"/>
    <x v="7"/>
    <s v="S40000005"/>
    <n v="1"/>
    <n v="2"/>
    <n v="9"/>
  </r>
  <r>
    <x v="6"/>
    <s v="1:LA"/>
    <x v="8"/>
    <s v="S40000003"/>
    <n v="7"/>
    <n v="8"/>
    <n v="65"/>
  </r>
  <r>
    <x v="6"/>
    <s v="1:LA"/>
    <x v="10"/>
    <s v="S40000004"/>
    <n v="5"/>
    <n v="12"/>
    <n v="48"/>
  </r>
  <r>
    <x v="6"/>
    <s v="1:LA"/>
    <x v="12"/>
    <s v="S40000004"/>
    <n v="4"/>
    <n v="10"/>
    <n v="43"/>
  </r>
  <r>
    <x v="6"/>
    <s v="1:LA"/>
    <x v="13"/>
    <s v="S40000004"/>
    <n v="9"/>
    <n v="21"/>
    <n v="83"/>
  </r>
  <r>
    <x v="6"/>
    <s v="1:LA"/>
    <x v="15"/>
    <s v="S40000005"/>
    <n v="53"/>
    <n v="94"/>
    <n v="378"/>
  </r>
  <r>
    <x v="6"/>
    <s v="1:LA"/>
    <x v="16"/>
    <s v="S40000003"/>
    <n v="3"/>
    <n v="6"/>
    <n v="33"/>
  </r>
  <r>
    <x v="6"/>
    <s v="1:LA"/>
    <x v="17"/>
    <s v="S40000004"/>
    <n v="1"/>
    <n v="2"/>
    <n v="10"/>
  </r>
  <r>
    <x v="6"/>
    <s v="1:LA"/>
    <x v="18"/>
    <s v="S40000005"/>
    <n v="11"/>
    <n v="27"/>
    <n v="83"/>
  </r>
  <r>
    <x v="6"/>
    <s v="1:LA"/>
    <x v="19"/>
    <s v="S40000005"/>
    <n v="14"/>
    <n v="30"/>
    <n v="91"/>
  </r>
  <r>
    <x v="6"/>
    <s v="1:LA"/>
    <x v="20"/>
    <s v="S40000003"/>
    <n v="11"/>
    <n v="11"/>
    <n v="82"/>
  </r>
  <r>
    <x v="6"/>
    <s v="1:LA"/>
    <x v="21"/>
    <s v="S40000003"/>
    <n v="3"/>
    <n v="5"/>
    <n v="29"/>
  </r>
  <r>
    <x v="6"/>
    <s v="1:LA"/>
    <x v="22"/>
    <s v="S40000005"/>
    <n v="9"/>
    <n v="22"/>
    <n v="78"/>
  </r>
  <r>
    <x v="6"/>
    <s v="1:LA"/>
    <x v="23"/>
    <s v="S40000005"/>
    <n v="10"/>
    <n v="22"/>
    <n v="99"/>
  </r>
  <r>
    <x v="6"/>
    <s v="1:LA"/>
    <x v="24"/>
    <s v="S40000003"/>
    <n v="1"/>
    <n v="2"/>
    <n v="12"/>
  </r>
  <r>
    <x v="6"/>
    <s v="1:LA"/>
    <x v="25"/>
    <s v="S40000004"/>
    <n v="13"/>
    <n v="28"/>
    <n v="107"/>
  </r>
  <r>
    <x v="6"/>
    <s v="1:LA"/>
    <x v="26"/>
    <s v="S40000005"/>
    <n v="12"/>
    <n v="24"/>
    <n v="98"/>
  </r>
  <r>
    <x v="6"/>
    <s v="1:LA"/>
    <x v="27"/>
    <s v="S40000003"/>
    <n v="5"/>
    <n v="8"/>
    <n v="42"/>
  </r>
  <r>
    <x v="6"/>
    <s v="1:LA"/>
    <x v="28"/>
    <s v="S40000003"/>
    <n v="8"/>
    <n v="8"/>
    <n v="70"/>
  </r>
  <r>
    <x v="6"/>
    <s v="1:LA"/>
    <x v="29"/>
    <s v="S40000004"/>
    <n v="9"/>
    <n v="15"/>
    <n v="51"/>
  </r>
  <r>
    <x v="6"/>
    <s v="1:LA"/>
    <x v="30"/>
    <s v="S40000003"/>
    <n v="2"/>
    <n v="2"/>
    <n v="16"/>
  </r>
  <r>
    <x v="6"/>
    <s v="1:LA"/>
    <x v="31"/>
    <s v="S40000004"/>
    <n v="6"/>
    <n v="11"/>
    <n v="48"/>
  </r>
  <r>
    <x v="7"/>
    <s v="1:LA"/>
    <x v="0"/>
    <s v="S40000005"/>
    <n v="1"/>
    <n v="3"/>
    <n v="6"/>
  </r>
  <r>
    <x v="7"/>
    <s v="1:LA"/>
    <x v="1"/>
    <s v="S40000005"/>
    <n v="26"/>
    <n v="68"/>
    <n v="192"/>
  </r>
  <r>
    <x v="7"/>
    <s v="1:LA"/>
    <x v="2"/>
    <s v="S40000005"/>
    <n v="7"/>
    <n v="17"/>
    <n v="80"/>
  </r>
  <r>
    <x v="7"/>
    <s v="1:LA"/>
    <x v="3"/>
    <s v="S40000003"/>
    <n v="14"/>
    <n v="26"/>
    <n v="128"/>
  </r>
  <r>
    <x v="7"/>
    <s v="1:LA"/>
    <x v="4"/>
    <s v="S40000004"/>
    <n v="1"/>
    <n v="1"/>
    <n v="6"/>
  </r>
  <r>
    <x v="7"/>
    <s v="1:LA"/>
    <x v="5"/>
    <s v="S40000002"/>
    <n v="2"/>
    <n v="4"/>
    <n v="21"/>
  </r>
  <r>
    <x v="7"/>
    <s v="1:LA"/>
    <x v="6"/>
    <s v="S40000003"/>
    <n v="16"/>
    <n v="35"/>
    <n v="135"/>
  </r>
  <r>
    <x v="7"/>
    <s v="1:LA"/>
    <x v="7"/>
    <s v="S40000005"/>
    <n v="1"/>
    <n v="2"/>
    <n v="8"/>
  </r>
  <r>
    <x v="7"/>
    <s v="1:LA"/>
    <x v="8"/>
    <s v="S40000003"/>
    <n v="7"/>
    <n v="8"/>
    <n v="63"/>
  </r>
  <r>
    <x v="7"/>
    <s v="1:LA"/>
    <x v="10"/>
    <s v="S40000004"/>
    <n v="5"/>
    <n v="12"/>
    <n v="47"/>
  </r>
  <r>
    <x v="7"/>
    <s v="1:LA"/>
    <x v="12"/>
    <s v="S40000004"/>
    <n v="5"/>
    <n v="9"/>
    <n v="42"/>
  </r>
  <r>
    <x v="7"/>
    <s v="1:LA"/>
    <x v="13"/>
    <s v="S40000002"/>
    <n v="8"/>
    <n v="23"/>
    <n v="78"/>
  </r>
  <r>
    <x v="7"/>
    <s v="1:LA"/>
    <x v="15"/>
    <s v="S40000005"/>
    <n v="52"/>
    <n v="97"/>
    <n v="351"/>
  </r>
  <r>
    <x v="7"/>
    <s v="1:LA"/>
    <x v="16"/>
    <s v="S40000003"/>
    <n v="3"/>
    <n v="6"/>
    <n v="35"/>
  </r>
  <r>
    <x v="7"/>
    <s v="1:LA"/>
    <x v="17"/>
    <s v="S40000004"/>
    <n v="1"/>
    <n v="2"/>
    <n v="8"/>
  </r>
  <r>
    <x v="7"/>
    <s v="1:LA"/>
    <x v="18"/>
    <s v="S40000005"/>
    <n v="11"/>
    <n v="27"/>
    <n v="76"/>
  </r>
  <r>
    <x v="7"/>
    <s v="1:LA"/>
    <x v="19"/>
    <s v="S40000005"/>
    <n v="15"/>
    <n v="27"/>
    <n v="89"/>
  </r>
  <r>
    <x v="7"/>
    <s v="1:LA"/>
    <x v="20"/>
    <s v="S40000003"/>
    <n v="11"/>
    <n v="11"/>
    <n v="78"/>
  </r>
  <r>
    <x v="7"/>
    <s v="1:LA"/>
    <x v="21"/>
    <s v="S40000003"/>
    <n v="3"/>
    <n v="6"/>
    <n v="29"/>
  </r>
  <r>
    <x v="7"/>
    <s v="1:LA"/>
    <x v="22"/>
    <s v="S40000005"/>
    <n v="8"/>
    <n v="21"/>
    <n v="83"/>
  </r>
  <r>
    <x v="7"/>
    <s v="1:LA"/>
    <x v="23"/>
    <s v="S40000005"/>
    <n v="10"/>
    <n v="21"/>
    <n v="99"/>
  </r>
  <r>
    <x v="7"/>
    <s v="1:LA"/>
    <x v="24"/>
    <s v="S40000003"/>
    <n v="2"/>
    <n v="1"/>
    <n v="10"/>
  </r>
  <r>
    <x v="7"/>
    <s v="1:LA"/>
    <x v="25"/>
    <s v="S40000004"/>
    <n v="13"/>
    <n v="30"/>
    <n v="106"/>
  </r>
  <r>
    <x v="7"/>
    <s v="1:LA"/>
    <x v="26"/>
    <s v="S40000005"/>
    <n v="13"/>
    <n v="25"/>
    <n v="94"/>
  </r>
  <r>
    <x v="7"/>
    <s v="1:LA"/>
    <x v="27"/>
    <s v="S40000003"/>
    <n v="4"/>
    <n v="7"/>
    <n v="41"/>
  </r>
  <r>
    <x v="7"/>
    <s v="1:LA"/>
    <x v="28"/>
    <s v="S40000003"/>
    <n v="10"/>
    <n v="7"/>
    <n v="67"/>
  </r>
  <r>
    <x v="7"/>
    <s v="1:LA"/>
    <x v="29"/>
    <s v="S40000002"/>
    <n v="9"/>
    <n v="15"/>
    <n v="51"/>
  </r>
  <r>
    <x v="7"/>
    <s v="1:LA"/>
    <x v="30"/>
    <s v="S40000003"/>
    <n v="2"/>
    <n v="2"/>
    <n v="18"/>
  </r>
  <r>
    <x v="7"/>
    <s v="1:LA"/>
    <x v="31"/>
    <s v="S40000004"/>
    <n v="7"/>
    <n v="9"/>
    <n v="42"/>
  </r>
  <r>
    <x v="8"/>
    <s v="1:LA"/>
    <x v="0"/>
    <m/>
    <n v="1"/>
    <n v="3"/>
    <n v="7"/>
  </r>
  <r>
    <x v="8"/>
    <s v="1:LA"/>
    <x v="1"/>
    <m/>
    <n v="26"/>
    <n v="66"/>
    <n v="193"/>
  </r>
  <r>
    <x v="8"/>
    <s v="1:LA"/>
    <x v="2"/>
    <m/>
    <n v="7"/>
    <n v="17"/>
    <n v="72"/>
  </r>
  <r>
    <x v="8"/>
    <s v="1:LA"/>
    <x v="3"/>
    <m/>
    <n v="14"/>
    <n v="26"/>
    <n v="132"/>
  </r>
  <r>
    <x v="8"/>
    <s v="1:LA"/>
    <x v="4"/>
    <m/>
    <n v="1"/>
    <n v="1"/>
    <n v="5"/>
  </r>
  <r>
    <x v="8"/>
    <s v="1:LA"/>
    <x v="5"/>
    <m/>
    <n v="2"/>
    <n v="4"/>
    <n v="19"/>
  </r>
  <r>
    <x v="8"/>
    <s v="1:LA"/>
    <x v="6"/>
    <m/>
    <n v="17"/>
    <n v="33"/>
    <n v="142"/>
  </r>
  <r>
    <x v="8"/>
    <s v="1:LA"/>
    <x v="7"/>
    <m/>
    <n v="1"/>
    <n v="2"/>
    <n v="10"/>
  </r>
  <r>
    <x v="8"/>
    <s v="1:LA"/>
    <x v="8"/>
    <m/>
    <n v="7"/>
    <n v="8"/>
    <n v="62"/>
  </r>
  <r>
    <x v="8"/>
    <s v="1:LA"/>
    <x v="10"/>
    <m/>
    <n v="5"/>
    <n v="12"/>
    <n v="39"/>
  </r>
  <r>
    <x v="8"/>
    <s v="1:LA"/>
    <x v="12"/>
    <m/>
    <n v="5"/>
    <n v="9"/>
    <n v="36"/>
  </r>
  <r>
    <x v="8"/>
    <s v="1:LA"/>
    <x v="13"/>
    <m/>
    <n v="8"/>
    <n v="22"/>
    <n v="73"/>
  </r>
  <r>
    <x v="8"/>
    <s v="1:LA"/>
    <x v="15"/>
    <m/>
    <n v="51"/>
    <n v="96"/>
    <n v="331"/>
  </r>
  <r>
    <x v="8"/>
    <s v="1:LA"/>
    <x v="16"/>
    <m/>
    <n v="3"/>
    <n v="7"/>
    <n v="28"/>
  </r>
  <r>
    <x v="8"/>
    <s v="1:LA"/>
    <x v="17"/>
    <m/>
    <n v="1"/>
    <n v="2"/>
    <n v="8"/>
  </r>
  <r>
    <x v="8"/>
    <s v="1:LA"/>
    <x v="18"/>
    <m/>
    <n v="11"/>
    <n v="26"/>
    <n v="77"/>
  </r>
  <r>
    <x v="8"/>
    <s v="1:LA"/>
    <x v="19"/>
    <m/>
    <n v="14"/>
    <n v="29"/>
    <n v="78"/>
  </r>
  <r>
    <x v="8"/>
    <s v="1:LA"/>
    <x v="20"/>
    <m/>
    <n v="11"/>
    <n v="12"/>
    <n v="72"/>
  </r>
  <r>
    <x v="8"/>
    <s v="1:LA"/>
    <x v="21"/>
    <m/>
    <n v="3"/>
    <n v="6"/>
    <n v="21"/>
  </r>
  <r>
    <x v="8"/>
    <s v="1:LA"/>
    <x v="22"/>
    <m/>
    <n v="12"/>
    <n v="19"/>
    <n v="84"/>
  </r>
  <r>
    <x v="8"/>
    <s v="1:LA"/>
    <x v="23"/>
    <m/>
    <n v="9"/>
    <n v="21"/>
    <n v="86"/>
  </r>
  <r>
    <x v="8"/>
    <s v="1:LA"/>
    <x v="24"/>
    <m/>
    <n v="1"/>
    <n v="2"/>
    <n v="10"/>
  </r>
  <r>
    <x v="8"/>
    <s v="1:LA"/>
    <x v="25"/>
    <m/>
    <n v="13"/>
    <n v="28"/>
    <n v="99"/>
  </r>
  <r>
    <x v="8"/>
    <s v="1:LA"/>
    <x v="26"/>
    <m/>
    <n v="12"/>
    <n v="27"/>
    <n v="94"/>
  </r>
  <r>
    <x v="8"/>
    <s v="1:LA"/>
    <x v="27"/>
    <m/>
    <n v="6"/>
    <n v="7"/>
    <n v="35"/>
  </r>
  <r>
    <x v="8"/>
    <s v="1:LA"/>
    <x v="28"/>
    <m/>
    <n v="8"/>
    <n v="13"/>
    <n v="50"/>
  </r>
  <r>
    <x v="8"/>
    <s v="1:LA"/>
    <x v="29"/>
    <m/>
    <n v="8"/>
    <n v="15"/>
    <n v="46"/>
  </r>
  <r>
    <x v="8"/>
    <s v="1:LA"/>
    <x v="30"/>
    <m/>
    <n v="2"/>
    <n v="2"/>
    <n v="17"/>
  </r>
  <r>
    <x v="8"/>
    <s v="1:LA"/>
    <x v="31"/>
    <m/>
    <n v="6"/>
    <n v="11"/>
    <n v="41"/>
  </r>
  <r>
    <x v="9"/>
    <s v="1:LA"/>
    <x v="0"/>
    <m/>
    <n v="1"/>
    <n v="2"/>
    <n v="7"/>
  </r>
  <r>
    <x v="9"/>
    <s v="1:LA"/>
    <x v="1"/>
    <m/>
    <n v="23"/>
    <n v="67"/>
    <n v="188"/>
  </r>
  <r>
    <x v="9"/>
    <s v="1:LA"/>
    <x v="2"/>
    <m/>
    <n v="7"/>
    <n v="17"/>
    <n v="72"/>
  </r>
  <r>
    <x v="9"/>
    <s v="1:LA"/>
    <x v="3"/>
    <m/>
    <n v="14"/>
    <n v="25"/>
    <n v="128"/>
  </r>
  <r>
    <x v="9"/>
    <s v="1:LA"/>
    <x v="4"/>
    <m/>
    <n v="1"/>
    <n v="1"/>
    <n v="7"/>
  </r>
  <r>
    <x v="9"/>
    <s v="1:LA"/>
    <x v="5"/>
    <m/>
    <n v="2"/>
    <n v="5"/>
    <n v="18"/>
  </r>
  <r>
    <x v="9"/>
    <s v="1:LA"/>
    <x v="6"/>
    <m/>
    <n v="16"/>
    <n v="32"/>
    <n v="146"/>
  </r>
  <r>
    <x v="9"/>
    <s v="1:LA"/>
    <x v="7"/>
    <m/>
    <n v="1"/>
    <n v="2"/>
    <n v="9"/>
  </r>
  <r>
    <x v="9"/>
    <s v="1:LA"/>
    <x v="8"/>
    <m/>
    <n v="7"/>
    <n v="10"/>
    <n v="54"/>
  </r>
  <r>
    <x v="9"/>
    <s v="1:LA"/>
    <x v="10"/>
    <m/>
    <n v="5"/>
    <n v="11"/>
    <n v="35"/>
  </r>
  <r>
    <x v="9"/>
    <s v="1:LA"/>
    <x v="12"/>
    <m/>
    <n v="5"/>
    <n v="10"/>
    <n v="38"/>
  </r>
  <r>
    <x v="9"/>
    <s v="1:LA"/>
    <x v="13"/>
    <m/>
    <n v="9"/>
    <n v="22"/>
    <n v="74"/>
  </r>
  <r>
    <x v="9"/>
    <s v="1:LA"/>
    <x v="15"/>
    <m/>
    <n v="1"/>
    <n v="0"/>
    <n v="0"/>
  </r>
  <r>
    <x v="9"/>
    <s v="1:LA"/>
    <x v="15"/>
    <m/>
    <n v="49"/>
    <n v="93"/>
    <n v="321"/>
  </r>
  <r>
    <x v="9"/>
    <s v="1:LA"/>
    <x v="16"/>
    <m/>
    <n v="3"/>
    <n v="7"/>
    <n v="26"/>
  </r>
  <r>
    <x v="9"/>
    <s v="1:LA"/>
    <x v="17"/>
    <m/>
    <n v="1"/>
    <n v="2"/>
    <n v="8"/>
  </r>
  <r>
    <x v="9"/>
    <s v="1:LA"/>
    <x v="18"/>
    <m/>
    <n v="11"/>
    <n v="28"/>
    <n v="70"/>
  </r>
  <r>
    <x v="9"/>
    <s v="1:LA"/>
    <x v="19"/>
    <m/>
    <n v="14"/>
    <n v="26"/>
    <n v="95"/>
  </r>
  <r>
    <x v="9"/>
    <s v="1:LA"/>
    <x v="20"/>
    <m/>
    <n v="10"/>
    <n v="13"/>
    <n v="73"/>
  </r>
  <r>
    <x v="9"/>
    <s v="1:LA"/>
    <x v="21"/>
    <m/>
    <n v="3"/>
    <n v="7"/>
    <n v="21"/>
  </r>
  <r>
    <x v="9"/>
    <s v="1:LA"/>
    <x v="22"/>
    <m/>
    <n v="12"/>
    <n v="21"/>
    <n v="82"/>
  </r>
  <r>
    <x v="9"/>
    <s v="1:LA"/>
    <x v="23"/>
    <m/>
    <n v="9"/>
    <n v="21"/>
    <n v="89"/>
  </r>
  <r>
    <x v="9"/>
    <s v="1:LA"/>
    <x v="24"/>
    <m/>
    <n v="1"/>
    <n v="2"/>
    <n v="11"/>
  </r>
  <r>
    <x v="9"/>
    <s v="1:LA"/>
    <x v="25"/>
    <m/>
    <n v="13"/>
    <n v="28"/>
    <n v="113"/>
  </r>
  <r>
    <x v="9"/>
    <s v="1:LA"/>
    <x v="26"/>
    <m/>
    <n v="14"/>
    <n v="25"/>
    <n v="83"/>
  </r>
  <r>
    <x v="9"/>
    <s v="1:LA"/>
    <x v="27"/>
    <m/>
    <n v="5"/>
    <n v="7"/>
    <n v="36"/>
  </r>
  <r>
    <x v="9"/>
    <s v="1:LA"/>
    <x v="28"/>
    <m/>
    <n v="9"/>
    <n v="13"/>
    <n v="46"/>
  </r>
  <r>
    <x v="9"/>
    <s v="1:LA"/>
    <x v="29"/>
    <m/>
    <n v="7"/>
    <n v="13"/>
    <n v="49"/>
  </r>
  <r>
    <x v="9"/>
    <s v="1:LA"/>
    <x v="30"/>
    <m/>
    <n v="2"/>
    <n v="2"/>
    <n v="15"/>
  </r>
  <r>
    <x v="9"/>
    <s v="1:LA"/>
    <x v="31"/>
    <m/>
    <n v="7"/>
    <n v="9"/>
    <n v="38"/>
  </r>
  <r>
    <x v="10"/>
    <s v="1:LA"/>
    <x v="0"/>
    <m/>
    <n v="1"/>
    <n v="4"/>
    <n v="5"/>
  </r>
  <r>
    <x v="10"/>
    <s v="1:LA"/>
    <x v="1"/>
    <m/>
    <n v="22"/>
    <n v="66"/>
    <n v="178"/>
  </r>
  <r>
    <x v="10"/>
    <s v="1:LA"/>
    <x v="2"/>
    <m/>
    <n v="6"/>
    <n v="18"/>
    <n v="76"/>
  </r>
  <r>
    <x v="10"/>
    <s v="1:LA"/>
    <x v="3"/>
    <m/>
    <n v="15"/>
    <n v="23"/>
    <n v="135"/>
  </r>
  <r>
    <x v="10"/>
    <s v="1:LA"/>
    <x v="4"/>
    <m/>
    <n v="1"/>
    <n v="2"/>
    <n v="6"/>
  </r>
  <r>
    <x v="10"/>
    <s v="1:LA"/>
    <x v="5"/>
    <m/>
    <n v="2"/>
    <n v="4"/>
    <n v="17"/>
  </r>
  <r>
    <x v="10"/>
    <s v="1:LA"/>
    <x v="6"/>
    <m/>
    <n v="15"/>
    <n v="32"/>
    <n v="132"/>
  </r>
  <r>
    <x v="10"/>
    <s v="1:LA"/>
    <x v="7"/>
    <m/>
    <n v="1"/>
    <n v="2"/>
    <n v="11"/>
  </r>
  <r>
    <x v="10"/>
    <s v="1:LA"/>
    <x v="8"/>
    <m/>
    <n v="6"/>
    <n v="12"/>
    <n v="53"/>
  </r>
  <r>
    <x v="10"/>
    <s v="1:LA"/>
    <x v="10"/>
    <m/>
    <n v="5"/>
    <n v="12"/>
    <n v="39"/>
  </r>
  <r>
    <x v="10"/>
    <s v="1:LA"/>
    <x v="12"/>
    <m/>
    <n v="5"/>
    <n v="10"/>
    <n v="46"/>
  </r>
  <r>
    <x v="10"/>
    <s v="1:LA"/>
    <x v="13"/>
    <m/>
    <n v="8"/>
    <n v="22"/>
    <n v="74"/>
  </r>
  <r>
    <x v="10"/>
    <s v="1:LA"/>
    <x v="15"/>
    <m/>
    <n v="45"/>
    <n v="91"/>
    <n v="328"/>
  </r>
  <r>
    <x v="10"/>
    <s v="1:LA"/>
    <x v="16"/>
    <m/>
    <n v="3"/>
    <n v="7"/>
    <n v="25"/>
  </r>
  <r>
    <x v="10"/>
    <s v="1:LA"/>
    <x v="17"/>
    <m/>
    <n v="1"/>
    <n v="2"/>
    <n v="10"/>
  </r>
  <r>
    <x v="10"/>
    <s v="1:LA"/>
    <x v="18"/>
    <m/>
    <n v="12"/>
    <n v="28"/>
    <n v="76"/>
  </r>
  <r>
    <x v="10"/>
    <s v="1:LA"/>
    <x v="19"/>
    <m/>
    <n v="1"/>
    <n v="2"/>
    <n v="7"/>
  </r>
  <r>
    <x v="10"/>
    <s v="1:LA"/>
    <x v="19"/>
    <m/>
    <n v="13"/>
    <n v="26"/>
    <n v="83"/>
  </r>
  <r>
    <x v="10"/>
    <s v="1:LA"/>
    <x v="20"/>
    <m/>
    <n v="9"/>
    <n v="12"/>
    <n v="77"/>
  </r>
  <r>
    <x v="10"/>
    <s v="1:LA"/>
    <x v="21"/>
    <m/>
    <n v="3"/>
    <n v="6"/>
    <n v="20"/>
  </r>
  <r>
    <x v="10"/>
    <s v="1:LA"/>
    <x v="22"/>
    <m/>
    <n v="1"/>
    <n v="2"/>
    <n v="5"/>
  </r>
  <r>
    <x v="10"/>
    <s v="1:LA"/>
    <x v="22"/>
    <m/>
    <n v="11"/>
    <n v="21"/>
    <n v="72"/>
  </r>
  <r>
    <x v="10"/>
    <s v="1:LA"/>
    <x v="23"/>
    <m/>
    <n v="11"/>
    <n v="20"/>
    <n v="86"/>
  </r>
  <r>
    <x v="10"/>
    <s v="1:LA"/>
    <x v="24"/>
    <m/>
    <n v="1"/>
    <n v="2"/>
    <n v="8"/>
  </r>
  <r>
    <x v="10"/>
    <s v="1:LA"/>
    <x v="25"/>
    <m/>
    <n v="12"/>
    <n v="28"/>
    <n v="97"/>
  </r>
  <r>
    <x v="10"/>
    <s v="1:LA"/>
    <x v="26"/>
    <m/>
    <n v="14"/>
    <n v="23"/>
    <n v="77"/>
  </r>
  <r>
    <x v="10"/>
    <s v="1:LA"/>
    <x v="27"/>
    <m/>
    <n v="4"/>
    <n v="8"/>
    <n v="34"/>
  </r>
  <r>
    <x v="10"/>
    <s v="1:LA"/>
    <x v="28"/>
    <m/>
    <n v="8"/>
    <n v="13"/>
    <n v="52"/>
  </r>
  <r>
    <x v="10"/>
    <s v="1:LA"/>
    <x v="29"/>
    <m/>
    <n v="7"/>
    <n v="15"/>
    <n v="46"/>
  </r>
  <r>
    <x v="10"/>
    <s v="1:LA"/>
    <x v="30"/>
    <m/>
    <n v="2"/>
    <n v="2"/>
    <n v="17"/>
  </r>
  <r>
    <x v="10"/>
    <s v="1:LA"/>
    <x v="31"/>
    <m/>
    <n v="6"/>
    <n v="10"/>
    <n v="40"/>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
  <r>
    <x v="0"/>
    <x v="0"/>
    <m/>
    <m/>
    <m/>
    <n v="13"/>
    <n v="416"/>
    <n v="608"/>
    <n v="2355"/>
    <m/>
  </r>
  <r>
    <x v="1"/>
    <x v="1"/>
    <m/>
    <n v="14"/>
    <n v="62"/>
    <n v="91"/>
    <n v="133"/>
    <n v="50"/>
    <n v="35"/>
    <m/>
  </r>
  <r>
    <x v="2"/>
    <x v="2"/>
    <n v="5"/>
    <n v="16"/>
    <n v="20"/>
    <n v="19"/>
    <n v="28"/>
    <m/>
    <m/>
    <n v="88"/>
  </r>
  <r>
    <x v="3"/>
    <x v="0"/>
    <m/>
    <m/>
    <m/>
    <m/>
    <n v="403"/>
    <n v="585"/>
    <n v="1849"/>
    <n v="2837"/>
  </r>
  <r>
    <x v="0"/>
    <x v="1"/>
    <m/>
    <n v="17"/>
    <n v="69"/>
    <n v="85"/>
    <n v="94"/>
    <n v="5"/>
    <n v="15"/>
    <m/>
  </r>
  <r>
    <x v="4"/>
    <x v="0"/>
    <m/>
    <m/>
    <m/>
    <n v="14"/>
    <n v="416"/>
    <n v="592"/>
    <n v="2263"/>
    <m/>
  </r>
  <r>
    <x v="5"/>
    <x v="3"/>
    <m/>
    <n v="3"/>
    <n v="12"/>
    <n v="25"/>
    <n v="86"/>
    <n v="22"/>
    <n v="3"/>
    <m/>
  </r>
  <r>
    <x v="0"/>
    <x v="3"/>
    <n v="3"/>
    <n v="6"/>
    <n v="24"/>
    <n v="33"/>
    <n v="158"/>
    <n v="40"/>
    <n v="4"/>
    <n v="268"/>
  </r>
  <r>
    <x v="4"/>
    <x v="3"/>
    <m/>
    <n v="4"/>
    <n v="26"/>
    <n v="31"/>
    <n v="147"/>
    <n v="34"/>
    <n v="7"/>
    <m/>
  </r>
  <r>
    <x v="4"/>
    <x v="2"/>
    <n v="7"/>
    <n v="11"/>
    <n v="12"/>
    <n v="6"/>
    <n v="11"/>
    <n v="4"/>
    <n v="1"/>
    <n v="52"/>
  </r>
  <r>
    <x v="5"/>
    <x v="0"/>
    <m/>
    <m/>
    <m/>
    <n v="1"/>
    <n v="343"/>
    <n v="552"/>
    <n v="2027"/>
    <m/>
  </r>
  <r>
    <x v="5"/>
    <x v="2"/>
    <n v="4"/>
    <n v="15"/>
    <n v="11"/>
    <n v="9"/>
    <n v="42"/>
    <m/>
    <n v="101"/>
    <m/>
  </r>
  <r>
    <x v="6"/>
    <x v="2"/>
    <n v="4"/>
    <n v="15"/>
    <n v="13"/>
    <n v="9"/>
    <n v="47"/>
    <m/>
    <n v="55"/>
    <m/>
  </r>
  <r>
    <x v="7"/>
    <x v="1"/>
    <m/>
    <n v="16"/>
    <n v="49"/>
    <n v="115"/>
    <n v="124"/>
    <n v="54"/>
    <n v="29"/>
    <n v="387"/>
  </r>
  <r>
    <x v="7"/>
    <x v="2"/>
    <n v="4"/>
    <n v="14"/>
    <n v="17"/>
    <n v="8"/>
    <n v="46"/>
    <m/>
    <n v="60"/>
    <n v="149"/>
  </r>
  <r>
    <x v="8"/>
    <x v="1"/>
    <m/>
    <n v="16"/>
    <n v="49"/>
    <n v="116"/>
    <n v="114"/>
    <n v="55"/>
    <n v="26"/>
    <n v="376"/>
  </r>
  <r>
    <x v="4"/>
    <x v="1"/>
    <m/>
    <n v="18"/>
    <n v="65"/>
    <n v="79"/>
    <n v="90"/>
    <n v="4"/>
    <n v="14"/>
    <m/>
  </r>
  <r>
    <x v="9"/>
    <x v="1"/>
    <m/>
    <n v="16"/>
    <n v="50"/>
    <n v="118"/>
    <n v="113"/>
    <n v="58"/>
    <n v="28"/>
    <n v="383"/>
  </r>
  <r>
    <x v="9"/>
    <x v="3"/>
    <m/>
    <n v="6"/>
    <n v="17"/>
    <n v="29"/>
    <n v="112"/>
    <n v="33"/>
    <m/>
    <n v="197"/>
  </r>
  <r>
    <x v="8"/>
    <x v="0"/>
    <m/>
    <m/>
    <m/>
    <m/>
    <n v="372"/>
    <n v="596"/>
    <n v="1935"/>
    <n v="2903"/>
  </r>
  <r>
    <x v="3"/>
    <x v="2"/>
    <n v="5"/>
    <n v="12"/>
    <n v="19"/>
    <n v="16"/>
    <n v="16"/>
    <n v="1"/>
    <m/>
    <n v="69"/>
  </r>
  <r>
    <x v="10"/>
    <x v="0"/>
    <m/>
    <m/>
    <m/>
    <m/>
    <n v="408"/>
    <n v="569"/>
    <n v="1893"/>
    <n v="2870"/>
  </r>
  <r>
    <x v="10"/>
    <x v="2"/>
    <n v="5"/>
    <n v="11"/>
    <n v="16"/>
    <n v="24"/>
    <n v="27"/>
    <n v="1"/>
    <m/>
    <n v="84"/>
  </r>
  <r>
    <x v="7"/>
    <x v="3"/>
    <m/>
    <n v="3"/>
    <n v="14"/>
    <n v="24"/>
    <n v="64"/>
    <n v="41"/>
    <m/>
    <n v="146"/>
  </r>
  <r>
    <x v="8"/>
    <x v="3"/>
    <m/>
    <n v="6"/>
    <n v="9"/>
    <n v="16"/>
    <n v="87"/>
    <n v="36"/>
    <n v="58"/>
    <n v="212"/>
  </r>
  <r>
    <x v="2"/>
    <x v="0"/>
    <m/>
    <m/>
    <m/>
    <m/>
    <n v="373"/>
    <n v="572"/>
    <n v="1898"/>
    <n v="2843"/>
  </r>
  <r>
    <x v="1"/>
    <x v="0"/>
    <m/>
    <m/>
    <m/>
    <n v="2"/>
    <n v="305"/>
    <n v="511"/>
    <n v="2207"/>
    <m/>
  </r>
  <r>
    <x v="1"/>
    <x v="3"/>
    <m/>
    <n v="3"/>
    <n v="9"/>
    <n v="14"/>
    <n v="46"/>
    <n v="13"/>
    <m/>
    <m/>
  </r>
  <r>
    <x v="6"/>
    <x v="1"/>
    <m/>
    <n v="16"/>
    <n v="46"/>
    <n v="115"/>
    <n v="110"/>
    <n v="63"/>
    <n v="29"/>
    <m/>
  </r>
  <r>
    <x v="7"/>
    <x v="0"/>
    <m/>
    <m/>
    <m/>
    <m/>
    <n v="377"/>
    <n v="592"/>
    <n v="1986"/>
    <n v="2955"/>
  </r>
  <r>
    <x v="2"/>
    <x v="1"/>
    <m/>
    <n v="14"/>
    <n v="47"/>
    <n v="119"/>
    <n v="115"/>
    <n v="56"/>
    <n v="27"/>
    <n v="378"/>
  </r>
  <r>
    <x v="2"/>
    <x v="3"/>
    <m/>
    <n v="5"/>
    <n v="9"/>
    <n v="19"/>
    <n v="91"/>
    <n v="32"/>
    <n v="65"/>
    <n v="221"/>
  </r>
  <r>
    <x v="3"/>
    <x v="3"/>
    <m/>
    <n v="5"/>
    <n v="11"/>
    <n v="21"/>
    <n v="90"/>
    <n v="26"/>
    <n v="103"/>
    <n v="256"/>
  </r>
  <r>
    <x v="10"/>
    <x v="1"/>
    <m/>
    <n v="15"/>
    <n v="47"/>
    <n v="112"/>
    <n v="93"/>
    <n v="42"/>
    <n v="18"/>
    <n v="327"/>
  </r>
  <r>
    <x v="0"/>
    <x v="2"/>
    <n v="6"/>
    <n v="5"/>
    <n v="22"/>
    <n v="5"/>
    <n v="11"/>
    <n v="7"/>
    <m/>
    <m/>
  </r>
  <r>
    <x v="1"/>
    <x v="2"/>
    <n v="4"/>
    <n v="18"/>
    <n v="19"/>
    <n v="19"/>
    <n v="93"/>
    <n v="26"/>
    <n v="16"/>
    <n v="195"/>
  </r>
  <r>
    <x v="5"/>
    <x v="1"/>
    <m/>
    <n v="16"/>
    <n v="47"/>
    <n v="116"/>
    <n v="119"/>
    <n v="61"/>
    <n v="30"/>
    <m/>
  </r>
  <r>
    <x v="6"/>
    <x v="0"/>
    <m/>
    <m/>
    <m/>
    <m/>
    <n v="375"/>
    <n v="588"/>
    <n v="1905"/>
    <m/>
  </r>
  <r>
    <x v="6"/>
    <x v="3"/>
    <m/>
    <n v="3"/>
    <n v="15"/>
    <n v="29"/>
    <n v="71"/>
    <n v="38"/>
    <m/>
    <m/>
  </r>
  <r>
    <x v="8"/>
    <x v="2"/>
    <n v="5"/>
    <n v="13"/>
    <n v="21"/>
    <n v="20"/>
    <n v="30"/>
    <m/>
    <n v="1"/>
    <n v="90"/>
  </r>
  <r>
    <x v="9"/>
    <x v="0"/>
    <m/>
    <m/>
    <m/>
    <m/>
    <n v="376"/>
    <n v="597"/>
    <n v="1993"/>
    <n v="2966"/>
  </r>
  <r>
    <x v="9"/>
    <x v="2"/>
    <n v="6"/>
    <n v="9"/>
    <n v="13"/>
    <n v="6"/>
    <n v="7"/>
    <m/>
    <n v="49"/>
    <n v="90"/>
  </r>
  <r>
    <x v="3"/>
    <x v="1"/>
    <m/>
    <n v="14"/>
    <n v="48"/>
    <n v="111"/>
    <n v="92"/>
    <n v="43"/>
    <n v="20"/>
    <n v="328"/>
  </r>
  <r>
    <x v="10"/>
    <x v="3"/>
    <m/>
    <n v="5"/>
    <n v="8"/>
    <n v="20"/>
    <n v="79"/>
    <n v="28"/>
    <n v="1"/>
    <n v="141"/>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3">
  <r>
    <x v="0"/>
    <x v="0"/>
    <m/>
    <x v="0"/>
    <m/>
    <m/>
    <m/>
    <m/>
  </r>
  <r>
    <x v="1"/>
    <x v="1"/>
    <s v=""/>
    <x v="1"/>
    <n v="2665.13"/>
    <n v="262.12"/>
    <n v="489.46"/>
    <n v="1913.55"/>
  </r>
  <r>
    <x v="1"/>
    <x v="1"/>
    <s v="S12000005"/>
    <x v="2"/>
    <n v="16.71"/>
    <n v="1.52"/>
    <n v="3.29"/>
    <n v="11.9"/>
  </r>
  <r>
    <x v="1"/>
    <x v="1"/>
    <s v="S12000006"/>
    <x v="3"/>
    <n v="177.25"/>
    <n v="15.25"/>
    <n v="31.25"/>
    <n v="130.75"/>
  </r>
  <r>
    <x v="1"/>
    <x v="1"/>
    <s v="S12000008"/>
    <x v="4"/>
    <n v="66.86"/>
    <n v="8.25"/>
    <n v="8.5"/>
    <n v="50.11"/>
  </r>
  <r>
    <x v="1"/>
    <x v="1"/>
    <s v="S12000010"/>
    <x v="5"/>
    <n v="46.75"/>
    <n v="5"/>
    <n v="8.75"/>
    <n v="33"/>
  </r>
  <r>
    <x v="1"/>
    <x v="1"/>
    <s v="S12000011"/>
    <x v="6"/>
    <m/>
    <m/>
    <m/>
    <m/>
  </r>
  <r>
    <x v="1"/>
    <x v="1"/>
    <s v="S12000013"/>
    <x v="7"/>
    <n v="124"/>
    <n v="12.5"/>
    <n v="24"/>
    <n v="87.5"/>
  </r>
  <r>
    <x v="1"/>
    <x v="1"/>
    <s v="S12000014"/>
    <x v="8"/>
    <n v="49.69"/>
    <n v="3.81"/>
    <n v="7.6"/>
    <n v="38.28"/>
  </r>
  <r>
    <x v="1"/>
    <x v="1"/>
    <s v="S12000017"/>
    <x v="9"/>
    <n v="525.5"/>
    <n v="52.25"/>
    <n v="108.25"/>
    <n v="365"/>
  </r>
  <r>
    <x v="1"/>
    <x v="1"/>
    <s v="S12000018"/>
    <x v="10"/>
    <n v="35.5"/>
    <n v="3"/>
    <n v="3.75"/>
    <n v="28.75"/>
  </r>
  <r>
    <x v="1"/>
    <x v="1"/>
    <s v="S12000019"/>
    <x v="11"/>
    <n v="8.75"/>
    <n v="1"/>
    <n v="1.75"/>
    <n v="6"/>
  </r>
  <r>
    <x v="1"/>
    <x v="1"/>
    <s v="S12000020"/>
    <x v="12"/>
    <n v="95.38"/>
    <n v="8"/>
    <n v="19.5"/>
    <n v="67.88"/>
  </r>
  <r>
    <x v="1"/>
    <x v="1"/>
    <s v="S12000021"/>
    <x v="13"/>
    <n v="86.25"/>
    <n v="8.5"/>
    <n v="14"/>
    <n v="63.75"/>
  </r>
  <r>
    <x v="1"/>
    <x v="1"/>
    <s v="S12000023"/>
    <x v="14"/>
    <n v="111"/>
    <n v="12"/>
    <n v="21.25"/>
    <n v="77.75"/>
  </r>
  <r>
    <x v="1"/>
    <x v="1"/>
    <s v="S12000024"/>
    <x v="15"/>
    <n v="128"/>
    <n v="9.5"/>
    <n v="24"/>
    <n v="94.5"/>
  </r>
  <r>
    <x v="1"/>
    <x v="1"/>
    <s v="S12000026"/>
    <x v="16"/>
    <n v="119.5"/>
    <n v="12.5"/>
    <n v="22"/>
    <n v="85"/>
  </r>
  <r>
    <x v="1"/>
    <x v="1"/>
    <s v="S12000027"/>
    <x v="17"/>
    <n v="126"/>
    <n v="12.25"/>
    <n v="28.25"/>
    <n v="85.5"/>
  </r>
  <r>
    <x v="1"/>
    <x v="1"/>
    <s v="S12000028"/>
    <x v="18"/>
    <n v="49.25"/>
    <n v="5"/>
    <n v="8.25"/>
    <n v="36"/>
  </r>
  <r>
    <x v="1"/>
    <x v="1"/>
    <s v="S12000029"/>
    <x v="19"/>
    <n v="79.25"/>
    <n v="8.75"/>
    <n v="8"/>
    <n v="62.5"/>
  </r>
  <r>
    <x v="1"/>
    <x v="1"/>
    <s v="S12000030"/>
    <x v="20"/>
    <n v="58.03"/>
    <n v="7.33"/>
    <n v="11.9"/>
    <n v="38.799999999999997"/>
  </r>
  <r>
    <x v="1"/>
    <x v="1"/>
    <s v="S12000033"/>
    <x v="21"/>
    <n v="6.5"/>
    <n v="1"/>
    <n v="1.75"/>
    <n v="3.75"/>
  </r>
  <r>
    <x v="1"/>
    <x v="1"/>
    <s v="S12000034"/>
    <x v="22"/>
    <n v="269.71000000000004"/>
    <n v="27.46"/>
    <n v="57.67"/>
    <n v="184.58"/>
  </r>
  <r>
    <x v="1"/>
    <x v="1"/>
    <s v="S12000035"/>
    <x v="23"/>
    <n v="178.25"/>
    <n v="16.75"/>
    <n v="22.75"/>
    <n v="138.75"/>
  </r>
  <r>
    <x v="1"/>
    <x v="1"/>
    <s v="S12000036"/>
    <x v="24"/>
    <n v="9.75"/>
    <n v="0.75"/>
    <n v="1.75"/>
    <n v="7.25"/>
  </r>
  <r>
    <x v="1"/>
    <x v="1"/>
    <s v="S12000038"/>
    <x v="25"/>
    <n v="11.75"/>
    <n v="1"/>
    <n v="2"/>
    <n v="8.75"/>
  </r>
  <r>
    <x v="1"/>
    <x v="1"/>
    <s v="S12000039"/>
    <x v="26"/>
    <n v="15.75"/>
    <n v="1.75"/>
    <n v="1"/>
    <n v="13"/>
  </r>
  <r>
    <x v="1"/>
    <x v="1"/>
    <s v="S12000040"/>
    <x v="27"/>
    <n v="49.75"/>
    <n v="5.75"/>
    <n v="9.5"/>
    <n v="34.5"/>
  </r>
  <r>
    <x v="1"/>
    <x v="1"/>
    <s v="S12000041"/>
    <x v="28"/>
    <n v="86.75"/>
    <n v="7"/>
    <n v="17"/>
    <n v="62.75"/>
  </r>
  <r>
    <x v="1"/>
    <x v="1"/>
    <s v="S12000042"/>
    <x v="29"/>
    <n v="12.25"/>
    <n v="0.75"/>
    <n v="2.75"/>
    <n v="8.75"/>
  </r>
  <r>
    <x v="1"/>
    <x v="1"/>
    <s v="S12000044"/>
    <x v="30"/>
    <n v="27"/>
    <n v="2.75"/>
    <n v="3"/>
    <n v="21.25"/>
  </r>
  <r>
    <x v="1"/>
    <x v="1"/>
    <s v="S12000045"/>
    <x v="31"/>
    <m/>
    <m/>
    <m/>
    <m/>
  </r>
  <r>
    <x v="1"/>
    <x v="1"/>
    <s v="S12000046"/>
    <x v="32"/>
    <m/>
    <m/>
    <n v="1"/>
    <n v="1"/>
  </r>
  <r>
    <x v="1"/>
    <x v="1"/>
    <s v="S12000047"/>
    <x v="33"/>
    <n v="92"/>
    <n v="10.75"/>
    <n v="15"/>
    <n v="66.25"/>
  </r>
  <r>
    <x v="2"/>
    <x v="1"/>
    <s v=""/>
    <x v="1"/>
    <n v="2668.5"/>
    <n v="263.75"/>
    <n v="498"/>
    <n v="1906.75"/>
  </r>
  <r>
    <x v="2"/>
    <x v="1"/>
    <s v="S12000005"/>
    <x v="2"/>
    <n v="18.25"/>
    <n v="1.5"/>
    <n v="4"/>
    <n v="12.75"/>
  </r>
  <r>
    <x v="2"/>
    <x v="1"/>
    <s v="S12000006"/>
    <x v="3"/>
    <n v="185"/>
    <n v="15.25"/>
    <n v="32.75"/>
    <n v="137"/>
  </r>
  <r>
    <x v="2"/>
    <x v="1"/>
    <s v="S12000008"/>
    <x v="4"/>
    <n v="71.25"/>
    <n v="7.5"/>
    <n v="7.25"/>
    <n v="56.5"/>
  </r>
  <r>
    <x v="2"/>
    <x v="1"/>
    <s v="S12000010"/>
    <x v="5"/>
    <n v="52.75"/>
    <n v="5"/>
    <n v="11.5"/>
    <n v="36.25"/>
  </r>
  <r>
    <x v="2"/>
    <x v="1"/>
    <s v="S12000011"/>
    <x v="6"/>
    <n v="0"/>
    <n v="0"/>
    <n v="0"/>
    <n v="0"/>
  </r>
  <r>
    <x v="2"/>
    <x v="1"/>
    <s v="S12000013"/>
    <x v="7"/>
    <n v="140.25"/>
    <n v="15.5"/>
    <n v="26.5"/>
    <n v="98.25"/>
  </r>
  <r>
    <x v="2"/>
    <x v="1"/>
    <s v="S12000014"/>
    <x v="8"/>
    <n v="51.75"/>
    <n v="4.5"/>
    <n v="6.75"/>
    <n v="40.5"/>
  </r>
  <r>
    <x v="2"/>
    <x v="1"/>
    <s v="S12000017"/>
    <x v="9"/>
    <n v="512.75"/>
    <n v="52.25"/>
    <n v="100.25"/>
    <n v="360.25"/>
  </r>
  <r>
    <x v="2"/>
    <x v="1"/>
    <s v="S12000018"/>
    <x v="10"/>
    <n v="33.5"/>
    <n v="3"/>
    <n v="3.75"/>
    <n v="26.75"/>
  </r>
  <r>
    <x v="2"/>
    <x v="1"/>
    <s v="S12000019"/>
    <x v="11"/>
    <n v="11.75"/>
    <n v="1"/>
    <n v="1.75"/>
    <n v="9"/>
  </r>
  <r>
    <x v="2"/>
    <x v="1"/>
    <s v="S12000020"/>
    <x v="12"/>
    <n v="111.75"/>
    <n v="10"/>
    <n v="23"/>
    <n v="78.75"/>
  </r>
  <r>
    <x v="2"/>
    <x v="1"/>
    <s v="S12000021"/>
    <x v="13"/>
    <n v="82.5"/>
    <n v="8.5"/>
    <n v="15.5"/>
    <n v="58.5"/>
  </r>
  <r>
    <x v="2"/>
    <x v="1"/>
    <s v="S12000023"/>
    <x v="14"/>
    <n v="107.25"/>
    <n v="12"/>
    <n v="25"/>
    <n v="70.25"/>
  </r>
  <r>
    <x v="2"/>
    <x v="1"/>
    <s v="S12000024"/>
    <x v="15"/>
    <n v="116.75"/>
    <n v="12.75"/>
    <n v="24.25"/>
    <n v="79.75"/>
  </r>
  <r>
    <x v="2"/>
    <x v="1"/>
    <s v="S12000026"/>
    <x v="16"/>
    <n v="132.25"/>
    <n v="13.25"/>
    <n v="22.75"/>
    <n v="96.25"/>
  </r>
  <r>
    <x v="2"/>
    <x v="1"/>
    <s v="S12000027"/>
    <x v="17"/>
    <n v="119"/>
    <n v="11.25"/>
    <n v="28"/>
    <n v="79.75"/>
  </r>
  <r>
    <x v="2"/>
    <x v="1"/>
    <s v="S12000028"/>
    <x v="18"/>
    <n v="49"/>
    <n v="5"/>
    <n v="8.25"/>
    <n v="35.75"/>
  </r>
  <r>
    <x v="2"/>
    <x v="1"/>
    <s v="S12000029"/>
    <x v="19"/>
    <n v="76.75"/>
    <n v="8.75"/>
    <n v="8"/>
    <n v="60"/>
  </r>
  <r>
    <x v="2"/>
    <x v="1"/>
    <s v="S12000030"/>
    <x v="20"/>
    <n v="58.5"/>
    <n v="7.25"/>
    <n v="11"/>
    <n v="40.25"/>
  </r>
  <r>
    <x v="2"/>
    <x v="1"/>
    <s v="S12000033"/>
    <x v="21"/>
    <n v="6.5"/>
    <n v="1"/>
    <n v="1.75"/>
    <n v="3.75"/>
  </r>
  <r>
    <x v="2"/>
    <x v="1"/>
    <s v="S12000034"/>
    <x v="22"/>
    <n v="253.25"/>
    <n v="25.25"/>
    <n v="56"/>
    <n v="172"/>
  </r>
  <r>
    <x v="2"/>
    <x v="1"/>
    <s v="S12000035"/>
    <x v="23"/>
    <n v="166.5"/>
    <n v="14.75"/>
    <n v="22.75"/>
    <n v="129"/>
  </r>
  <r>
    <x v="2"/>
    <x v="1"/>
    <s v="S12000036"/>
    <x v="24"/>
    <n v="10.5"/>
    <n v="0.75"/>
    <n v="1.75"/>
    <n v="8"/>
  </r>
  <r>
    <x v="2"/>
    <x v="1"/>
    <s v="S12000038"/>
    <x v="25"/>
    <n v="11.75"/>
    <n v="1"/>
    <n v="2"/>
    <n v="8.75"/>
  </r>
  <r>
    <x v="2"/>
    <x v="1"/>
    <s v="S12000039"/>
    <x v="26"/>
    <n v="18.5"/>
    <n v="1.75"/>
    <n v="1"/>
    <n v="15.75"/>
  </r>
  <r>
    <x v="2"/>
    <x v="1"/>
    <s v="S12000040"/>
    <x v="27"/>
    <n v="53"/>
    <n v="5"/>
    <n v="10"/>
    <n v="38"/>
  </r>
  <r>
    <x v="2"/>
    <x v="1"/>
    <s v="S12000041"/>
    <x v="28"/>
    <n v="83.5"/>
    <n v="7"/>
    <n v="18"/>
    <n v="58.5"/>
  </r>
  <r>
    <x v="2"/>
    <x v="1"/>
    <s v="S12000042"/>
    <x v="29"/>
    <n v="11.75"/>
    <n v="0.75"/>
    <n v="2.75"/>
    <n v="8.25"/>
  </r>
  <r>
    <x v="2"/>
    <x v="1"/>
    <s v="S12000044"/>
    <x v="30"/>
    <n v="28.25"/>
    <n v="2.5"/>
    <n v="3"/>
    <n v="22.75"/>
  </r>
  <r>
    <x v="2"/>
    <x v="1"/>
    <s v="S12000045"/>
    <x v="31"/>
    <n v="0"/>
    <n v="0"/>
    <n v="0"/>
    <n v="0"/>
  </r>
  <r>
    <x v="2"/>
    <x v="1"/>
    <s v="S12000046"/>
    <x v="32"/>
    <n v="0"/>
    <n v="0"/>
    <n v="0"/>
    <n v="0"/>
  </r>
  <r>
    <x v="2"/>
    <x v="1"/>
    <s v="S12000047"/>
    <x v="33"/>
    <n v="94"/>
    <n v="9.75"/>
    <n v="18.75"/>
    <n v="65.5"/>
  </r>
  <r>
    <x v="3"/>
    <x v="1"/>
    <s v=""/>
    <x v="1"/>
    <n v="2527"/>
    <n v="248"/>
    <n v="486"/>
    <n v="1793"/>
  </r>
  <r>
    <x v="3"/>
    <x v="1"/>
    <s v="S12000005"/>
    <x v="2"/>
    <n v="16.25"/>
    <n v="2"/>
    <n v="3"/>
    <n v="11.25"/>
  </r>
  <r>
    <x v="3"/>
    <x v="1"/>
    <s v="S12000006"/>
    <x v="3"/>
    <n v="169"/>
    <n v="14.5"/>
    <n v="30.75"/>
    <n v="123.75"/>
  </r>
  <r>
    <x v="3"/>
    <x v="1"/>
    <s v="S12000008"/>
    <x v="4"/>
    <n v="71"/>
    <n v="6.25"/>
    <n v="8.75"/>
    <n v="56"/>
  </r>
  <r>
    <x v="3"/>
    <x v="1"/>
    <s v="S12000010"/>
    <x v="5"/>
    <n v="45.25"/>
    <n v="4"/>
    <n v="9.75"/>
    <n v="31.5"/>
  </r>
  <r>
    <x v="3"/>
    <x v="1"/>
    <s v="S12000011"/>
    <x v="6"/>
    <n v="1"/>
    <n v="0"/>
    <n v="0"/>
    <n v="1"/>
  </r>
  <r>
    <x v="3"/>
    <x v="1"/>
    <s v="S12000013"/>
    <x v="7"/>
    <n v="134.25"/>
    <n v="11.75"/>
    <n v="33"/>
    <n v="89.5"/>
  </r>
  <r>
    <x v="3"/>
    <x v="1"/>
    <s v="S12000014"/>
    <x v="8"/>
    <n v="39.75"/>
    <n v="3.75"/>
    <n v="7"/>
    <n v="29"/>
  </r>
  <r>
    <x v="3"/>
    <x v="1"/>
    <s v="S12000017"/>
    <x v="9"/>
    <n v="489.75"/>
    <n v="51"/>
    <n v="102.5"/>
    <n v="336.25"/>
  </r>
  <r>
    <x v="3"/>
    <x v="1"/>
    <s v="S12000018"/>
    <x v="10"/>
    <n v="33.75"/>
    <n v="3.5"/>
    <n v="5.5"/>
    <n v="24.75"/>
  </r>
  <r>
    <x v="3"/>
    <x v="1"/>
    <s v="S12000019"/>
    <x v="11"/>
    <n v="9.25"/>
    <n v="1"/>
    <n v="1.75"/>
    <n v="6.5"/>
  </r>
  <r>
    <x v="3"/>
    <x v="1"/>
    <s v="S12000020"/>
    <x v="12"/>
    <n v="97.25"/>
    <n v="11"/>
    <n v="21"/>
    <n v="65.25"/>
  </r>
  <r>
    <x v="3"/>
    <x v="1"/>
    <s v="S12000021"/>
    <x v="13"/>
    <n v="91.5"/>
    <n v="9"/>
    <n v="10"/>
    <n v="72.5"/>
  </r>
  <r>
    <x v="3"/>
    <x v="1"/>
    <s v="S12000023"/>
    <x v="14"/>
    <n v="96.5"/>
    <n v="12"/>
    <n v="18.75"/>
    <n v="65.75"/>
  </r>
  <r>
    <x v="3"/>
    <x v="1"/>
    <s v="S12000024"/>
    <x v="15"/>
    <n v="110.5"/>
    <n v="8.75"/>
    <n v="22.5"/>
    <n v="79.25"/>
  </r>
  <r>
    <x v="3"/>
    <x v="1"/>
    <s v="S12000026"/>
    <x v="16"/>
    <n v="123.25"/>
    <n v="11.5"/>
    <n v="22.5"/>
    <n v="89.25"/>
  </r>
  <r>
    <x v="3"/>
    <x v="1"/>
    <s v="S12000027"/>
    <x v="17"/>
    <n v="116.75"/>
    <n v="13.25"/>
    <n v="23.25"/>
    <n v="80.25"/>
  </r>
  <r>
    <x v="3"/>
    <x v="1"/>
    <s v="S12000028"/>
    <x v="18"/>
    <n v="46"/>
    <n v="4.75"/>
    <n v="5.75"/>
    <n v="35.5"/>
  </r>
  <r>
    <x v="3"/>
    <x v="1"/>
    <s v="S12000029"/>
    <x v="19"/>
    <n v="64"/>
    <n v="7.75"/>
    <n v="8.75"/>
    <n v="47.5"/>
  </r>
  <r>
    <x v="3"/>
    <x v="1"/>
    <s v="S12000030"/>
    <x v="20"/>
    <n v="62.25"/>
    <n v="8.25"/>
    <n v="15"/>
    <n v="39"/>
  </r>
  <r>
    <x v="3"/>
    <x v="1"/>
    <s v="S12000033"/>
    <x v="21"/>
    <n v="15.25"/>
    <n v="1.75"/>
    <n v="5.5"/>
    <n v="8"/>
  </r>
  <r>
    <x v="3"/>
    <x v="1"/>
    <s v="S12000034"/>
    <x v="22"/>
    <n v="226.25"/>
    <n v="24"/>
    <n v="56.25"/>
    <n v="146"/>
  </r>
  <r>
    <x v="3"/>
    <x v="1"/>
    <s v="S12000035"/>
    <x v="23"/>
    <n v="171.39285714285714"/>
    <n v="11.75"/>
    <n v="24.75"/>
    <n v="134.89285714285714"/>
  </r>
  <r>
    <x v="3"/>
    <x v="1"/>
    <s v="S12000036"/>
    <x v="24"/>
    <n v="10"/>
    <n v="1"/>
    <n v="1.75"/>
    <n v="7.25"/>
  </r>
  <r>
    <x v="3"/>
    <x v="1"/>
    <s v="S12000038"/>
    <x v="25"/>
    <n v="10.5"/>
    <n v="1"/>
    <n v="1"/>
    <n v="8.5"/>
  </r>
  <r>
    <x v="3"/>
    <x v="1"/>
    <s v="S12000039"/>
    <x v="26"/>
    <n v="16.75"/>
    <n v="1.75"/>
    <n v="1.75"/>
    <n v="13.25"/>
  </r>
  <r>
    <x v="3"/>
    <x v="1"/>
    <s v="S12000040"/>
    <x v="27"/>
    <n v="44.25"/>
    <n v="4.25"/>
    <n v="8.25"/>
    <n v="31.75"/>
  </r>
  <r>
    <x v="3"/>
    <x v="1"/>
    <s v="S12000041"/>
    <x v="28"/>
    <n v="82"/>
    <n v="6"/>
    <n v="13.5"/>
    <n v="62.5"/>
  </r>
  <r>
    <x v="3"/>
    <x v="1"/>
    <s v="S12000042"/>
    <x v="29"/>
    <n v="9.5"/>
    <n v="0.75"/>
    <n v="2.5"/>
    <n v="6.25"/>
  </r>
  <r>
    <x v="3"/>
    <x v="1"/>
    <s v="S12000044"/>
    <x v="30"/>
    <n v="27"/>
    <n v="2.5"/>
    <n v="2.5"/>
    <n v="22"/>
  </r>
  <r>
    <x v="3"/>
    <x v="1"/>
    <s v="S12000045"/>
    <x v="31"/>
    <n v="0"/>
    <n v="0"/>
    <n v="0"/>
    <n v="0"/>
  </r>
  <r>
    <x v="3"/>
    <x v="1"/>
    <s v="S12000046"/>
    <x v="32"/>
    <n v="3.25"/>
    <n v="0"/>
    <n v="0"/>
    <n v="3.25"/>
  </r>
  <r>
    <x v="3"/>
    <x v="1"/>
    <s v="S12000047"/>
    <x v="33"/>
    <n v="93.37"/>
    <n v="9"/>
    <n v="18.93"/>
    <n v="65.44"/>
  </r>
  <r>
    <x v="4"/>
    <x v="1"/>
    <s v=""/>
    <x v="1"/>
    <n v="2545"/>
    <n v="246"/>
    <n v="499"/>
    <n v="1800"/>
  </r>
  <r>
    <x v="4"/>
    <x v="1"/>
    <s v="S12000005"/>
    <x v="2"/>
    <n v="17"/>
    <n v="2"/>
    <n v="2"/>
    <n v="13"/>
  </r>
  <r>
    <x v="4"/>
    <x v="1"/>
    <s v="S12000006"/>
    <x v="3"/>
    <n v="177"/>
    <n v="14"/>
    <n v="34"/>
    <n v="129"/>
  </r>
  <r>
    <x v="4"/>
    <x v="1"/>
    <s v="S12000008"/>
    <x v="4"/>
    <n v="69"/>
    <n v="6"/>
    <n v="9"/>
    <n v="54"/>
  </r>
  <r>
    <x v="4"/>
    <x v="1"/>
    <s v="S12000010"/>
    <x v="5"/>
    <n v="45"/>
    <n v="4"/>
    <n v="11"/>
    <n v="30"/>
  </r>
  <r>
    <x v="4"/>
    <x v="1"/>
    <s v="S12000011"/>
    <x v="6"/>
    <n v="0"/>
    <n v="0"/>
    <n v="0"/>
    <n v="0"/>
  </r>
  <r>
    <x v="4"/>
    <x v="1"/>
    <s v="S12000013"/>
    <x v="7"/>
    <n v="130"/>
    <n v="12"/>
    <n v="32"/>
    <n v="86"/>
  </r>
  <r>
    <x v="4"/>
    <x v="1"/>
    <s v="S12000014"/>
    <x v="8"/>
    <n v="39"/>
    <n v="3"/>
    <n v="7"/>
    <n v="29"/>
  </r>
  <r>
    <x v="4"/>
    <x v="1"/>
    <s v="S12000017"/>
    <x v="9"/>
    <n v="485"/>
    <n v="50"/>
    <n v="97"/>
    <n v="338"/>
  </r>
  <r>
    <x v="4"/>
    <x v="1"/>
    <s v="S12000018"/>
    <x v="10"/>
    <n v="31"/>
    <n v="2"/>
    <n v="5"/>
    <n v="24"/>
  </r>
  <r>
    <x v="4"/>
    <x v="1"/>
    <s v="S12000019"/>
    <x v="11"/>
    <n v="8"/>
    <n v="1"/>
    <n v="1"/>
    <n v="6"/>
  </r>
  <r>
    <x v="4"/>
    <x v="1"/>
    <s v="S12000020"/>
    <x v="12"/>
    <n v="112"/>
    <n v="11"/>
    <n v="22"/>
    <n v="79"/>
  </r>
  <r>
    <x v="4"/>
    <x v="1"/>
    <s v="S12000021"/>
    <x v="13"/>
    <n v="89"/>
    <n v="9"/>
    <n v="10"/>
    <n v="70"/>
  </r>
  <r>
    <x v="4"/>
    <x v="1"/>
    <s v="S12000023"/>
    <x v="14"/>
    <n v="92"/>
    <n v="11"/>
    <n v="20"/>
    <n v="61"/>
  </r>
  <r>
    <x v="4"/>
    <x v="1"/>
    <s v="S12000024"/>
    <x v="15"/>
    <n v="107"/>
    <n v="8"/>
    <n v="21"/>
    <n v="78"/>
  </r>
  <r>
    <x v="4"/>
    <x v="1"/>
    <s v="S12000026"/>
    <x v="16"/>
    <n v="118"/>
    <n v="12"/>
    <n v="23"/>
    <n v="83"/>
  </r>
  <r>
    <x v="4"/>
    <x v="1"/>
    <s v="S12000027"/>
    <x v="17"/>
    <n v="112"/>
    <n v="11"/>
    <n v="25"/>
    <n v="76"/>
  </r>
  <r>
    <x v="4"/>
    <x v="1"/>
    <s v="S12000028"/>
    <x v="18"/>
    <n v="42"/>
    <n v="5"/>
    <n v="7"/>
    <n v="30"/>
  </r>
  <r>
    <x v="4"/>
    <x v="1"/>
    <s v="S12000029"/>
    <x v="19"/>
    <n v="64"/>
    <n v="7"/>
    <n v="8"/>
    <n v="49"/>
  </r>
  <r>
    <x v="4"/>
    <x v="1"/>
    <s v="S12000030"/>
    <x v="20"/>
    <n v="63"/>
    <n v="7"/>
    <n v="15"/>
    <n v="41"/>
  </r>
  <r>
    <x v="4"/>
    <x v="1"/>
    <s v="S12000033"/>
    <x v="21"/>
    <n v="5"/>
    <n v="1"/>
    <n v="1"/>
    <n v="3"/>
  </r>
  <r>
    <x v="4"/>
    <x v="1"/>
    <s v="S12000034"/>
    <x v="22"/>
    <n v="250"/>
    <n v="24"/>
    <n v="61"/>
    <n v="165"/>
  </r>
  <r>
    <x v="4"/>
    <x v="1"/>
    <s v="S12000035"/>
    <x v="23"/>
    <n v="171"/>
    <n v="13"/>
    <n v="25"/>
    <n v="133"/>
  </r>
  <r>
    <x v="4"/>
    <x v="1"/>
    <s v="S12000036"/>
    <x v="24"/>
    <n v="9"/>
    <n v="1"/>
    <n v="1"/>
    <n v="7"/>
  </r>
  <r>
    <x v="4"/>
    <x v="1"/>
    <s v="S12000038"/>
    <x v="25"/>
    <n v="10"/>
    <n v="1"/>
    <n v="1"/>
    <n v="8"/>
  </r>
  <r>
    <x v="4"/>
    <x v="1"/>
    <s v="S12000039"/>
    <x v="26"/>
    <n v="12"/>
    <n v="0"/>
    <n v="0"/>
    <n v="12"/>
  </r>
  <r>
    <x v="4"/>
    <x v="1"/>
    <s v="S12000040"/>
    <x v="27"/>
    <n v="48"/>
    <n v="4"/>
    <n v="9"/>
    <n v="35"/>
  </r>
  <r>
    <x v="4"/>
    <x v="1"/>
    <s v="S12000041"/>
    <x v="28"/>
    <n v="78"/>
    <n v="6"/>
    <n v="14"/>
    <n v="58"/>
  </r>
  <r>
    <x v="4"/>
    <x v="1"/>
    <s v="S12000042"/>
    <x v="29"/>
    <n v="11"/>
    <n v="1"/>
    <n v="2"/>
    <n v="8"/>
  </r>
  <r>
    <x v="4"/>
    <x v="1"/>
    <s v="S12000044"/>
    <x v="30"/>
    <n v="25"/>
    <n v="3"/>
    <n v="5"/>
    <n v="17"/>
  </r>
  <r>
    <x v="4"/>
    <x v="1"/>
    <s v="S12000045"/>
    <x v="31"/>
    <n v="0"/>
    <n v="0"/>
    <n v="0"/>
    <n v="0"/>
  </r>
  <r>
    <x v="4"/>
    <x v="1"/>
    <s v="S12000046"/>
    <x v="32"/>
    <n v="0"/>
    <n v="0"/>
    <n v="0"/>
    <n v="0"/>
  </r>
  <r>
    <x v="4"/>
    <x v="1"/>
    <s v="S12000047"/>
    <x v="33"/>
    <n v="93"/>
    <n v="9"/>
    <n v="18"/>
    <n v="66"/>
  </r>
  <r>
    <x v="5"/>
    <x v="1"/>
    <s v=""/>
    <x v="1"/>
    <n v="2545"/>
    <n v="246"/>
    <n v="477"/>
    <n v="1822"/>
  </r>
  <r>
    <x v="5"/>
    <x v="1"/>
    <s v="S12000005"/>
    <x v="2"/>
    <n v="17"/>
    <n v="2"/>
    <n v="2"/>
    <n v="13"/>
  </r>
  <r>
    <x v="5"/>
    <x v="1"/>
    <s v="S12000006"/>
    <x v="3"/>
    <n v="167"/>
    <n v="14"/>
    <n v="31"/>
    <n v="122"/>
  </r>
  <r>
    <x v="5"/>
    <x v="1"/>
    <s v="S12000008"/>
    <x v="4"/>
    <n v="69"/>
    <n v="6"/>
    <n v="7"/>
    <n v="56"/>
  </r>
  <r>
    <x v="5"/>
    <x v="1"/>
    <s v="S12000010"/>
    <x v="5"/>
    <n v="48"/>
    <n v="5"/>
    <n v="9"/>
    <n v="34"/>
  </r>
  <r>
    <x v="5"/>
    <x v="1"/>
    <s v="S12000013"/>
    <x v="7"/>
    <n v="125"/>
    <n v="13"/>
    <n v="24"/>
    <n v="88"/>
  </r>
  <r>
    <x v="5"/>
    <x v="1"/>
    <s v="S12000014"/>
    <x v="8"/>
    <n v="40"/>
    <n v="4"/>
    <n v="8"/>
    <n v="28"/>
  </r>
  <r>
    <x v="5"/>
    <x v="1"/>
    <s v="S12000017"/>
    <x v="9"/>
    <n v="494"/>
    <n v="53"/>
    <n v="101"/>
    <n v="340"/>
  </r>
  <r>
    <x v="5"/>
    <x v="1"/>
    <s v="S12000018"/>
    <x v="10"/>
    <n v="34"/>
    <n v="3"/>
    <n v="5"/>
    <n v="26"/>
  </r>
  <r>
    <x v="5"/>
    <x v="1"/>
    <s v="S12000019"/>
    <x v="11"/>
    <n v="10"/>
    <n v="1"/>
    <n v="2"/>
    <n v="7"/>
  </r>
  <r>
    <x v="5"/>
    <x v="1"/>
    <s v="S12000020"/>
    <x v="12"/>
    <n v="111"/>
    <n v="11"/>
    <n v="24"/>
    <n v="76"/>
  </r>
  <r>
    <x v="5"/>
    <x v="1"/>
    <s v="S12000021"/>
    <x v="13"/>
    <n v="92"/>
    <n v="10"/>
    <n v="9"/>
    <n v="73"/>
  </r>
  <r>
    <x v="5"/>
    <x v="1"/>
    <s v="S12000023"/>
    <x v="14"/>
    <n v="99"/>
    <n v="9"/>
    <n v="22"/>
    <n v="68"/>
  </r>
  <r>
    <x v="5"/>
    <x v="1"/>
    <s v="S12000024"/>
    <x v="15"/>
    <n v="110"/>
    <n v="8"/>
    <n v="22"/>
    <n v="80"/>
  </r>
  <r>
    <x v="5"/>
    <x v="1"/>
    <s v="S12000026"/>
    <x v="16"/>
    <n v="118"/>
    <n v="12"/>
    <n v="24"/>
    <n v="82"/>
  </r>
  <r>
    <x v="5"/>
    <x v="1"/>
    <s v="S12000027"/>
    <x v="17"/>
    <n v="110"/>
    <n v="11"/>
    <n v="23"/>
    <n v="76"/>
  </r>
  <r>
    <x v="5"/>
    <x v="1"/>
    <s v="S12000028"/>
    <x v="18"/>
    <n v="44"/>
    <n v="5"/>
    <n v="5"/>
    <n v="34"/>
  </r>
  <r>
    <x v="5"/>
    <x v="1"/>
    <s v="S12000029"/>
    <x v="19"/>
    <n v="66"/>
    <n v="9"/>
    <n v="7"/>
    <n v="50"/>
  </r>
  <r>
    <x v="5"/>
    <x v="1"/>
    <s v="S12000030"/>
    <x v="20"/>
    <n v="66"/>
    <n v="8"/>
    <n v="14"/>
    <n v="44"/>
  </r>
  <r>
    <x v="5"/>
    <x v="1"/>
    <s v="S12000033"/>
    <x v="21"/>
    <n v="6"/>
    <n v="1"/>
    <n v="1"/>
    <n v="4"/>
  </r>
  <r>
    <x v="5"/>
    <x v="1"/>
    <s v="S12000034"/>
    <x v="22"/>
    <n v="248"/>
    <n v="23"/>
    <n v="63"/>
    <n v="162"/>
  </r>
  <r>
    <x v="5"/>
    <x v="1"/>
    <s v="S12000035"/>
    <x v="23"/>
    <n v="166"/>
    <n v="14"/>
    <n v="24"/>
    <n v="128"/>
  </r>
  <r>
    <x v="5"/>
    <x v="1"/>
    <s v="S12000036"/>
    <x v="24"/>
    <n v="8"/>
    <n v="1"/>
    <n v="1"/>
    <n v="6"/>
  </r>
  <r>
    <x v="5"/>
    <x v="1"/>
    <s v="S12000038"/>
    <x v="25"/>
    <n v="13"/>
    <n v="1"/>
    <n v="2"/>
    <n v="10"/>
  </r>
  <r>
    <x v="5"/>
    <x v="1"/>
    <s v="S12000039"/>
    <x v="26"/>
    <n v="16"/>
    <n v="2"/>
    <n v="2"/>
    <n v="12"/>
  </r>
  <r>
    <x v="5"/>
    <x v="1"/>
    <s v="S12000040"/>
    <x v="27"/>
    <n v="49"/>
    <n v="4"/>
    <n v="9"/>
    <n v="36"/>
  </r>
  <r>
    <x v="5"/>
    <x v="1"/>
    <s v="S12000041"/>
    <x v="28"/>
    <n v="80"/>
    <n v="6"/>
    <n v="14"/>
    <n v="60"/>
  </r>
  <r>
    <x v="5"/>
    <x v="1"/>
    <s v="S12000042"/>
    <x v="29"/>
    <n v="12"/>
    <n v="1"/>
    <n v="2"/>
    <n v="9"/>
  </r>
  <r>
    <x v="5"/>
    <x v="1"/>
    <s v="S12000044"/>
    <x v="30"/>
    <n v="28"/>
    <n v="2"/>
    <n v="5"/>
    <n v="21"/>
  </r>
  <r>
    <x v="5"/>
    <x v="1"/>
    <s v="S12000047"/>
    <x v="33"/>
    <n v="102"/>
    <n v="9"/>
    <n v="18"/>
    <n v="75"/>
  </r>
  <r>
    <x v="6"/>
    <x v="1"/>
    <m/>
    <x v="1"/>
    <n v="2583.98"/>
    <n v="241.25"/>
    <n v="478.93"/>
    <n v="1863.8"/>
  </r>
  <r>
    <x v="6"/>
    <x v="1"/>
    <s v="S12000005"/>
    <x v="2"/>
    <n v="15"/>
    <n v="1.25"/>
    <n v="2.75"/>
    <n v="11"/>
  </r>
  <r>
    <x v="6"/>
    <x v="1"/>
    <s v="S12000006"/>
    <x v="3"/>
    <n v="173.25"/>
    <n v="15.25"/>
    <n v="31"/>
    <n v="127"/>
  </r>
  <r>
    <x v="6"/>
    <x v="1"/>
    <s v="S12000008"/>
    <x v="4"/>
    <n v="62"/>
    <n v="4.5"/>
    <n v="8.25"/>
    <n v="49.25"/>
  </r>
  <r>
    <x v="6"/>
    <x v="1"/>
    <s v="S12000010"/>
    <x v="5"/>
    <n v="51"/>
    <n v="4"/>
    <n v="10.5"/>
    <n v="36.5"/>
  </r>
  <r>
    <x v="6"/>
    <x v="1"/>
    <s v="S12000013"/>
    <x v="7"/>
    <n v="126.75"/>
    <n v="12.5"/>
    <n v="24.25"/>
    <n v="90"/>
  </r>
  <r>
    <x v="6"/>
    <x v="1"/>
    <s v="S12000014"/>
    <x v="8"/>
    <n v="41"/>
    <n v="4"/>
    <n v="7.75"/>
    <n v="29.25"/>
  </r>
  <r>
    <x v="6"/>
    <x v="1"/>
    <s v="S12000017"/>
    <x v="9"/>
    <n v="503"/>
    <n v="53.5"/>
    <n v="96.25"/>
    <n v="353.25"/>
  </r>
  <r>
    <x v="6"/>
    <x v="1"/>
    <s v="S12000018"/>
    <x v="10"/>
    <n v="36.5"/>
    <n v="2.75"/>
    <n v="4.75"/>
    <n v="29"/>
  </r>
  <r>
    <x v="6"/>
    <x v="1"/>
    <s v="S12000019"/>
    <x v="11"/>
    <n v="11"/>
    <n v="1"/>
    <n v="2.5"/>
    <n v="7.5"/>
  </r>
  <r>
    <x v="6"/>
    <x v="1"/>
    <s v="S12000020"/>
    <x v="12"/>
    <n v="109.25"/>
    <n v="10.25"/>
    <n v="24.25"/>
    <n v="74.75"/>
  </r>
  <r>
    <x v="6"/>
    <x v="1"/>
    <s v="S12000021"/>
    <x v="13"/>
    <n v="90.75"/>
    <n v="10.75"/>
    <n v="9.5"/>
    <n v="70.5"/>
  </r>
  <r>
    <x v="6"/>
    <x v="1"/>
    <s v="S12000023"/>
    <x v="14"/>
    <n v="106.5"/>
    <n v="8.5"/>
    <n v="23"/>
    <n v="75"/>
  </r>
  <r>
    <x v="6"/>
    <x v="1"/>
    <s v="S12000026"/>
    <x v="16"/>
    <n v="117.75"/>
    <n v="11"/>
    <n v="24.75"/>
    <n v="82"/>
  </r>
  <r>
    <x v="6"/>
    <x v="1"/>
    <s v="S12000027"/>
    <x v="17"/>
    <n v="118.25"/>
    <n v="11.75"/>
    <n v="23.75"/>
    <n v="82.75"/>
  </r>
  <r>
    <x v="6"/>
    <x v="1"/>
    <s v="S12000028"/>
    <x v="18"/>
    <n v="50.75"/>
    <n v="5"/>
    <n v="6.25"/>
    <n v="39.5"/>
  </r>
  <r>
    <x v="6"/>
    <x v="1"/>
    <s v="S12000029"/>
    <x v="19"/>
    <n v="65.25"/>
    <n v="7.25"/>
    <n v="7.25"/>
    <n v="50.75"/>
  </r>
  <r>
    <x v="6"/>
    <x v="1"/>
    <s v="S12000030"/>
    <x v="20"/>
    <n v="66.5"/>
    <n v="7.5"/>
    <n v="14.25"/>
    <n v="44.75"/>
  </r>
  <r>
    <x v="6"/>
    <x v="1"/>
    <s v="S12000033"/>
    <x v="21"/>
    <n v="6.75"/>
    <n v="1"/>
    <n v="2.5"/>
    <n v="3.25"/>
  </r>
  <r>
    <x v="6"/>
    <x v="1"/>
    <s v="S12000034"/>
    <x v="22"/>
    <n v="255.25"/>
    <n v="22.5"/>
    <n v="62.5"/>
    <n v="170.25"/>
  </r>
  <r>
    <x v="6"/>
    <x v="1"/>
    <s v="S12000035"/>
    <x v="23"/>
    <n v="163.75"/>
    <n v="13.25"/>
    <n v="23"/>
    <n v="127.5"/>
  </r>
  <r>
    <x v="6"/>
    <x v="1"/>
    <s v="S12000036"/>
    <x v="24"/>
    <m/>
    <m/>
    <n v="1.25"/>
    <n v="4.25"/>
  </r>
  <r>
    <x v="6"/>
    <x v="1"/>
    <s v="S12000038"/>
    <x v="25"/>
    <n v="12.25"/>
    <n v="0.75"/>
    <n v="1.5"/>
    <n v="10"/>
  </r>
  <r>
    <x v="6"/>
    <x v="1"/>
    <s v="S12000039"/>
    <x v="26"/>
    <n v="17.5"/>
    <n v="1.75"/>
    <n v="1.5"/>
    <n v="14.25"/>
  </r>
  <r>
    <x v="6"/>
    <x v="1"/>
    <s v="S12000040"/>
    <x v="27"/>
    <n v="45.25"/>
    <n v="3.75"/>
    <n v="8.75"/>
    <n v="32.75"/>
  </r>
  <r>
    <x v="6"/>
    <x v="1"/>
    <s v="S12000041"/>
    <x v="28"/>
    <n v="84"/>
    <n v="6"/>
    <n v="12.5"/>
    <n v="65.5"/>
  </r>
  <r>
    <x v="6"/>
    <x v="1"/>
    <s v="S12000042"/>
    <x v="29"/>
    <n v="10.25"/>
    <n v="1"/>
    <n v="1.5"/>
    <n v="7.75"/>
  </r>
  <r>
    <x v="6"/>
    <x v="1"/>
    <s v="S12000044"/>
    <x v="30"/>
    <n v="25.5"/>
    <n v="2.5"/>
    <n v="4.75"/>
    <n v="18.25"/>
  </r>
  <r>
    <x v="6"/>
    <x v="1"/>
    <s v="S12000047"/>
    <x v="33"/>
    <n v="101.48"/>
    <n v="8.75"/>
    <n v="17.929999999999996"/>
    <n v="74.800000000000011"/>
  </r>
  <r>
    <x v="6"/>
    <x v="1"/>
    <s v="S12000048"/>
    <x v="15"/>
    <n v="112"/>
    <n v="9.25"/>
    <n v="20.25"/>
    <n v="82.5"/>
  </r>
  <r>
    <x v="7"/>
    <x v="1"/>
    <m/>
    <x v="1"/>
    <n v="2551.73"/>
    <n v="236.5"/>
    <n v="459.93"/>
    <n v="1855.3"/>
  </r>
  <r>
    <x v="7"/>
    <x v="1"/>
    <s v="S40000003"/>
    <x v="23"/>
    <n v="160.5"/>
    <n v="11.75"/>
    <n v="22.25"/>
    <n v="126.5"/>
  </r>
  <r>
    <x v="7"/>
    <x v="1"/>
    <s v="S40000003"/>
    <x v="3"/>
    <n v="163"/>
    <n v="14.25"/>
    <n v="29.75"/>
    <n v="119"/>
  </r>
  <r>
    <x v="7"/>
    <x v="1"/>
    <s v="S40000003"/>
    <x v="4"/>
    <n v="64"/>
    <n v="6"/>
    <n v="6.75"/>
    <n v="51.25"/>
  </r>
  <r>
    <x v="7"/>
    <x v="1"/>
    <s v="S40000003"/>
    <x v="10"/>
    <n v="34.5"/>
    <n v="2.75"/>
    <n v="4.75"/>
    <n v="27"/>
  </r>
  <r>
    <x v="7"/>
    <x v="1"/>
    <s v="S40000003"/>
    <x v="13"/>
    <n v="88.25"/>
    <n v="10.5"/>
    <n v="9.5"/>
    <n v="68.25"/>
  </r>
  <r>
    <x v="7"/>
    <x v="1"/>
    <s v="S40000003"/>
    <x v="30"/>
    <n v="27"/>
    <n v="2.5"/>
    <n v="3.75"/>
    <n v="20.75"/>
  </r>
  <r>
    <x v="7"/>
    <x v="1"/>
    <s v="S40000003"/>
    <x v="25"/>
    <n v="11"/>
    <n v="0.75"/>
    <n v="1.5"/>
    <n v="8.75"/>
  </r>
  <r>
    <x v="7"/>
    <x v="1"/>
    <s v="S40000003"/>
    <x v="18"/>
    <n v="46.5"/>
    <n v="4.5"/>
    <n v="6.5"/>
    <n v="35.5"/>
  </r>
  <r>
    <x v="7"/>
    <x v="1"/>
    <s v="S40000003"/>
    <x v="19"/>
    <n v="70.25"/>
    <n v="6.5"/>
    <n v="7.25"/>
    <n v="56.5"/>
  </r>
  <r>
    <x v="7"/>
    <x v="1"/>
    <s v="S40000003"/>
    <x v="26"/>
    <n v="16.25"/>
    <n v="1.5"/>
    <n v="1.5"/>
    <n v="13.25"/>
  </r>
  <r>
    <x v="7"/>
    <x v="1"/>
    <s v="S40000004"/>
    <x v="24"/>
    <n v="4.75"/>
    <n v="0.75"/>
    <n v="1"/>
    <n v="3"/>
  </r>
  <r>
    <x v="7"/>
    <x v="1"/>
    <s v="S40000004"/>
    <x v="2"/>
    <n v="19"/>
    <n v="2.25"/>
    <n v="3.5"/>
    <n v="13.25"/>
  </r>
  <r>
    <x v="7"/>
    <x v="1"/>
    <s v="S40000004"/>
    <x v="5"/>
    <n v="52.25"/>
    <n v="4"/>
    <n v="10.25"/>
    <n v="38"/>
  </r>
  <r>
    <x v="7"/>
    <x v="1"/>
    <s v="S40000004"/>
    <x v="8"/>
    <n v="42.5"/>
    <n v="3"/>
    <n v="7.5"/>
    <n v="32"/>
  </r>
  <r>
    <x v="7"/>
    <x v="1"/>
    <s v="S40000004"/>
    <x v="33"/>
    <n v="97.23"/>
    <n v="8.75"/>
    <n v="17.179999999999996"/>
    <n v="71.300000000000011"/>
  </r>
  <r>
    <x v="7"/>
    <x v="1"/>
    <s v="S40000004"/>
    <x v="11"/>
    <n v="10.5"/>
    <n v="1"/>
    <n v="1.5"/>
    <n v="8"/>
  </r>
  <r>
    <x v="7"/>
    <x v="1"/>
    <s v="S40000004"/>
    <x v="16"/>
    <n v="120.75"/>
    <n v="10.75"/>
    <n v="24.75"/>
    <n v="85.25"/>
  </r>
  <r>
    <x v="7"/>
    <x v="1"/>
    <s v="S40000004"/>
    <x v="20"/>
    <n v="65"/>
    <n v="8.25"/>
    <n v="12.75"/>
    <n v="44"/>
  </r>
  <r>
    <x v="7"/>
    <x v="1"/>
    <s v="S40000004"/>
    <x v="27"/>
    <n v="49.75"/>
    <n v="4.75"/>
    <n v="8.25"/>
    <n v="36.75"/>
  </r>
  <r>
    <x v="7"/>
    <x v="1"/>
    <s v="S40000005"/>
    <x v="21"/>
    <n v="6.5"/>
    <n v="1"/>
    <n v="2.5"/>
    <n v="3"/>
  </r>
  <r>
    <x v="7"/>
    <x v="1"/>
    <s v="S40000005"/>
    <x v="22"/>
    <n v="252.5"/>
    <n v="22.5"/>
    <n v="58"/>
    <n v="172"/>
  </r>
  <r>
    <x v="7"/>
    <x v="1"/>
    <s v="S40000005"/>
    <x v="28"/>
    <n v="86.5"/>
    <n v="6"/>
    <n v="13.75"/>
    <n v="66.75"/>
  </r>
  <r>
    <x v="7"/>
    <x v="1"/>
    <s v="S40000005"/>
    <x v="29"/>
    <n v="10.25"/>
    <n v="1"/>
    <n v="1.5"/>
    <n v="7.75"/>
  </r>
  <r>
    <x v="7"/>
    <x v="1"/>
    <s v="S40000005"/>
    <x v="9"/>
    <n v="476.75"/>
    <n v="49.5"/>
    <n v="87"/>
    <n v="340.25"/>
  </r>
  <r>
    <x v="7"/>
    <x v="1"/>
    <s v="S40000005"/>
    <x v="12"/>
    <n v="109"/>
    <n v="9.75"/>
    <n v="23.75"/>
    <n v="75.5"/>
  </r>
  <r>
    <x v="7"/>
    <x v="1"/>
    <s v="S40000005"/>
    <x v="7"/>
    <n v="127.75"/>
    <n v="13.5"/>
    <n v="28.75"/>
    <n v="85.5"/>
  </r>
  <r>
    <x v="7"/>
    <x v="1"/>
    <s v="S40000005"/>
    <x v="14"/>
    <n v="106.25"/>
    <n v="8.75"/>
    <n v="22"/>
    <n v="75.5"/>
  </r>
  <r>
    <x v="7"/>
    <x v="1"/>
    <s v="S40000005"/>
    <x v="15"/>
    <n v="112.25"/>
    <n v="9.25"/>
    <n v="19.75"/>
    <n v="83.25"/>
  </r>
  <r>
    <x v="7"/>
    <x v="1"/>
    <s v="S40000005"/>
    <x v="17"/>
    <n v="121"/>
    <n v="10.75"/>
    <n v="22.75"/>
    <n v="87.5"/>
  </r>
  <r>
    <x v="8"/>
    <x v="1"/>
    <m/>
    <x v="1"/>
    <n v="2482.48"/>
    <n v="236"/>
    <n v="461.93"/>
    <n v="1784.55"/>
  </r>
  <r>
    <x v="8"/>
    <x v="1"/>
    <s v="S40000002"/>
    <x v="2"/>
    <n v="20.25"/>
    <n v="1.5"/>
    <n v="2.75"/>
    <n v="16"/>
  </r>
  <r>
    <x v="8"/>
    <x v="1"/>
    <s v="S40000002"/>
    <x v="33"/>
    <n v="92.22999999999999"/>
    <n v="7.75"/>
    <n v="18.429999999999996"/>
    <n v="66.05"/>
  </r>
  <r>
    <x v="8"/>
    <x v="1"/>
    <s v="S40000002"/>
    <x v="20"/>
    <n v="64"/>
    <n v="7.75"/>
    <n v="13"/>
    <n v="43.25"/>
  </r>
  <r>
    <x v="8"/>
    <x v="1"/>
    <s v="S40000003"/>
    <x v="23"/>
    <n v="156"/>
    <n v="13"/>
    <n v="23.25"/>
    <n v="119.75"/>
  </r>
  <r>
    <x v="8"/>
    <x v="1"/>
    <s v="S40000003"/>
    <x v="3"/>
    <n v="159"/>
    <n v="14.25"/>
    <n v="31"/>
    <n v="113.75"/>
  </r>
  <r>
    <x v="8"/>
    <x v="1"/>
    <s v="S40000003"/>
    <x v="4"/>
    <n v="63.5"/>
    <n v="6"/>
    <n v="6.75"/>
    <n v="50.75"/>
  </r>
  <r>
    <x v="8"/>
    <x v="1"/>
    <s v="S40000003"/>
    <x v="10"/>
    <n v="35.75"/>
    <n v="2.25"/>
    <n v="4.75"/>
    <n v="28.75"/>
  </r>
  <r>
    <x v="8"/>
    <x v="1"/>
    <s v="S40000003"/>
    <x v="13"/>
    <n v="85"/>
    <n v="9.75"/>
    <n v="9.5"/>
    <n v="65.75"/>
  </r>
  <r>
    <x v="8"/>
    <x v="1"/>
    <s v="S40000003"/>
    <x v="30"/>
    <n v="27.25"/>
    <n v="2"/>
    <n v="4.5"/>
    <n v="20.75"/>
  </r>
  <r>
    <x v="8"/>
    <x v="1"/>
    <s v="S40000003"/>
    <x v="25"/>
    <n v="9.5"/>
    <n v="1.5"/>
    <n v="0.75"/>
    <n v="7.25"/>
  </r>
  <r>
    <x v="8"/>
    <x v="1"/>
    <s v="S40000003"/>
    <x v="18"/>
    <n v="43"/>
    <n v="3.5"/>
    <n v="5.75"/>
    <n v="33.75"/>
  </r>
  <r>
    <x v="8"/>
    <x v="1"/>
    <s v="S40000003"/>
    <x v="19"/>
    <n v="67"/>
    <n v="8.75"/>
    <n v="5.75"/>
    <n v="52.5"/>
  </r>
  <r>
    <x v="8"/>
    <x v="1"/>
    <s v="S40000003"/>
    <x v="26"/>
    <n v="18"/>
    <n v="1.5"/>
    <n v="1.5"/>
    <n v="15"/>
  </r>
  <r>
    <x v="8"/>
    <x v="1"/>
    <s v="S40000004"/>
    <x v="24"/>
    <n v="4.75"/>
    <n v="0.5"/>
    <n v="0.5"/>
    <n v="3.75"/>
  </r>
  <r>
    <x v="8"/>
    <x v="1"/>
    <s v="S40000004"/>
    <x v="5"/>
    <n v="50.75"/>
    <n v="4.25"/>
    <n v="10"/>
    <n v="36.5"/>
  </r>
  <r>
    <x v="8"/>
    <x v="1"/>
    <s v="S40000004"/>
    <x v="8"/>
    <n v="42"/>
    <n v="3.75"/>
    <n v="6.75"/>
    <n v="31.5"/>
  </r>
  <r>
    <x v="8"/>
    <x v="1"/>
    <s v="S40000004"/>
    <x v="11"/>
    <n v="9"/>
    <n v="1"/>
    <n v="1.5"/>
    <n v="6.5"/>
  </r>
  <r>
    <x v="8"/>
    <x v="1"/>
    <s v="S40000004"/>
    <x v="16"/>
    <n v="121.75"/>
    <n v="10.25"/>
    <n v="26.5"/>
    <n v="85"/>
  </r>
  <r>
    <x v="8"/>
    <x v="1"/>
    <s v="S40000004"/>
    <x v="27"/>
    <n v="44.75"/>
    <n v="5"/>
    <n v="7.25"/>
    <n v="32.5"/>
  </r>
  <r>
    <x v="8"/>
    <x v="1"/>
    <s v="S40000005"/>
    <x v="21"/>
    <n v="8.5"/>
    <n v="1"/>
    <n v="2.5"/>
    <n v="5"/>
  </r>
  <r>
    <x v="8"/>
    <x v="1"/>
    <s v="S40000005"/>
    <x v="22"/>
    <n v="251.75"/>
    <n v="22.75"/>
    <n v="60.25"/>
    <n v="168.75"/>
  </r>
  <r>
    <x v="8"/>
    <x v="1"/>
    <s v="S40000005"/>
    <x v="28"/>
    <n v="87.25"/>
    <n v="7"/>
    <n v="14"/>
    <n v="66.25"/>
  </r>
  <r>
    <x v="8"/>
    <x v="1"/>
    <s v="S40000005"/>
    <x v="29"/>
    <n v="9.5"/>
    <n v="1"/>
    <n v="1.5"/>
    <n v="7"/>
  </r>
  <r>
    <x v="8"/>
    <x v="1"/>
    <s v="S40000005"/>
    <x v="9"/>
    <n v="449.5"/>
    <n v="48.25"/>
    <n v="89.75"/>
    <n v="311.5"/>
  </r>
  <r>
    <x v="8"/>
    <x v="1"/>
    <s v="S40000005"/>
    <x v="12"/>
    <n v="102.25"/>
    <n v="9.75"/>
    <n v="23.5"/>
    <n v="69"/>
  </r>
  <r>
    <x v="8"/>
    <x v="1"/>
    <s v="S40000005"/>
    <x v="7"/>
    <n v="123.75"/>
    <n v="14"/>
    <n v="26.25"/>
    <n v="83.5"/>
  </r>
  <r>
    <x v="8"/>
    <x v="1"/>
    <s v="S40000005"/>
    <x v="14"/>
    <n v="108.75"/>
    <n v="7.25"/>
    <n v="21"/>
    <n v="80.5"/>
  </r>
  <r>
    <x v="8"/>
    <x v="1"/>
    <s v="S40000005"/>
    <x v="15"/>
    <n v="110.25"/>
    <n v="9.25"/>
    <n v="19.25"/>
    <n v="81.75"/>
  </r>
  <r>
    <x v="8"/>
    <x v="1"/>
    <s v="S40000005"/>
    <x v="17"/>
    <n v="117.5"/>
    <n v="11.5"/>
    <n v="23.75"/>
    <n v="82.25"/>
  </r>
  <r>
    <x v="9"/>
    <x v="1"/>
    <m/>
    <x v="21"/>
    <n v="9"/>
    <n v="1"/>
    <n v="2.25"/>
    <n v="5.75"/>
  </r>
  <r>
    <x v="9"/>
    <x v="1"/>
    <m/>
    <x v="22"/>
    <n v="250.25"/>
    <n v="23"/>
    <n v="58.75"/>
    <n v="168.5"/>
  </r>
  <r>
    <x v="9"/>
    <x v="1"/>
    <m/>
    <x v="1"/>
    <n v="2375.48"/>
    <n v="235.85"/>
    <n v="461.29"/>
    <n v="1678.3400000000001"/>
  </r>
  <r>
    <x v="9"/>
    <x v="1"/>
    <m/>
    <x v="28"/>
    <n v="80.25"/>
    <n v="7"/>
    <n v="14.5"/>
    <n v="58.75"/>
  </r>
  <r>
    <x v="9"/>
    <x v="1"/>
    <m/>
    <x v="23"/>
    <n v="158.5"/>
    <n v="13"/>
    <n v="23.75"/>
    <n v="121.75"/>
  </r>
  <r>
    <x v="9"/>
    <x v="1"/>
    <m/>
    <x v="24"/>
    <n v="4.25"/>
    <n v="0.5"/>
    <n v="0.5"/>
    <n v="3.25"/>
  </r>
  <r>
    <x v="9"/>
    <x v="1"/>
    <m/>
    <x v="2"/>
    <n v="19"/>
    <n v="1.5"/>
    <n v="2.75"/>
    <n v="14.75"/>
  </r>
  <r>
    <x v="9"/>
    <x v="1"/>
    <m/>
    <x v="3"/>
    <n v="162"/>
    <n v="15.25"/>
    <n v="29.25"/>
    <n v="117.5"/>
  </r>
  <r>
    <x v="9"/>
    <x v="1"/>
    <m/>
    <x v="29"/>
    <n v="10.75"/>
    <n v="1"/>
    <n v="1.5"/>
    <n v="8.25"/>
  </r>
  <r>
    <x v="9"/>
    <x v="1"/>
    <m/>
    <x v="4"/>
    <n v="61.5"/>
    <n v="6"/>
    <n v="6.5"/>
    <n v="49"/>
  </r>
  <r>
    <x v="9"/>
    <x v="1"/>
    <m/>
    <x v="5"/>
    <n v="46"/>
    <n v="4.25"/>
    <n v="10.75"/>
    <n v="31"/>
  </r>
  <r>
    <x v="9"/>
    <x v="1"/>
    <m/>
    <x v="8"/>
    <n v="37.5"/>
    <n v="3.75"/>
    <n v="6.75"/>
    <n v="27"/>
  </r>
  <r>
    <x v="9"/>
    <x v="1"/>
    <m/>
    <x v="33"/>
    <n v="87.72999999999999"/>
    <n v="7.6"/>
    <n v="17.79"/>
    <n v="62.339999999999996"/>
  </r>
  <r>
    <x v="9"/>
    <x v="1"/>
    <m/>
    <x v="9"/>
    <n v="428.75"/>
    <n v="46.25"/>
    <n v="88.75"/>
    <n v="293.75"/>
  </r>
  <r>
    <x v="9"/>
    <x v="1"/>
    <m/>
    <x v="10"/>
    <n v="31.25"/>
    <n v="2.5"/>
    <n v="5.5"/>
    <n v="23.25"/>
  </r>
  <r>
    <x v="9"/>
    <x v="1"/>
    <m/>
    <x v="11"/>
    <n v="8.5"/>
    <n v="1"/>
    <n v="1.5"/>
    <n v="6"/>
  </r>
  <r>
    <x v="9"/>
    <x v="1"/>
    <m/>
    <x v="12"/>
    <n v="101.25"/>
    <n v="9.75"/>
    <n v="23.25"/>
    <n v="68.25"/>
  </r>
  <r>
    <x v="9"/>
    <x v="1"/>
    <m/>
    <x v="7"/>
    <n v="113"/>
    <n v="13.25"/>
    <n v="27.25"/>
    <n v="72.5"/>
  </r>
  <r>
    <x v="9"/>
    <x v="1"/>
    <m/>
    <x v="13"/>
    <n v="81.5"/>
    <n v="9.75"/>
    <n v="10.25"/>
    <n v="61.5"/>
  </r>
  <r>
    <x v="9"/>
    <x v="1"/>
    <m/>
    <x v="30"/>
    <n v="21.25"/>
    <n v="2.5"/>
    <n v="4.5"/>
    <n v="14.25"/>
  </r>
  <r>
    <x v="9"/>
    <x v="1"/>
    <m/>
    <x v="14"/>
    <n v="110.75"/>
    <n v="11.5"/>
    <n v="18"/>
    <n v="81.25"/>
  </r>
  <r>
    <x v="9"/>
    <x v="1"/>
    <m/>
    <x v="15"/>
    <n v="99.5"/>
    <n v="8.25"/>
    <n v="19"/>
    <n v="72.25"/>
  </r>
  <r>
    <x v="9"/>
    <x v="1"/>
    <m/>
    <x v="25"/>
    <n v="9.75"/>
    <n v="0.75"/>
    <n v="1.5"/>
    <n v="7.5"/>
  </r>
  <r>
    <x v="9"/>
    <x v="1"/>
    <m/>
    <x v="16"/>
    <n v="112.5"/>
    <n v="10.75"/>
    <n v="23.75"/>
    <n v="78"/>
  </r>
  <r>
    <x v="9"/>
    <x v="1"/>
    <m/>
    <x v="17"/>
    <n v="118.25"/>
    <n v="11"/>
    <n v="24.5"/>
    <n v="82.75"/>
  </r>
  <r>
    <x v="9"/>
    <x v="1"/>
    <m/>
    <x v="18"/>
    <n v="36.75"/>
    <n v="4.75"/>
    <n v="5"/>
    <n v="27"/>
  </r>
  <r>
    <x v="9"/>
    <x v="1"/>
    <m/>
    <x v="19"/>
    <n v="56.5"/>
    <n v="7"/>
    <n v="10.5"/>
    <n v="39"/>
  </r>
  <r>
    <x v="9"/>
    <x v="1"/>
    <m/>
    <x v="20"/>
    <n v="58.25"/>
    <n v="7"/>
    <n v="13"/>
    <n v="38.25"/>
  </r>
  <r>
    <x v="9"/>
    <x v="1"/>
    <m/>
    <x v="26"/>
    <n v="17"/>
    <n v="1.5"/>
    <n v="1.5"/>
    <n v="14"/>
  </r>
  <r>
    <x v="9"/>
    <x v="1"/>
    <m/>
    <x v="27"/>
    <n v="44"/>
    <n v="4.5"/>
    <n v="8.5"/>
    <n v="31"/>
  </r>
  <r>
    <x v="10"/>
    <x v="1"/>
    <m/>
    <x v="21"/>
    <n v="8.25"/>
    <n v="1"/>
    <n v="1.5"/>
    <n v="5.75"/>
  </r>
  <r>
    <x v="10"/>
    <x v="1"/>
    <m/>
    <x v="22"/>
    <n v="242.25"/>
    <n v="20.5"/>
    <n v="59.25"/>
    <n v="162.5"/>
  </r>
  <r>
    <x v="10"/>
    <x v="1"/>
    <m/>
    <x v="1"/>
    <n v="2333.12"/>
    <n v="231.8"/>
    <n v="453.13"/>
    <n v="1648.19"/>
  </r>
  <r>
    <x v="10"/>
    <x v="1"/>
    <m/>
    <x v="28"/>
    <n v="78.25"/>
    <n v="6.75"/>
    <n v="14"/>
    <n v="57.5"/>
  </r>
  <r>
    <x v="10"/>
    <x v="1"/>
    <m/>
    <x v="23"/>
    <n v="153.25"/>
    <n v="13"/>
    <n v="22.5"/>
    <n v="117.75"/>
  </r>
  <r>
    <x v="10"/>
    <x v="1"/>
    <m/>
    <x v="24"/>
    <n v="5"/>
    <n v="0.5"/>
    <n v="0.5"/>
    <n v="4"/>
  </r>
  <r>
    <x v="10"/>
    <x v="1"/>
    <m/>
    <x v="2"/>
    <n v="18.75"/>
    <n v="1.5"/>
    <n v="3.75"/>
    <n v="13.5"/>
  </r>
  <r>
    <x v="10"/>
    <x v="1"/>
    <m/>
    <x v="3"/>
    <n v="162"/>
    <n v="14.5"/>
    <n v="28.5"/>
    <n v="119"/>
  </r>
  <r>
    <x v="10"/>
    <x v="1"/>
    <m/>
    <x v="29"/>
    <n v="10.25"/>
    <n v="1"/>
    <n v="1.5"/>
    <n v="7.75"/>
  </r>
  <r>
    <x v="10"/>
    <x v="1"/>
    <m/>
    <x v="4"/>
    <n v="56.75"/>
    <n v="6"/>
    <n v="8"/>
    <n v="42.75"/>
  </r>
  <r>
    <x v="10"/>
    <x v="1"/>
    <m/>
    <x v="5"/>
    <n v="41"/>
    <n v="4"/>
    <n v="9.25"/>
    <n v="27.75"/>
  </r>
  <r>
    <x v="10"/>
    <x v="1"/>
    <m/>
    <x v="8"/>
    <n v="39.25"/>
    <n v="3.75"/>
    <n v="7.25"/>
    <n v="28.25"/>
  </r>
  <r>
    <x v="10"/>
    <x v="1"/>
    <m/>
    <x v="33"/>
    <n v="88.62"/>
    <n v="8.5499999999999989"/>
    <n v="17.63"/>
    <n v="62.44"/>
  </r>
  <r>
    <x v="10"/>
    <x v="1"/>
    <m/>
    <x v="9"/>
    <n v="409"/>
    <n v="44.5"/>
    <n v="84.25"/>
    <n v="280.25"/>
  </r>
  <r>
    <x v="10"/>
    <x v="1"/>
    <m/>
    <x v="10"/>
    <n v="29.25"/>
    <n v="2.5"/>
    <n v="5.5"/>
    <n v="21.25"/>
  </r>
  <r>
    <x v="10"/>
    <x v="1"/>
    <m/>
    <x v="11"/>
    <n v="8.5"/>
    <n v="1"/>
    <n v="1.5"/>
    <n v="6"/>
  </r>
  <r>
    <x v="10"/>
    <x v="1"/>
    <m/>
    <x v="12"/>
    <n v="97.25"/>
    <n v="9.75"/>
    <n v="25.5"/>
    <n v="62"/>
  </r>
  <r>
    <x v="10"/>
    <x v="1"/>
    <m/>
    <x v="7"/>
    <n v="122"/>
    <n v="13.25"/>
    <n v="24.75"/>
    <n v="84"/>
  </r>
  <r>
    <x v="10"/>
    <x v="1"/>
    <m/>
    <x v="13"/>
    <n v="80.75"/>
    <n v="8.5"/>
    <n v="10.75"/>
    <n v="61.5"/>
  </r>
  <r>
    <x v="10"/>
    <x v="1"/>
    <m/>
    <x v="30"/>
    <n v="21.5"/>
    <n v="2.25"/>
    <n v="4.75"/>
    <n v="14.5"/>
  </r>
  <r>
    <x v="10"/>
    <x v="1"/>
    <m/>
    <x v="14"/>
    <n v="110.75"/>
    <n v="11.25"/>
    <n v="20"/>
    <n v="79.5"/>
  </r>
  <r>
    <x v="10"/>
    <x v="1"/>
    <m/>
    <x v="15"/>
    <n v="103.5"/>
    <n v="8.25"/>
    <n v="19.5"/>
    <n v="75.75"/>
  </r>
  <r>
    <x v="10"/>
    <x v="1"/>
    <m/>
    <x v="25"/>
    <n v="10.75"/>
    <n v="0.75"/>
    <n v="1.5"/>
    <n v="8.5"/>
  </r>
  <r>
    <x v="10"/>
    <x v="1"/>
    <m/>
    <x v="16"/>
    <n v="124.5"/>
    <n v="11"/>
    <n v="23.75"/>
    <n v="89.75"/>
  </r>
  <r>
    <x v="10"/>
    <x v="1"/>
    <m/>
    <x v="17"/>
    <n v="109.75"/>
    <n v="13"/>
    <n v="23"/>
    <n v="73.75"/>
  </r>
  <r>
    <x v="10"/>
    <x v="1"/>
    <m/>
    <x v="18"/>
    <n v="36"/>
    <n v="4.25"/>
    <n v="5.25"/>
    <n v="26.5"/>
  </r>
  <r>
    <x v="10"/>
    <x v="1"/>
    <m/>
    <x v="19"/>
    <n v="53.25"/>
    <n v="7.5"/>
    <n v="10.25"/>
    <n v="35.5"/>
  </r>
  <r>
    <x v="10"/>
    <x v="1"/>
    <m/>
    <x v="20"/>
    <n v="56.5"/>
    <n v="6"/>
    <n v="11"/>
    <n v="39.5"/>
  </r>
  <r>
    <x v="10"/>
    <x v="1"/>
    <m/>
    <x v="26"/>
    <n v="15"/>
    <n v="1.5"/>
    <n v="1.5"/>
    <n v="12"/>
  </r>
  <r>
    <x v="10"/>
    <x v="1"/>
    <m/>
    <x v="27"/>
    <n v="41.25"/>
    <n v="5.5"/>
    <n v="6.75"/>
    <n v="29"/>
  </r>
  <r>
    <x v="11"/>
    <x v="1"/>
    <m/>
    <x v="21"/>
    <n v="8"/>
    <n v="1"/>
    <n v="3"/>
    <n v="4"/>
  </r>
  <r>
    <x v="11"/>
    <x v="1"/>
    <m/>
    <x v="22"/>
    <n v="230.75"/>
    <n v="19.25"/>
    <n v="57.5"/>
    <n v="154"/>
  </r>
  <r>
    <x v="11"/>
    <x v="1"/>
    <m/>
    <x v="1"/>
    <n v="2289.7700000000004"/>
    <n v="222.3"/>
    <n v="452.13"/>
    <n v="1615.3400000000001"/>
  </r>
  <r>
    <x v="11"/>
    <x v="1"/>
    <m/>
    <x v="28"/>
    <n v="81.25"/>
    <n v="5.75"/>
    <n v="14.75"/>
    <n v="60.75"/>
  </r>
  <r>
    <x v="11"/>
    <x v="1"/>
    <m/>
    <x v="23"/>
    <n v="157.5"/>
    <n v="13.75"/>
    <n v="21"/>
    <n v="122.75"/>
  </r>
  <r>
    <x v="11"/>
    <x v="1"/>
    <m/>
    <x v="24"/>
    <n v="5.25"/>
    <n v="0.5"/>
    <n v="1"/>
    <n v="3.75"/>
  </r>
  <r>
    <x v="11"/>
    <x v="1"/>
    <m/>
    <x v="2"/>
    <n v="17.25"/>
    <n v="1.5"/>
    <n v="3"/>
    <n v="12.75"/>
  </r>
  <r>
    <x v="11"/>
    <x v="1"/>
    <m/>
    <x v="3"/>
    <n v="149.25"/>
    <n v="13.75"/>
    <n v="27.75"/>
    <n v="107.75"/>
  </r>
  <r>
    <x v="11"/>
    <x v="1"/>
    <m/>
    <x v="29"/>
    <n v="11.75"/>
    <n v="1"/>
    <n v="1.5"/>
    <n v="9.25"/>
  </r>
  <r>
    <x v="11"/>
    <x v="1"/>
    <m/>
    <x v="4"/>
    <n v="55.5"/>
    <n v="5"/>
    <n v="9.5"/>
    <n v="41"/>
  </r>
  <r>
    <x v="11"/>
    <x v="1"/>
    <m/>
    <x v="5"/>
    <n v="44"/>
    <n v="4"/>
    <n v="9.75"/>
    <n v="30.25"/>
  </r>
  <r>
    <x v="11"/>
    <x v="1"/>
    <m/>
    <x v="8"/>
    <n v="46"/>
    <n v="3.75"/>
    <n v="7.25"/>
    <n v="35"/>
  </r>
  <r>
    <x v="11"/>
    <x v="1"/>
    <m/>
    <x v="33"/>
    <n v="86.27000000000001"/>
    <n v="7.55"/>
    <n v="17.63"/>
    <n v="61.09"/>
  </r>
  <r>
    <x v="11"/>
    <x v="1"/>
    <m/>
    <x v="9"/>
    <n v="404"/>
    <n v="40.25"/>
    <n v="82.75"/>
    <n v="281"/>
  </r>
  <r>
    <x v="11"/>
    <x v="1"/>
    <m/>
    <x v="10"/>
    <n v="28.25"/>
    <n v="2.5"/>
    <n v="5.5"/>
    <n v="20.25"/>
  </r>
  <r>
    <x v="11"/>
    <x v="1"/>
    <m/>
    <x v="11"/>
    <n v="9.5"/>
    <n v="1"/>
    <n v="1.5"/>
    <n v="7"/>
  </r>
  <r>
    <x v="11"/>
    <x v="1"/>
    <m/>
    <x v="12"/>
    <n v="103"/>
    <n v="10.75"/>
    <n v="25.75"/>
    <n v="66.5"/>
  </r>
  <r>
    <x v="11"/>
    <x v="1"/>
    <m/>
    <x v="7"/>
    <n v="118.5"/>
    <n v="13.75"/>
    <n v="26.5"/>
    <n v="78.25"/>
  </r>
  <r>
    <x v="11"/>
    <x v="1"/>
    <m/>
    <x v="13"/>
    <n v="79.75"/>
    <n v="7.75"/>
    <n v="10"/>
    <n v="62"/>
  </r>
  <r>
    <x v="11"/>
    <x v="1"/>
    <m/>
    <x v="30"/>
    <n v="19.5"/>
    <n v="2"/>
    <n v="3.75"/>
    <n v="13.75"/>
  </r>
  <r>
    <x v="11"/>
    <x v="1"/>
    <m/>
    <x v="14"/>
    <n v="107.25"/>
    <n v="11.5"/>
    <n v="22"/>
    <n v="73.75"/>
  </r>
  <r>
    <x v="11"/>
    <x v="1"/>
    <m/>
    <x v="15"/>
    <n v="101"/>
    <n v="10"/>
    <n v="18.25"/>
    <n v="72.75"/>
  </r>
  <r>
    <x v="11"/>
    <x v="1"/>
    <m/>
    <x v="25"/>
    <n v="8.25"/>
    <n v="0.75"/>
    <n v="1.5"/>
    <n v="6"/>
  </r>
  <r>
    <x v="11"/>
    <x v="1"/>
    <m/>
    <x v="16"/>
    <n v="111.5"/>
    <n v="10.75"/>
    <n v="22.75"/>
    <n v="78"/>
  </r>
  <r>
    <x v="11"/>
    <x v="1"/>
    <m/>
    <x v="17"/>
    <n v="102.25"/>
    <n v="13"/>
    <n v="21.25"/>
    <n v="68"/>
  </r>
  <r>
    <x v="11"/>
    <x v="1"/>
    <m/>
    <x v="18"/>
    <n v="35"/>
    <n v="3.25"/>
    <n v="6.25"/>
    <n v="25.5"/>
  </r>
  <r>
    <x v="11"/>
    <x v="1"/>
    <m/>
    <x v="19"/>
    <n v="54"/>
    <n v="6.25"/>
    <n v="9.5"/>
    <n v="38.25"/>
  </r>
  <r>
    <x v="11"/>
    <x v="1"/>
    <m/>
    <x v="20"/>
    <n v="56.25"/>
    <n v="6"/>
    <n v="12"/>
    <n v="38.25"/>
  </r>
  <r>
    <x v="11"/>
    <x v="1"/>
    <m/>
    <x v="26"/>
    <n v="16.75"/>
    <n v="1.5"/>
    <n v="1.5"/>
    <n v="13.75"/>
  </r>
  <r>
    <x v="11"/>
    <x v="1"/>
    <m/>
    <x v="27"/>
    <n v="42.25"/>
    <n v="4.5"/>
    <n v="7.75"/>
    <n v="3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
  <r>
    <x v="0"/>
    <s v="S12000034"/>
    <x v="0"/>
    <n v="31"/>
    <n v="0"/>
    <n v="1"/>
    <n v="1"/>
    <n v="0"/>
    <n v="5"/>
    <n v="38"/>
  </r>
  <r>
    <x v="1"/>
    <s v="S12000041"/>
    <x v="1"/>
    <n v="11"/>
    <n v="0"/>
    <n v="1"/>
    <n v="0"/>
    <n v="0"/>
    <n v="1"/>
    <n v="13"/>
  </r>
  <r>
    <x v="2"/>
    <s v="S12000008"/>
    <x v="2"/>
    <n v="9"/>
    <n v="1"/>
    <n v="1"/>
    <n v="0"/>
    <n v="0"/>
    <n v="0"/>
    <n v="11"/>
  </r>
  <r>
    <x v="1"/>
    <s v="S12000010"/>
    <x v="3"/>
    <n v="8"/>
    <n v="0"/>
    <n v="0"/>
    <n v="0"/>
    <n v="0"/>
    <n v="0"/>
    <n v="8"/>
  </r>
  <r>
    <x v="2"/>
    <s v="S12000011"/>
    <x v="4"/>
    <n v="2"/>
    <n v="0"/>
    <n v="0"/>
    <n v="0"/>
    <n v="0"/>
    <n v="0"/>
    <n v="2"/>
  </r>
  <r>
    <x v="2"/>
    <s v="S12000019"/>
    <x v="5"/>
    <n v="2"/>
    <n v="0"/>
    <n v="0"/>
    <n v="0"/>
    <n v="0"/>
    <n v="1"/>
    <n v="3"/>
  </r>
  <r>
    <x v="3"/>
    <s v="S12000019"/>
    <x v="5"/>
    <n v="2"/>
    <n v="0"/>
    <n v="0"/>
    <n v="0"/>
    <n v="0"/>
    <n v="1"/>
    <n v="3"/>
  </r>
  <r>
    <x v="0"/>
    <s v="S12000013"/>
    <x v="6"/>
    <n v="16"/>
    <n v="0"/>
    <n v="0"/>
    <n v="0"/>
    <n v="1"/>
    <n v="0"/>
    <n v="17"/>
  </r>
  <r>
    <x v="4"/>
    <s v="S12000013"/>
    <x v="6"/>
    <n v="15"/>
    <n v="0"/>
    <n v="0"/>
    <n v="0"/>
    <n v="0"/>
    <n v="0"/>
    <n v="15"/>
  </r>
  <r>
    <x v="1"/>
    <s v="S12000013"/>
    <x v="6"/>
    <n v="18"/>
    <n v="0"/>
    <n v="0"/>
    <n v="0"/>
    <n v="0"/>
    <n v="1"/>
    <n v="19"/>
  </r>
  <r>
    <x v="3"/>
    <s v="S12000021"/>
    <x v="7"/>
    <n v="16"/>
    <n v="0"/>
    <n v="1"/>
    <n v="0"/>
    <n v="1"/>
    <n v="2"/>
    <n v="20"/>
  </r>
  <r>
    <x v="2"/>
    <s v="S12000026"/>
    <x v="8"/>
    <n v="17"/>
    <n v="0"/>
    <n v="0"/>
    <n v="2"/>
    <n v="0"/>
    <n v="1"/>
    <n v="20"/>
  </r>
  <r>
    <x v="2"/>
    <s v="S12000039"/>
    <x v="9"/>
    <n v="4"/>
    <n v="1"/>
    <n v="1"/>
    <n v="0"/>
    <n v="0"/>
    <n v="1"/>
    <n v="7"/>
  </r>
  <r>
    <x v="4"/>
    <s v="S12000041"/>
    <x v="1"/>
    <n v="11"/>
    <n v="0"/>
    <n v="1"/>
    <n v="0"/>
    <n v="0"/>
    <n v="1"/>
    <n v="13"/>
  </r>
  <r>
    <x v="2"/>
    <s v="S12000005"/>
    <x v="10"/>
    <n v="3"/>
    <n v="0"/>
    <n v="0"/>
    <n v="1"/>
    <n v="0"/>
    <n v="1"/>
    <n v="5"/>
  </r>
  <r>
    <x v="1"/>
    <s v="S12000005"/>
    <x v="10"/>
    <n v="3"/>
    <n v="0"/>
    <n v="0"/>
    <n v="0"/>
    <n v="0"/>
    <n v="1"/>
    <n v="4"/>
  </r>
  <r>
    <x v="1"/>
    <s v="S12000006"/>
    <x v="11"/>
    <n v="20"/>
    <n v="1"/>
    <n v="0"/>
    <n v="3"/>
    <n v="0"/>
    <n v="3"/>
    <n v="27"/>
  </r>
  <r>
    <x v="4"/>
    <s v="S12000042"/>
    <x v="12"/>
    <n v="7"/>
    <n v="2"/>
    <n v="8"/>
    <n v="1"/>
    <n v="0"/>
    <n v="2"/>
    <n v="20"/>
  </r>
  <r>
    <x v="1"/>
    <s v="S12000042"/>
    <x v="12"/>
    <n v="7"/>
    <n v="2"/>
    <n v="2"/>
    <n v="1"/>
    <n v="0"/>
    <n v="7"/>
    <n v="19"/>
  </r>
  <r>
    <x v="0"/>
    <s v="S12000049"/>
    <x v="13"/>
    <n v="19"/>
    <n v="3"/>
    <n v="0"/>
    <n v="3"/>
    <n v="0"/>
    <n v="3"/>
    <n v="28"/>
  </r>
  <r>
    <x v="4"/>
    <s v="S12000017"/>
    <x v="14"/>
    <n v="65"/>
    <n v="1"/>
    <n v="2"/>
    <n v="3"/>
    <n v="3"/>
    <n v="2"/>
    <n v="76"/>
  </r>
  <r>
    <x v="3"/>
    <s v="S12000017"/>
    <x v="14"/>
    <n v="65"/>
    <n v="1"/>
    <n v="1"/>
    <n v="3"/>
    <n v="2"/>
    <n v="2"/>
    <n v="74"/>
  </r>
  <r>
    <x v="4"/>
    <s v="S12000018"/>
    <x v="15"/>
    <n v="6"/>
    <n v="1"/>
    <n v="0"/>
    <n v="0"/>
    <n v="0"/>
    <n v="0"/>
    <n v="7"/>
  </r>
  <r>
    <x v="1"/>
    <s v="S12000018"/>
    <x v="15"/>
    <n v="6"/>
    <n v="1"/>
    <n v="0"/>
    <n v="0"/>
    <n v="0"/>
    <n v="0"/>
    <n v="7"/>
  </r>
  <r>
    <x v="5"/>
    <s v="S12000019"/>
    <x v="5"/>
    <n v="2"/>
    <n v="0"/>
    <n v="0"/>
    <n v="0"/>
    <n v="0"/>
    <n v="1"/>
    <n v="3"/>
  </r>
  <r>
    <x v="3"/>
    <s v="S12000013"/>
    <x v="6"/>
    <n v="16"/>
    <n v="0"/>
    <n v="0"/>
    <n v="0"/>
    <n v="0"/>
    <n v="1"/>
    <n v="17"/>
  </r>
  <r>
    <x v="4"/>
    <s v="S12000038"/>
    <x v="16"/>
    <n v="5"/>
    <n v="2"/>
    <n v="0"/>
    <n v="0"/>
    <n v="0"/>
    <n v="3"/>
    <n v="10"/>
  </r>
  <r>
    <x v="0"/>
    <s v="S12000026"/>
    <x v="8"/>
    <n v="17"/>
    <n v="0"/>
    <n v="0"/>
    <n v="2"/>
    <n v="0"/>
    <n v="1"/>
    <n v="20"/>
  </r>
  <r>
    <x v="0"/>
    <s v="S12000027"/>
    <x v="17"/>
    <n v="14"/>
    <n v="0"/>
    <n v="0"/>
    <n v="0"/>
    <n v="1"/>
    <n v="1"/>
    <n v="16"/>
  </r>
  <r>
    <x v="2"/>
    <s v="S12000034"/>
    <x v="0"/>
    <n v="31"/>
    <n v="0"/>
    <n v="1"/>
    <n v="0"/>
    <n v="0"/>
    <n v="5"/>
    <n v="37"/>
  </r>
  <r>
    <x v="1"/>
    <s v="S12000034"/>
    <x v="0"/>
    <n v="32"/>
    <n v="0"/>
    <n v="1"/>
    <n v="0"/>
    <n v="0"/>
    <n v="4"/>
    <n v="37"/>
  </r>
  <r>
    <x v="5"/>
    <s v="S12000041"/>
    <x v="1"/>
    <n v="12"/>
    <n v="0"/>
    <n v="1"/>
    <n v="0"/>
    <n v="0"/>
    <n v="1"/>
    <n v="14"/>
  </r>
  <r>
    <x v="3"/>
    <s v="S12000035"/>
    <x v="18"/>
    <n v="25"/>
    <n v="1"/>
    <n v="0"/>
    <n v="1"/>
    <n v="17"/>
    <n v="4"/>
    <n v="48"/>
  </r>
  <r>
    <x v="2"/>
    <s v="S12000006"/>
    <x v="11"/>
    <n v="22"/>
    <n v="1"/>
    <n v="0"/>
    <n v="3"/>
    <n v="0"/>
    <n v="4"/>
    <n v="30"/>
  </r>
  <r>
    <x v="2"/>
    <s v="S12000045"/>
    <x v="19"/>
    <n v="3"/>
    <n v="0"/>
    <n v="2"/>
    <n v="0"/>
    <n v="0"/>
    <n v="0"/>
    <n v="5"/>
  </r>
  <r>
    <x v="2"/>
    <s v="S12000014"/>
    <x v="20"/>
    <n v="10"/>
    <n v="1"/>
    <n v="2"/>
    <n v="0"/>
    <n v="0"/>
    <n v="4"/>
    <n v="17"/>
  </r>
  <r>
    <x v="1"/>
    <s v="S12000014"/>
    <x v="20"/>
    <n v="9"/>
    <n v="1"/>
    <n v="1"/>
    <n v="0"/>
    <n v="0"/>
    <n v="5"/>
    <n v="16"/>
  </r>
  <r>
    <x v="3"/>
    <s v="S12000049"/>
    <x v="13"/>
    <n v="19"/>
    <n v="3"/>
    <n v="0"/>
    <n v="3"/>
    <n v="0"/>
    <n v="6"/>
    <n v="31"/>
  </r>
  <r>
    <x v="5"/>
    <s v="S12000017"/>
    <x v="14"/>
    <n v="64"/>
    <n v="1"/>
    <n v="2"/>
    <n v="3"/>
    <n v="6"/>
    <n v="2"/>
    <n v="78"/>
  </r>
  <r>
    <x v="5"/>
    <s v="S12000018"/>
    <x v="15"/>
    <n v="6"/>
    <n v="1"/>
    <n v="0"/>
    <n v="0"/>
    <n v="0"/>
    <n v="0"/>
    <n v="7"/>
  </r>
  <r>
    <x v="4"/>
    <s v="S12000019"/>
    <x v="5"/>
    <n v="3"/>
    <n v="0"/>
    <n v="0"/>
    <n v="0"/>
    <n v="0"/>
    <n v="1"/>
    <n v="4"/>
  </r>
  <r>
    <x v="2"/>
    <s v="S12000020"/>
    <x v="21"/>
    <n v="13"/>
    <n v="0"/>
    <n v="1"/>
    <n v="0"/>
    <n v="2"/>
    <n v="3"/>
    <n v="19"/>
  </r>
  <r>
    <x v="5"/>
    <s v="S12000013"/>
    <x v="6"/>
    <n v="16"/>
    <n v="0"/>
    <n v="0"/>
    <n v="0"/>
    <n v="0"/>
    <n v="1"/>
    <n v="17"/>
  </r>
  <r>
    <x v="0"/>
    <s v="S12000021"/>
    <x v="7"/>
    <n v="16"/>
    <n v="0"/>
    <n v="1"/>
    <n v="0"/>
    <n v="1"/>
    <n v="2"/>
    <n v="20"/>
  </r>
  <r>
    <x v="3"/>
    <s v="S12000050"/>
    <x v="22"/>
    <n v="9"/>
    <n v="2"/>
    <n v="2"/>
    <n v="1"/>
    <n v="0"/>
    <n v="4"/>
    <n v="18"/>
  </r>
  <r>
    <x v="4"/>
    <s v="S12000023"/>
    <x v="23"/>
    <n v="15"/>
    <n v="0"/>
    <n v="0"/>
    <n v="0"/>
    <n v="1"/>
    <n v="0"/>
    <n v="16"/>
  </r>
  <r>
    <x v="1"/>
    <s v="S12000023"/>
    <x v="23"/>
    <n v="16"/>
    <n v="0"/>
    <n v="0"/>
    <n v="0"/>
    <n v="2"/>
    <n v="0"/>
    <n v="18"/>
  </r>
  <r>
    <x v="2"/>
    <s v="S12000048"/>
    <x v="24"/>
    <n v="16"/>
    <n v="1"/>
    <n v="2"/>
    <n v="1"/>
    <n v="3"/>
    <n v="0"/>
    <n v="23"/>
  </r>
  <r>
    <x v="5"/>
    <s v="S12000038"/>
    <x v="16"/>
    <n v="5"/>
    <n v="1"/>
    <n v="0"/>
    <n v="0"/>
    <n v="0"/>
    <n v="3"/>
    <n v="9"/>
  </r>
  <r>
    <x v="2"/>
    <s v="S12000028"/>
    <x v="25"/>
    <n v="7"/>
    <n v="1"/>
    <n v="0"/>
    <n v="1"/>
    <n v="0"/>
    <n v="0"/>
    <n v="9"/>
  </r>
  <r>
    <x v="0"/>
    <s v="S12000029"/>
    <x v="26"/>
    <n v="14"/>
    <n v="1"/>
    <n v="1"/>
    <n v="2"/>
    <n v="0"/>
    <n v="5"/>
    <n v="23"/>
  </r>
  <r>
    <x v="0"/>
    <s v="S12000039"/>
    <x v="9"/>
    <n v="4"/>
    <n v="1"/>
    <n v="1"/>
    <n v="0"/>
    <n v="0"/>
    <n v="1"/>
    <n v="7"/>
  </r>
  <r>
    <x v="0"/>
    <s v="S12000040"/>
    <x v="27"/>
    <n v="8"/>
    <n v="0"/>
    <n v="0"/>
    <n v="1"/>
    <n v="0"/>
    <n v="1"/>
    <n v="10"/>
  </r>
  <r>
    <x v="1"/>
    <s v="S12000033"/>
    <x v="28"/>
    <n v="7"/>
    <n v="1"/>
    <n v="4"/>
    <n v="2"/>
    <n v="0"/>
    <n v="4"/>
    <n v="18"/>
  </r>
  <r>
    <x v="3"/>
    <s v="S12000034"/>
    <x v="0"/>
    <n v="31"/>
    <n v="0"/>
    <n v="1"/>
    <n v="0"/>
    <n v="0"/>
    <n v="4"/>
    <n v="36"/>
  </r>
  <r>
    <x v="1"/>
    <s v="S12000035"/>
    <x v="18"/>
    <n v="25"/>
    <n v="1"/>
    <n v="0"/>
    <n v="1"/>
    <n v="17"/>
    <n v="5"/>
    <n v="49"/>
  </r>
  <r>
    <x v="3"/>
    <s v="S12000005"/>
    <x v="10"/>
    <n v="3"/>
    <n v="0"/>
    <n v="0"/>
    <n v="1"/>
    <n v="0"/>
    <n v="1"/>
    <n v="5"/>
  </r>
  <r>
    <x v="4"/>
    <s v="S12000008"/>
    <x v="2"/>
    <n v="10"/>
    <n v="1"/>
    <n v="1"/>
    <n v="0"/>
    <n v="0"/>
    <n v="0"/>
    <n v="12"/>
  </r>
  <r>
    <x v="3"/>
    <s v="S12000008"/>
    <x v="2"/>
    <n v="9"/>
    <n v="1"/>
    <n v="1"/>
    <n v="0"/>
    <n v="0"/>
    <n v="0"/>
    <n v="11"/>
  </r>
  <r>
    <x v="5"/>
    <s v="S12000008"/>
    <x v="2"/>
    <n v="9"/>
    <n v="1"/>
    <n v="1"/>
    <n v="0"/>
    <n v="0"/>
    <n v="0"/>
    <n v="11"/>
  </r>
  <r>
    <x v="4"/>
    <s v="S12000045"/>
    <x v="19"/>
    <n v="3"/>
    <n v="0"/>
    <n v="2"/>
    <n v="0"/>
    <n v="0"/>
    <n v="0"/>
    <n v="5"/>
  </r>
  <r>
    <x v="1"/>
    <s v="S12000045"/>
    <x v="19"/>
    <n v="3"/>
    <n v="0"/>
    <n v="2"/>
    <n v="0"/>
    <n v="0"/>
    <n v="0"/>
    <n v="5"/>
  </r>
  <r>
    <x v="4"/>
    <s v="S12000011"/>
    <x v="4"/>
    <n v="2"/>
    <n v="0"/>
    <n v="0"/>
    <n v="0"/>
    <n v="0"/>
    <n v="0"/>
    <n v="2"/>
  </r>
  <r>
    <x v="1"/>
    <s v="S12000011"/>
    <x v="4"/>
    <n v="2"/>
    <n v="0"/>
    <n v="0"/>
    <n v="0"/>
    <n v="0"/>
    <n v="0"/>
    <n v="2"/>
  </r>
  <r>
    <x v="3"/>
    <s v="S12000014"/>
    <x v="20"/>
    <n v="9"/>
    <n v="1"/>
    <n v="1"/>
    <n v="0"/>
    <n v="0"/>
    <n v="5"/>
    <n v="16"/>
  </r>
  <r>
    <x v="1"/>
    <s v="S12000049"/>
    <x v="13"/>
    <n v="19"/>
    <n v="3"/>
    <n v="0"/>
    <n v="3"/>
    <n v="0"/>
    <n v="6"/>
    <n v="31"/>
  </r>
  <r>
    <x v="0"/>
    <s v="S12000018"/>
    <x v="15"/>
    <n v="6"/>
    <n v="1"/>
    <n v="0"/>
    <n v="0"/>
    <n v="0"/>
    <n v="0"/>
    <n v="7"/>
  </r>
  <r>
    <x v="0"/>
    <s v="S12000019"/>
    <x v="5"/>
    <n v="2"/>
    <n v="0"/>
    <n v="0"/>
    <n v="0"/>
    <n v="0"/>
    <n v="1"/>
    <n v="3"/>
  </r>
  <r>
    <x v="2"/>
    <s v="S12000013"/>
    <x v="6"/>
    <n v="17"/>
    <n v="0"/>
    <n v="0"/>
    <n v="0"/>
    <n v="1"/>
    <n v="0"/>
    <n v="18"/>
  </r>
  <r>
    <x v="2"/>
    <s v="S12000050"/>
    <x v="22"/>
    <n v="8"/>
    <n v="2"/>
    <n v="2"/>
    <n v="1"/>
    <n v="0"/>
    <n v="2"/>
    <n v="15"/>
  </r>
  <r>
    <x v="3"/>
    <s v="S12000048"/>
    <x v="24"/>
    <n v="15"/>
    <n v="1"/>
    <n v="0"/>
    <n v="1"/>
    <n v="3"/>
    <n v="1"/>
    <n v="21"/>
  </r>
  <r>
    <x v="4"/>
    <s v="S12000026"/>
    <x v="8"/>
    <n v="17"/>
    <n v="0"/>
    <n v="0"/>
    <n v="2"/>
    <n v="0"/>
    <n v="1"/>
    <n v="20"/>
  </r>
  <r>
    <x v="5"/>
    <s v="S12000026"/>
    <x v="8"/>
    <n v="18"/>
    <n v="0"/>
    <n v="0"/>
    <n v="2"/>
    <n v="0"/>
    <n v="2"/>
    <n v="22"/>
  </r>
  <r>
    <x v="4"/>
    <s v="S12000027"/>
    <x v="17"/>
    <n v="16"/>
    <n v="0"/>
    <n v="0"/>
    <n v="0"/>
    <n v="1"/>
    <n v="1"/>
    <n v="18"/>
  </r>
  <r>
    <x v="5"/>
    <s v="S12000027"/>
    <x v="17"/>
    <n v="16"/>
    <n v="0"/>
    <n v="0"/>
    <n v="0"/>
    <n v="1"/>
    <n v="1"/>
    <n v="18"/>
  </r>
  <r>
    <x v="0"/>
    <s v="S12000030"/>
    <x v="29"/>
    <n v="9"/>
    <n v="0"/>
    <n v="0"/>
    <n v="2"/>
    <n v="2"/>
    <n v="3"/>
    <n v="16"/>
  </r>
  <r>
    <x v="4"/>
    <s v="S12000030"/>
    <x v="29"/>
    <n v="9"/>
    <n v="0"/>
    <n v="0"/>
    <n v="1"/>
    <n v="2"/>
    <n v="3"/>
    <n v="15"/>
  </r>
  <r>
    <x v="5"/>
    <s v="S12000030"/>
    <x v="29"/>
    <n v="9"/>
    <n v="0"/>
    <n v="0"/>
    <n v="1"/>
    <n v="2"/>
    <n v="4"/>
    <n v="16"/>
  </r>
  <r>
    <x v="4"/>
    <s v="S12000039"/>
    <x v="9"/>
    <n v="4"/>
    <n v="1"/>
    <n v="1"/>
    <n v="0"/>
    <n v="0"/>
    <n v="1"/>
    <n v="7"/>
  </r>
  <r>
    <x v="1"/>
    <s v="S12000039"/>
    <x v="9"/>
    <n v="4"/>
    <n v="1"/>
    <n v="1"/>
    <n v="0"/>
    <n v="0"/>
    <n v="1"/>
    <n v="7"/>
  </r>
  <r>
    <x v="1"/>
    <s v="S12000040"/>
    <x v="27"/>
    <n v="8"/>
    <n v="0"/>
    <n v="0"/>
    <n v="1"/>
    <n v="0"/>
    <n v="1"/>
    <n v="10"/>
  </r>
  <r>
    <x v="2"/>
    <s v="S12000033"/>
    <x v="28"/>
    <n v="8"/>
    <n v="2"/>
    <n v="6"/>
    <n v="1"/>
    <n v="0"/>
    <n v="2"/>
    <n v="19"/>
  </r>
  <r>
    <x v="0"/>
    <s v="S12000041"/>
    <x v="1"/>
    <n v="11"/>
    <n v="0"/>
    <n v="1"/>
    <n v="0"/>
    <n v="0"/>
    <n v="1"/>
    <n v="13"/>
  </r>
  <r>
    <x v="4"/>
    <s v="S12000036"/>
    <x v="30"/>
    <n v="19"/>
    <n v="3"/>
    <n v="5"/>
    <n v="2"/>
    <n v="0"/>
    <n v="3"/>
    <n v="32"/>
  </r>
  <r>
    <x v="3"/>
    <s v="S12000036"/>
    <x v="30"/>
    <n v="14"/>
    <n v="3"/>
    <n v="4"/>
    <n v="2"/>
    <n v="0"/>
    <n v="4"/>
    <n v="27"/>
  </r>
  <r>
    <x v="5"/>
    <s v="S12000036"/>
    <x v="30"/>
    <n v="12"/>
    <n v="2"/>
    <n v="4"/>
    <n v="3"/>
    <n v="0"/>
    <n v="3"/>
    <n v="24"/>
  </r>
  <r>
    <x v="0"/>
    <s v="S12000005"/>
    <x v="10"/>
    <n v="2"/>
    <n v="0"/>
    <n v="0"/>
    <n v="1"/>
    <n v="0"/>
    <n v="1"/>
    <n v="4"/>
  </r>
  <r>
    <x v="0"/>
    <s v="S12000006"/>
    <x v="11"/>
    <n v="21"/>
    <n v="1"/>
    <n v="0"/>
    <n v="3"/>
    <n v="0"/>
    <n v="3"/>
    <n v="28"/>
  </r>
  <r>
    <x v="4"/>
    <s v="S12000010"/>
    <x v="3"/>
    <n v="9"/>
    <n v="0"/>
    <n v="0"/>
    <n v="0"/>
    <n v="0"/>
    <n v="1"/>
    <n v="10"/>
  </r>
  <r>
    <x v="5"/>
    <s v="S12000010"/>
    <x v="3"/>
    <n v="8"/>
    <n v="0"/>
    <n v="0"/>
    <n v="0"/>
    <n v="0"/>
    <n v="0"/>
    <n v="8"/>
  </r>
  <r>
    <x v="0"/>
    <s v="S12000014"/>
    <x v="20"/>
    <n v="9"/>
    <n v="2"/>
    <n v="2"/>
    <n v="0"/>
    <n v="0"/>
    <n v="5"/>
    <n v="18"/>
  </r>
  <r>
    <x v="0"/>
    <s v="S12000047"/>
    <x v="31"/>
    <n v="19"/>
    <n v="2"/>
    <n v="2"/>
    <n v="2"/>
    <n v="0"/>
    <n v="5"/>
    <n v="30"/>
  </r>
  <r>
    <x v="4"/>
    <s v="S12000047"/>
    <x v="31"/>
    <n v="20"/>
    <n v="2"/>
    <n v="2"/>
    <n v="2"/>
    <n v="0"/>
    <n v="4"/>
    <n v="30"/>
  </r>
  <r>
    <x v="3"/>
    <s v="S12000047"/>
    <x v="31"/>
    <n v="21"/>
    <n v="2"/>
    <n v="0"/>
    <n v="2"/>
    <n v="0"/>
    <n v="6"/>
    <n v="31"/>
  </r>
  <r>
    <x v="5"/>
    <s v="S12000047"/>
    <x v="31"/>
    <n v="18"/>
    <n v="1"/>
    <n v="0"/>
    <n v="2"/>
    <n v="0"/>
    <n v="5"/>
    <n v="26"/>
  </r>
  <r>
    <x v="3"/>
    <s v="S12000020"/>
    <x v="21"/>
    <n v="13"/>
    <n v="0"/>
    <n v="1"/>
    <n v="1"/>
    <n v="2"/>
    <n v="4"/>
    <n v="21"/>
  </r>
  <r>
    <x v="5"/>
    <s v="S12000020"/>
    <x v="21"/>
    <n v="13"/>
    <n v="0"/>
    <n v="1"/>
    <n v="1"/>
    <n v="2"/>
    <n v="3"/>
    <n v="20"/>
  </r>
  <r>
    <x v="4"/>
    <s v="S12000021"/>
    <x v="7"/>
    <n v="17"/>
    <n v="0"/>
    <n v="1"/>
    <n v="0"/>
    <n v="1"/>
    <n v="2"/>
    <n v="21"/>
  </r>
  <r>
    <x v="5"/>
    <s v="S12000021"/>
    <x v="7"/>
    <n v="16"/>
    <n v="0"/>
    <n v="0"/>
    <n v="0"/>
    <n v="1"/>
    <n v="2"/>
    <n v="19"/>
  </r>
  <r>
    <x v="1"/>
    <s v="S12000050"/>
    <x v="22"/>
    <n v="8"/>
    <n v="2"/>
    <n v="2"/>
    <n v="1"/>
    <n v="0"/>
    <n v="4"/>
    <n v="17"/>
  </r>
  <r>
    <x v="2"/>
    <s v="S12000023"/>
    <x v="23"/>
    <n v="14"/>
    <n v="0"/>
    <n v="0"/>
    <n v="0"/>
    <n v="1"/>
    <n v="0"/>
    <n v="15"/>
  </r>
  <r>
    <x v="2"/>
    <s v="S12000038"/>
    <x v="16"/>
    <n v="4"/>
    <n v="2"/>
    <n v="0"/>
    <n v="0"/>
    <n v="0"/>
    <n v="4"/>
    <n v="10"/>
  </r>
  <r>
    <x v="3"/>
    <s v="S12000028"/>
    <x v="25"/>
    <n v="7"/>
    <n v="1"/>
    <n v="0"/>
    <n v="1"/>
    <n v="0"/>
    <n v="0"/>
    <n v="9"/>
  </r>
  <r>
    <x v="5"/>
    <s v="S12000028"/>
    <x v="25"/>
    <n v="8"/>
    <n v="0"/>
    <n v="0"/>
    <n v="1"/>
    <n v="0"/>
    <n v="0"/>
    <n v="9"/>
  </r>
  <r>
    <x v="4"/>
    <s v="S12000029"/>
    <x v="26"/>
    <n v="15"/>
    <n v="1"/>
    <n v="1"/>
    <n v="2"/>
    <n v="0"/>
    <n v="5"/>
    <n v="24"/>
  </r>
  <r>
    <x v="1"/>
    <s v="S12000029"/>
    <x v="26"/>
    <n v="15"/>
    <n v="1"/>
    <n v="1"/>
    <n v="2"/>
    <n v="0"/>
    <n v="5"/>
    <n v="24"/>
  </r>
  <r>
    <x v="2"/>
    <s v="S12000040"/>
    <x v="27"/>
    <n v="8"/>
    <n v="0"/>
    <n v="1"/>
    <n v="2"/>
    <n v="0"/>
    <n v="1"/>
    <n v="12"/>
  </r>
  <r>
    <x v="5"/>
    <s v="S12000033"/>
    <x v="28"/>
    <n v="7"/>
    <n v="1"/>
    <n v="3"/>
    <n v="2"/>
    <n v="0"/>
    <n v="4"/>
    <n v="17"/>
  </r>
  <r>
    <x v="2"/>
    <s v="S12000041"/>
    <x v="1"/>
    <n v="11"/>
    <n v="0"/>
    <n v="1"/>
    <n v="0"/>
    <n v="0"/>
    <n v="1"/>
    <n v="13"/>
  </r>
  <r>
    <x v="0"/>
    <s v="S12000035"/>
    <x v="18"/>
    <n v="24"/>
    <n v="1"/>
    <n v="0"/>
    <n v="1"/>
    <n v="17"/>
    <n v="4"/>
    <n v="47"/>
  </r>
  <r>
    <x v="0"/>
    <s v="S12000036"/>
    <x v="30"/>
    <n v="12"/>
    <n v="3"/>
    <n v="5"/>
    <n v="2"/>
    <n v="0"/>
    <n v="3"/>
    <n v="25"/>
  </r>
  <r>
    <x v="1"/>
    <s v="S12000036"/>
    <x v="30"/>
    <n v="12"/>
    <n v="3"/>
    <n v="4"/>
    <n v="3"/>
    <n v="0"/>
    <n v="4"/>
    <n v="26"/>
  </r>
  <r>
    <x v="5"/>
    <s v="S12000006"/>
    <x v="11"/>
    <n v="21"/>
    <n v="1"/>
    <n v="0"/>
    <n v="3"/>
    <n v="0"/>
    <n v="3"/>
    <n v="28"/>
  </r>
  <r>
    <x v="2"/>
    <s v="S12000042"/>
    <x v="12"/>
    <n v="7"/>
    <n v="2"/>
    <n v="8"/>
    <n v="1"/>
    <n v="0"/>
    <n v="2"/>
    <n v="20"/>
  </r>
  <r>
    <x v="5"/>
    <s v="S12000042"/>
    <x v="12"/>
    <n v="7"/>
    <n v="1"/>
    <n v="2"/>
    <n v="1"/>
    <n v="0"/>
    <n v="7"/>
    <n v="18"/>
  </r>
  <r>
    <x v="3"/>
    <s v="S12000045"/>
    <x v="19"/>
    <n v="3"/>
    <n v="0"/>
    <n v="2"/>
    <n v="0"/>
    <n v="0"/>
    <n v="0"/>
    <n v="5"/>
  </r>
  <r>
    <x v="2"/>
    <s v="S12000010"/>
    <x v="3"/>
    <n v="9"/>
    <n v="0"/>
    <n v="0"/>
    <n v="0"/>
    <n v="0"/>
    <n v="0"/>
    <n v="9"/>
  </r>
  <r>
    <x v="1"/>
    <s v="S12000047"/>
    <x v="31"/>
    <n v="20"/>
    <n v="2"/>
    <n v="0"/>
    <n v="2"/>
    <n v="0"/>
    <n v="6"/>
    <n v="30"/>
  </r>
  <r>
    <x v="2"/>
    <s v="S12000049"/>
    <x v="13"/>
    <n v="18"/>
    <n v="4"/>
    <n v="0"/>
    <n v="3"/>
    <n v="0"/>
    <n v="3"/>
    <n v="28"/>
  </r>
  <r>
    <x v="4"/>
    <s v="S12000049"/>
    <x v="13"/>
    <n v="29"/>
    <n v="3"/>
    <n v="0"/>
    <n v="3"/>
    <n v="0"/>
    <n v="4"/>
    <n v="39"/>
  </r>
  <r>
    <x v="2"/>
    <s v="S12000018"/>
    <x v="15"/>
    <n v="7"/>
    <n v="1"/>
    <n v="0"/>
    <n v="0"/>
    <n v="0"/>
    <n v="0"/>
    <n v="8"/>
  </r>
  <r>
    <x v="1"/>
    <s v="S12000019"/>
    <x v="5"/>
    <n v="2"/>
    <n v="0"/>
    <n v="0"/>
    <n v="0"/>
    <n v="0"/>
    <n v="1"/>
    <n v="3"/>
  </r>
  <r>
    <x v="1"/>
    <s v="S12000021"/>
    <x v="7"/>
    <n v="16"/>
    <n v="0"/>
    <n v="1"/>
    <n v="0"/>
    <n v="1"/>
    <n v="2"/>
    <n v="20"/>
  </r>
  <r>
    <x v="0"/>
    <s v="S12000050"/>
    <x v="22"/>
    <n v="8"/>
    <n v="1"/>
    <n v="2"/>
    <n v="1"/>
    <n v="0"/>
    <n v="3"/>
    <n v="15"/>
  </r>
  <r>
    <x v="4"/>
    <s v="S12000050"/>
    <x v="22"/>
    <n v="8"/>
    <n v="2"/>
    <n v="2"/>
    <n v="1"/>
    <n v="0"/>
    <n v="3"/>
    <n v="16"/>
  </r>
  <r>
    <x v="5"/>
    <s v="S12000048"/>
    <x v="24"/>
    <n v="15"/>
    <n v="1"/>
    <n v="0"/>
    <n v="1"/>
    <n v="3"/>
    <n v="1"/>
    <n v="21"/>
  </r>
  <r>
    <x v="0"/>
    <s v="S12000038"/>
    <x v="16"/>
    <n v="4"/>
    <n v="2"/>
    <n v="0"/>
    <n v="0"/>
    <n v="0"/>
    <n v="3"/>
    <n v="9"/>
  </r>
  <r>
    <x v="2"/>
    <s v="S12000027"/>
    <x v="17"/>
    <n v="16"/>
    <n v="0"/>
    <n v="0"/>
    <n v="0"/>
    <n v="1"/>
    <n v="1"/>
    <n v="18"/>
  </r>
  <r>
    <x v="3"/>
    <s v="S12000029"/>
    <x v="26"/>
    <n v="14"/>
    <n v="1"/>
    <n v="1"/>
    <n v="2"/>
    <n v="0"/>
    <n v="6"/>
    <n v="24"/>
  </r>
  <r>
    <x v="3"/>
    <s v="S12000030"/>
    <x v="29"/>
    <n v="9"/>
    <n v="0"/>
    <n v="0"/>
    <n v="1"/>
    <n v="2"/>
    <n v="3"/>
    <n v="15"/>
  </r>
  <r>
    <x v="4"/>
    <s v="S12000040"/>
    <x v="27"/>
    <n v="9"/>
    <n v="0"/>
    <n v="0"/>
    <n v="1"/>
    <n v="0"/>
    <n v="1"/>
    <n v="11"/>
  </r>
  <r>
    <x v="3"/>
    <s v="S12000040"/>
    <x v="27"/>
    <n v="8"/>
    <n v="0"/>
    <n v="0"/>
    <n v="1"/>
    <n v="0"/>
    <n v="1"/>
    <n v="10"/>
  </r>
  <r>
    <x v="0"/>
    <s v="S12000033"/>
    <x v="28"/>
    <n v="9"/>
    <n v="1"/>
    <n v="6"/>
    <n v="1"/>
    <n v="0"/>
    <n v="4"/>
    <n v="21"/>
  </r>
  <r>
    <x v="4"/>
    <s v="S12000034"/>
    <x v="0"/>
    <n v="31"/>
    <n v="0"/>
    <n v="1"/>
    <n v="0"/>
    <n v="0"/>
    <n v="4"/>
    <n v="36"/>
  </r>
  <r>
    <x v="5"/>
    <s v="S12000034"/>
    <x v="0"/>
    <n v="31"/>
    <n v="0"/>
    <n v="1"/>
    <n v="0"/>
    <n v="0"/>
    <n v="3"/>
    <n v="35"/>
  </r>
  <r>
    <x v="2"/>
    <s v="S12000035"/>
    <x v="18"/>
    <n v="25"/>
    <n v="1"/>
    <n v="0"/>
    <n v="1"/>
    <n v="20"/>
    <n v="4"/>
    <n v="51"/>
  </r>
  <r>
    <x v="4"/>
    <s v="S12000035"/>
    <x v="18"/>
    <n v="25"/>
    <n v="1"/>
    <n v="0"/>
    <n v="1"/>
    <n v="17"/>
    <n v="4"/>
    <n v="48"/>
  </r>
  <r>
    <x v="5"/>
    <s v="S12000035"/>
    <x v="18"/>
    <n v="26"/>
    <n v="1"/>
    <n v="0"/>
    <n v="1"/>
    <n v="17"/>
    <n v="4"/>
    <n v="49"/>
  </r>
  <r>
    <x v="2"/>
    <s v="S12000036"/>
    <x v="30"/>
    <n v="12"/>
    <n v="4"/>
    <n v="6"/>
    <n v="2"/>
    <n v="0"/>
    <n v="1"/>
    <n v="25"/>
  </r>
  <r>
    <x v="4"/>
    <s v="S12000005"/>
    <x v="10"/>
    <n v="3"/>
    <n v="0"/>
    <n v="0"/>
    <n v="1"/>
    <n v="0"/>
    <n v="1"/>
    <n v="5"/>
  </r>
  <r>
    <x v="5"/>
    <s v="S12000005"/>
    <x v="10"/>
    <n v="3"/>
    <n v="0"/>
    <n v="0"/>
    <n v="0"/>
    <n v="0"/>
    <n v="1"/>
    <n v="4"/>
  </r>
  <r>
    <x v="0"/>
    <s v="S12000042"/>
    <x v="12"/>
    <n v="7"/>
    <n v="2"/>
    <n v="7"/>
    <n v="1"/>
    <n v="0"/>
    <n v="2"/>
    <n v="19"/>
  </r>
  <r>
    <x v="0"/>
    <s v="S12000045"/>
    <x v="19"/>
    <n v="3"/>
    <n v="0"/>
    <n v="2"/>
    <n v="0"/>
    <n v="0"/>
    <n v="0"/>
    <n v="5"/>
  </r>
  <r>
    <x v="0"/>
    <s v="S12000010"/>
    <x v="3"/>
    <n v="9"/>
    <n v="0"/>
    <n v="0"/>
    <n v="0"/>
    <n v="0"/>
    <n v="1"/>
    <n v="10"/>
  </r>
  <r>
    <x v="3"/>
    <s v="S12000011"/>
    <x v="4"/>
    <n v="2"/>
    <n v="0"/>
    <n v="0"/>
    <n v="0"/>
    <n v="0"/>
    <n v="1"/>
    <n v="3"/>
  </r>
  <r>
    <x v="5"/>
    <s v="S12000011"/>
    <x v="4"/>
    <n v="2"/>
    <n v="0"/>
    <n v="0"/>
    <n v="0"/>
    <n v="0"/>
    <n v="0"/>
    <n v="2"/>
  </r>
  <r>
    <x v="4"/>
    <s v="S12000014"/>
    <x v="20"/>
    <n v="9"/>
    <n v="1"/>
    <n v="2"/>
    <n v="0"/>
    <n v="0"/>
    <n v="4"/>
    <n v="16"/>
  </r>
  <r>
    <x v="5"/>
    <s v="S12000014"/>
    <x v="20"/>
    <n v="9"/>
    <n v="1"/>
    <n v="1"/>
    <n v="0"/>
    <n v="0"/>
    <n v="5"/>
    <n v="16"/>
  </r>
  <r>
    <x v="2"/>
    <s v="S12000047"/>
    <x v="31"/>
    <n v="21"/>
    <n v="2"/>
    <n v="2"/>
    <n v="1"/>
    <n v="0"/>
    <n v="5"/>
    <n v="31"/>
  </r>
  <r>
    <x v="2"/>
    <s v="S12000017"/>
    <x v="14"/>
    <n v="68"/>
    <n v="1"/>
    <n v="4"/>
    <n v="2"/>
    <n v="8"/>
    <n v="5"/>
    <n v="88"/>
  </r>
  <r>
    <x v="2"/>
    <s v="S12000021"/>
    <x v="7"/>
    <n v="16"/>
    <n v="0"/>
    <n v="1"/>
    <n v="0"/>
    <n v="1"/>
    <n v="2"/>
    <n v="20"/>
  </r>
  <r>
    <x v="3"/>
    <s v="S12000023"/>
    <x v="23"/>
    <n v="15"/>
    <n v="0"/>
    <n v="0"/>
    <n v="0"/>
    <n v="2"/>
    <n v="0"/>
    <n v="17"/>
  </r>
  <r>
    <x v="5"/>
    <s v="S12000023"/>
    <x v="23"/>
    <n v="14"/>
    <n v="0"/>
    <n v="0"/>
    <n v="0"/>
    <n v="3"/>
    <n v="0"/>
    <n v="17"/>
  </r>
  <r>
    <x v="3"/>
    <s v="S12000038"/>
    <x v="16"/>
    <n v="4"/>
    <n v="2"/>
    <n v="0"/>
    <n v="0"/>
    <n v="0"/>
    <n v="2"/>
    <n v="8"/>
  </r>
  <r>
    <x v="3"/>
    <s v="S12000026"/>
    <x v="8"/>
    <n v="19"/>
    <n v="0"/>
    <n v="0"/>
    <n v="2"/>
    <n v="0"/>
    <n v="1"/>
    <n v="22"/>
  </r>
  <r>
    <x v="1"/>
    <s v="S12000027"/>
    <x v="17"/>
    <n v="19"/>
    <n v="0"/>
    <n v="0"/>
    <n v="0"/>
    <n v="1"/>
    <n v="1"/>
    <n v="21"/>
  </r>
  <r>
    <x v="1"/>
    <s v="S12000030"/>
    <x v="29"/>
    <n v="9"/>
    <n v="0"/>
    <n v="0"/>
    <n v="1"/>
    <n v="2"/>
    <n v="3"/>
    <n v="15"/>
  </r>
  <r>
    <x v="3"/>
    <s v="S12000039"/>
    <x v="9"/>
    <n v="4"/>
    <n v="1"/>
    <n v="1"/>
    <n v="0"/>
    <n v="0"/>
    <n v="1"/>
    <n v="7"/>
  </r>
  <r>
    <x v="5"/>
    <s v="S12000039"/>
    <x v="9"/>
    <n v="5"/>
    <n v="0"/>
    <n v="1"/>
    <n v="0"/>
    <n v="0"/>
    <n v="1"/>
    <n v="7"/>
  </r>
  <r>
    <x v="4"/>
    <s v="S12000033"/>
    <x v="28"/>
    <n v="7"/>
    <n v="1"/>
    <n v="6"/>
    <n v="2"/>
    <n v="0"/>
    <n v="2"/>
    <n v="18"/>
  </r>
  <r>
    <x v="3"/>
    <s v="S12000033"/>
    <x v="28"/>
    <n v="7"/>
    <n v="1"/>
    <n v="4"/>
    <n v="2"/>
    <n v="0"/>
    <n v="4"/>
    <n v="18"/>
  </r>
  <r>
    <x v="3"/>
    <s v="S12000041"/>
    <x v="1"/>
    <n v="11"/>
    <n v="0"/>
    <n v="1"/>
    <n v="0"/>
    <n v="0"/>
    <n v="1"/>
    <n v="13"/>
  </r>
  <r>
    <x v="4"/>
    <s v="S12000006"/>
    <x v="11"/>
    <n v="21"/>
    <n v="1"/>
    <n v="0"/>
    <n v="3"/>
    <n v="0"/>
    <n v="3"/>
    <n v="28"/>
  </r>
  <r>
    <x v="3"/>
    <s v="S12000006"/>
    <x v="11"/>
    <n v="21"/>
    <n v="1"/>
    <n v="0"/>
    <n v="3"/>
    <n v="0"/>
    <n v="3"/>
    <n v="28"/>
  </r>
  <r>
    <x v="3"/>
    <s v="S12000042"/>
    <x v="12"/>
    <n v="7"/>
    <n v="2"/>
    <n v="2"/>
    <n v="1"/>
    <n v="0"/>
    <n v="7"/>
    <n v="19"/>
  </r>
  <r>
    <x v="0"/>
    <s v="S12000008"/>
    <x v="2"/>
    <n v="9"/>
    <n v="1"/>
    <n v="1"/>
    <n v="0"/>
    <n v="0"/>
    <n v="0"/>
    <n v="11"/>
  </r>
  <r>
    <x v="1"/>
    <s v="S12000008"/>
    <x v="2"/>
    <n v="9"/>
    <n v="1"/>
    <n v="1"/>
    <n v="0"/>
    <n v="0"/>
    <n v="0"/>
    <n v="11"/>
  </r>
  <r>
    <x v="5"/>
    <s v="S12000045"/>
    <x v="19"/>
    <n v="3"/>
    <n v="0"/>
    <n v="2"/>
    <n v="0"/>
    <n v="0"/>
    <n v="1"/>
    <n v="6"/>
  </r>
  <r>
    <x v="3"/>
    <s v="S12000010"/>
    <x v="3"/>
    <n v="8"/>
    <n v="0"/>
    <n v="0"/>
    <n v="0"/>
    <n v="0"/>
    <n v="1"/>
    <n v="9"/>
  </r>
  <r>
    <x v="0"/>
    <s v="S12000011"/>
    <x v="4"/>
    <n v="2"/>
    <n v="0"/>
    <n v="0"/>
    <n v="0"/>
    <n v="0"/>
    <n v="0"/>
    <n v="2"/>
  </r>
  <r>
    <x v="5"/>
    <s v="S12000049"/>
    <x v="13"/>
    <n v="17"/>
    <n v="2"/>
    <n v="0"/>
    <n v="3"/>
    <n v="0"/>
    <n v="5"/>
    <n v="27"/>
  </r>
  <r>
    <x v="0"/>
    <s v="S12000017"/>
    <x v="14"/>
    <n v="65"/>
    <n v="2"/>
    <n v="3"/>
    <n v="3"/>
    <n v="8"/>
    <n v="2"/>
    <n v="83"/>
  </r>
  <r>
    <x v="1"/>
    <s v="S12000017"/>
    <x v="14"/>
    <n v="65"/>
    <n v="1"/>
    <n v="1"/>
    <n v="3"/>
    <n v="3"/>
    <n v="2"/>
    <n v="75"/>
  </r>
  <r>
    <x v="3"/>
    <s v="S12000018"/>
    <x v="15"/>
    <n v="6"/>
    <n v="1"/>
    <n v="0"/>
    <n v="0"/>
    <n v="0"/>
    <n v="0"/>
    <n v="7"/>
  </r>
  <r>
    <x v="0"/>
    <s v="S12000020"/>
    <x v="21"/>
    <n v="13"/>
    <n v="0"/>
    <n v="1"/>
    <n v="1"/>
    <n v="2"/>
    <n v="3"/>
    <n v="20"/>
  </r>
  <r>
    <x v="4"/>
    <s v="S12000020"/>
    <x v="21"/>
    <n v="13"/>
    <n v="0"/>
    <n v="1"/>
    <n v="1"/>
    <n v="2"/>
    <n v="4"/>
    <n v="21"/>
  </r>
  <r>
    <x v="1"/>
    <s v="S12000020"/>
    <x v="21"/>
    <n v="13"/>
    <n v="0"/>
    <n v="1"/>
    <n v="1"/>
    <n v="2"/>
    <n v="4"/>
    <n v="21"/>
  </r>
  <r>
    <x v="5"/>
    <s v="S12000050"/>
    <x v="22"/>
    <n v="9"/>
    <n v="1"/>
    <n v="1"/>
    <n v="1"/>
    <n v="0"/>
    <n v="4"/>
    <n v="16"/>
  </r>
  <r>
    <x v="0"/>
    <s v="S12000023"/>
    <x v="23"/>
    <n v="16"/>
    <n v="0"/>
    <n v="0"/>
    <n v="0"/>
    <n v="1"/>
    <n v="0"/>
    <n v="17"/>
  </r>
  <r>
    <x v="0"/>
    <s v="S12000048"/>
    <x v="24"/>
    <n v="15"/>
    <n v="1"/>
    <n v="3"/>
    <n v="1"/>
    <n v="3"/>
    <n v="0"/>
    <n v="23"/>
  </r>
  <r>
    <x v="4"/>
    <s v="S12000048"/>
    <x v="24"/>
    <n v="15"/>
    <n v="1"/>
    <n v="2"/>
    <n v="1"/>
    <n v="3"/>
    <n v="0"/>
    <n v="22"/>
  </r>
  <r>
    <x v="1"/>
    <s v="S12000048"/>
    <x v="24"/>
    <n v="15"/>
    <n v="1"/>
    <n v="0"/>
    <n v="1"/>
    <n v="3"/>
    <n v="1"/>
    <n v="21"/>
  </r>
  <r>
    <x v="1"/>
    <s v="S12000038"/>
    <x v="16"/>
    <n v="4"/>
    <n v="2"/>
    <n v="0"/>
    <n v="0"/>
    <n v="0"/>
    <n v="3"/>
    <n v="9"/>
  </r>
  <r>
    <x v="1"/>
    <s v="S12000026"/>
    <x v="8"/>
    <n v="17"/>
    <n v="0"/>
    <n v="0"/>
    <n v="2"/>
    <n v="0"/>
    <n v="2"/>
    <n v="21"/>
  </r>
  <r>
    <x v="3"/>
    <s v="S12000027"/>
    <x v="17"/>
    <n v="15"/>
    <n v="0"/>
    <n v="0"/>
    <n v="0"/>
    <n v="1"/>
    <n v="1"/>
    <n v="17"/>
  </r>
  <r>
    <x v="0"/>
    <s v="S12000028"/>
    <x v="25"/>
    <n v="7"/>
    <n v="1"/>
    <n v="0"/>
    <n v="1"/>
    <n v="0"/>
    <n v="0"/>
    <n v="9"/>
  </r>
  <r>
    <x v="4"/>
    <s v="S12000028"/>
    <x v="25"/>
    <n v="7"/>
    <n v="1"/>
    <n v="0"/>
    <n v="1"/>
    <n v="0"/>
    <n v="0"/>
    <n v="9"/>
  </r>
  <r>
    <x v="1"/>
    <s v="S12000028"/>
    <x v="25"/>
    <n v="7"/>
    <n v="1"/>
    <n v="0"/>
    <n v="1"/>
    <n v="0"/>
    <n v="0"/>
    <n v="9"/>
  </r>
  <r>
    <x v="2"/>
    <s v="S12000029"/>
    <x v="26"/>
    <n v="14"/>
    <n v="1"/>
    <n v="1"/>
    <n v="2"/>
    <n v="0"/>
    <n v="6"/>
    <n v="24"/>
  </r>
  <r>
    <x v="5"/>
    <s v="S12000029"/>
    <x v="26"/>
    <n v="15"/>
    <n v="0"/>
    <n v="1"/>
    <n v="2"/>
    <n v="0"/>
    <n v="5"/>
    <n v="23"/>
  </r>
  <r>
    <x v="2"/>
    <s v="S12000030"/>
    <x v="29"/>
    <n v="9"/>
    <n v="0"/>
    <n v="0"/>
    <n v="1"/>
    <n v="2"/>
    <n v="3"/>
    <n v="15"/>
  </r>
  <r>
    <x v="5"/>
    <s v="S12000040"/>
    <x v="27"/>
    <n v="8"/>
    <n v="0"/>
    <n v="0"/>
    <n v="1"/>
    <n v="0"/>
    <n v="1"/>
    <n v="10"/>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x v="0"/>
    <s v="Scotland"/>
    <s v="S92000003"/>
    <n v="212.96"/>
    <n v="0"/>
    <n v="5"/>
    <n v="11"/>
    <n v="51.56"/>
    <n v="51.01"/>
    <n v="94.39"/>
  </r>
  <r>
    <x v="1"/>
    <x v="0"/>
    <s v="Scotland"/>
    <s v="S92000003"/>
    <n v="220.79"/>
    <n v="0"/>
    <n v="5"/>
    <n v="12.85"/>
    <n v="49.46"/>
    <n v="50.79"/>
    <n v="102.69"/>
  </r>
  <r>
    <x v="2"/>
    <x v="0"/>
    <s v="Scotland"/>
    <s v="S92000003"/>
    <n v="195.16952380952381"/>
    <n v="0"/>
    <n v="6"/>
    <n v="6.8333333333333339"/>
    <n v="50.314285714285717"/>
    <n v="43"/>
    <n v="89.021904761904764"/>
  </r>
  <r>
    <x v="3"/>
    <x v="0"/>
    <s v="Scotland"/>
    <s v="S92000003"/>
    <n v="160"/>
    <n v="0"/>
    <n v="5"/>
    <n v="8"/>
    <n v="40"/>
    <n v="30"/>
    <n v="76"/>
  </r>
  <r>
    <x v="4"/>
    <x v="0"/>
    <s v="Scotland"/>
    <s v="S92000003"/>
    <n v="184"/>
    <n v="0"/>
    <n v="5"/>
    <n v="8"/>
    <n v="43"/>
    <n v="27"/>
    <n v="101"/>
  </r>
  <r>
    <x v="5"/>
    <x v="0"/>
    <s v="Scotland"/>
    <s v="S92000003"/>
    <n v="202.32999999999998"/>
    <n v="1"/>
    <n v="4"/>
    <n v="9"/>
    <n v="42"/>
    <n v="27"/>
    <n v="119.33"/>
  </r>
  <r>
    <x v="6"/>
    <x v="0"/>
    <s v="Scotland"/>
    <s v="S92000003"/>
    <n v="183.82999999999998"/>
    <n v="1"/>
    <n v="4"/>
    <n v="8"/>
    <n v="45"/>
    <n v="26"/>
    <n v="99.83"/>
  </r>
  <r>
    <x v="7"/>
    <x v="0"/>
    <s v="Scotland"/>
    <s v="S92000003"/>
    <n v="176.06"/>
    <n v="1"/>
    <n v="4"/>
    <n v="10"/>
    <n v="41"/>
    <n v="30"/>
    <n v="90.06"/>
  </r>
  <r>
    <x v="8"/>
    <x v="0"/>
    <s v="Scotland"/>
    <s v="S92000003"/>
    <n v="170.46"/>
    <n v="1"/>
    <n v="4"/>
    <n v="10"/>
    <n v="42"/>
    <n v="27"/>
    <n v="86.460000000000008"/>
  </r>
  <r>
    <x v="9"/>
    <x v="0"/>
    <s v="Scotland"/>
    <s v="S92000003"/>
    <n v="168.06"/>
    <n v="1"/>
    <n v="4"/>
    <n v="10"/>
    <n v="36.86"/>
    <n v="28.29"/>
    <n v="87.91"/>
  </r>
  <r>
    <x v="10"/>
    <x v="0"/>
    <s v="Scotland"/>
    <s v="S92000003"/>
    <n v="166.20999999999998"/>
    <n v="1"/>
    <n v="4"/>
    <n v="9"/>
    <n v="39.57"/>
    <n v="25.79"/>
    <n v="86.85"/>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s v="S92000003"/>
    <x v="0"/>
    <s v="Scotland"/>
    <m/>
    <n v="69.7"/>
    <n v="19.8"/>
    <n v="42.3"/>
    <n v="256.40000000000003"/>
    <n v="199.5"/>
    <n v="223.6"/>
    <n v="811.3"/>
  </r>
  <r>
    <x v="1"/>
    <s v="S92000003"/>
    <x v="0"/>
    <s v="Scotland"/>
    <n v="2"/>
    <n v="43.99"/>
    <n v="35.9"/>
    <n v="55.47"/>
    <n v="327.22999999999996"/>
    <n v="126.98"/>
    <n v="152.39000000000001"/>
    <n v="743.95999999999992"/>
  </r>
  <r>
    <x v="2"/>
    <s v="S92000003"/>
    <x v="0"/>
    <s v="Scotland"/>
    <n v="3"/>
    <n v="40"/>
    <n v="33.309428571428569"/>
    <n v="70.714285714285722"/>
    <n v="303.60857142857139"/>
    <n v="122.20028571428574"/>
    <n v="146"/>
    <n v="718.56228571428574"/>
  </r>
  <r>
    <x v="3"/>
    <s v="S92000003"/>
    <x v="0"/>
    <s v="Scotland"/>
    <n v="3"/>
    <n v="42"/>
    <n v="33"/>
    <n v="74"/>
    <n v="334"/>
    <n v="115"/>
    <n v="140"/>
    <n v="745"/>
  </r>
  <r>
    <x v="4"/>
    <s v="S92000003"/>
    <x v="0"/>
    <s v="Scotland"/>
    <n v="2"/>
    <n v="50"/>
    <n v="31"/>
    <n v="76"/>
    <n v="355"/>
    <n v="110"/>
    <n v="135"/>
    <n v="759"/>
  </r>
  <r>
    <x v="5"/>
    <s v="S92000003"/>
    <x v="0"/>
    <s v="Scotland"/>
    <n v="3"/>
    <n v="49"/>
    <n v="34"/>
    <n v="80.399999999999991"/>
    <n v="375.56000000000012"/>
    <n v="58.610000000000042"/>
    <n v="144.99"/>
    <n v="745.56000000000006"/>
  </r>
  <r>
    <x v="6"/>
    <s v="S92000003"/>
    <x v="0"/>
    <s v="Scotland"/>
    <n v="3"/>
    <n v="47"/>
    <n v="32"/>
    <n v="88.61"/>
    <n v="382.50000000000017"/>
    <n v="56.950000000000038"/>
    <n v="154.34"/>
    <n v="764.4000000000002"/>
  </r>
  <r>
    <x v="7"/>
    <s v="S92000003"/>
    <x v="0"/>
    <s v="Scotland"/>
    <n v="3"/>
    <n v="49.8"/>
    <n v="30"/>
    <n v="88.429999999999993"/>
    <n v="398.88000000000017"/>
    <n v="55.73000000000004"/>
    <n v="160.44999999999996"/>
    <n v="786.29000000000008"/>
  </r>
  <r>
    <x v="8"/>
    <s v="S92000003"/>
    <x v="0"/>
    <s v="Scotland"/>
    <n v="4"/>
    <n v="57"/>
    <n v="32"/>
    <n v="100.35"/>
    <n v="449.55000000000018"/>
    <n v="55.650000000000041"/>
    <n v="163.91000000000003"/>
    <n v="862.46000000000026"/>
  </r>
  <r>
    <x v="9"/>
    <s v="S92000003"/>
    <x v="0"/>
    <s v="Scotland"/>
    <n v="4"/>
    <n v="80.139999999999986"/>
    <n v="36"/>
    <n v="94.669999999999973"/>
    <n v="441.38000000000017"/>
    <n v="53.880000000000038"/>
    <n v="140.27999999999997"/>
    <n v="850.35"/>
  </r>
  <r>
    <x v="10"/>
    <s v="S92000003"/>
    <x v="0"/>
    <s v="Scotland"/>
    <n v="3"/>
    <n v="85.679999999999993"/>
    <n v="35"/>
    <n v="88.1"/>
    <n v="438.38000000000022"/>
    <n v="55.880000000000038"/>
    <n v="123.36"/>
    <n v="829.4000000000002"/>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
  <r>
    <x v="0"/>
    <x v="0"/>
    <n v="961"/>
    <n v="545"/>
    <n v="416"/>
  </r>
  <r>
    <x v="1"/>
    <x v="1"/>
    <n v="230"/>
    <n v="192"/>
    <n v="38"/>
  </r>
  <r>
    <x v="2"/>
    <x v="0"/>
    <n v="828"/>
    <n v="463"/>
    <n v="365"/>
  </r>
  <r>
    <x v="3"/>
    <x v="1"/>
    <n v="207"/>
    <n v="172"/>
    <n v="35"/>
  </r>
  <r>
    <x v="4"/>
    <x v="2"/>
    <n v="315"/>
    <n v="54"/>
    <n v="261"/>
  </r>
  <r>
    <x v="4"/>
    <x v="3"/>
    <n v="3636"/>
    <n v="222"/>
    <n v="3414"/>
  </r>
  <r>
    <x v="5"/>
    <x v="4"/>
    <n v="54"/>
    <n v="11"/>
    <n v="43"/>
  </r>
  <r>
    <x v="6"/>
    <x v="5"/>
    <n v="2735"/>
    <n v="185"/>
    <n v="2550"/>
  </r>
  <r>
    <x v="7"/>
    <x v="1"/>
    <n v="171"/>
    <n v="142"/>
    <n v="29"/>
  </r>
  <r>
    <x v="7"/>
    <x v="2"/>
    <n v="269"/>
    <n v="42"/>
    <n v="227"/>
  </r>
  <r>
    <x v="1"/>
    <x v="2"/>
    <n v="378"/>
    <n v="56"/>
    <n v="322"/>
  </r>
  <r>
    <x v="4"/>
    <x v="5"/>
    <n v="2937"/>
    <n v="208"/>
    <n v="2729"/>
  </r>
  <r>
    <x v="6"/>
    <x v="4"/>
    <n v="55"/>
    <n v="9"/>
    <n v="46"/>
  </r>
  <r>
    <x v="7"/>
    <x v="5"/>
    <n v="2708"/>
    <n v="191"/>
    <n v="2517"/>
  </r>
  <r>
    <x v="7"/>
    <x v="0"/>
    <n v="887"/>
    <n v="482"/>
    <n v="405"/>
  </r>
  <r>
    <x v="0"/>
    <x v="3"/>
    <n v="4001"/>
    <n v="159"/>
    <n v="3842"/>
  </r>
  <r>
    <x v="2"/>
    <x v="5"/>
    <n v="2870"/>
    <n v="163"/>
    <n v="2707"/>
  </r>
  <r>
    <x v="8"/>
    <x v="3"/>
    <n v="3645"/>
    <n v="178"/>
    <n v="3467"/>
  </r>
  <r>
    <x v="3"/>
    <x v="5"/>
    <n v="2935"/>
    <n v="201"/>
    <n v="2734"/>
  </r>
  <r>
    <x v="3"/>
    <x v="2"/>
    <n v="317"/>
    <n v="54"/>
    <n v="263"/>
  </r>
  <r>
    <x v="5"/>
    <x v="0"/>
    <n v="835"/>
    <n v="461"/>
    <n v="374"/>
  </r>
  <r>
    <x v="9"/>
    <x v="1"/>
    <n v="174"/>
    <n v="146"/>
    <n v="28"/>
  </r>
  <r>
    <x v="9"/>
    <x v="4"/>
    <n v="53"/>
    <n v="10"/>
    <n v="43"/>
  </r>
  <r>
    <x v="9"/>
    <x v="0"/>
    <n v="920"/>
    <n v="501"/>
    <n v="419"/>
  </r>
  <r>
    <x v="6"/>
    <x v="1"/>
    <n v="172"/>
    <n v="144"/>
    <n v="28"/>
  </r>
  <r>
    <x v="2"/>
    <x v="2"/>
    <n v="342"/>
    <n v="56"/>
    <n v="286"/>
  </r>
  <r>
    <x v="10"/>
    <x v="0"/>
    <n v="846"/>
    <n v="476"/>
    <n v="370"/>
  </r>
  <r>
    <x v="3"/>
    <x v="0"/>
    <n v="792"/>
    <n v="427"/>
    <n v="365"/>
  </r>
  <r>
    <x v="4"/>
    <x v="0"/>
    <n v="817"/>
    <n v="447"/>
    <n v="370"/>
  </r>
  <r>
    <x v="5"/>
    <x v="5"/>
    <n v="2872"/>
    <n v="197"/>
    <n v="2675"/>
  </r>
  <r>
    <x v="5"/>
    <x v="2"/>
    <n v="303"/>
    <n v="52"/>
    <n v="251"/>
  </r>
  <r>
    <x v="9"/>
    <x v="2"/>
    <n v="277"/>
    <n v="46"/>
    <n v="231"/>
  </r>
  <r>
    <x v="7"/>
    <x v="3"/>
    <n v="3422"/>
    <n v="220"/>
    <n v="3202"/>
  </r>
  <r>
    <x v="1"/>
    <x v="0"/>
    <n v="867"/>
    <n v="480"/>
    <n v="387"/>
  </r>
  <r>
    <x v="2"/>
    <x v="1"/>
    <n v="203"/>
    <n v="171"/>
    <n v="32"/>
  </r>
  <r>
    <x v="8"/>
    <x v="1"/>
    <n v="165"/>
    <n v="139"/>
    <n v="26"/>
  </r>
  <r>
    <x v="10"/>
    <x v="3"/>
    <n v="3546"/>
    <n v="175"/>
    <n v="3371"/>
  </r>
  <r>
    <x v="5"/>
    <x v="1"/>
    <n v="182"/>
    <n v="151"/>
    <n v="31"/>
  </r>
  <r>
    <x v="5"/>
    <x v="3"/>
    <n v="3581"/>
    <n v="219"/>
    <n v="3362"/>
  </r>
  <r>
    <x v="6"/>
    <x v="0"/>
    <n v="901"/>
    <n v="484"/>
    <n v="417"/>
  </r>
  <r>
    <x v="6"/>
    <x v="2"/>
    <n v="266"/>
    <n v="40"/>
    <n v="226"/>
  </r>
  <r>
    <x v="0"/>
    <x v="1"/>
    <n v="223"/>
    <n v="199"/>
    <n v="24"/>
  </r>
  <r>
    <x v="1"/>
    <x v="5"/>
    <n v="2950"/>
    <n v="172"/>
    <n v="2778"/>
  </r>
  <r>
    <x v="2"/>
    <x v="3"/>
    <n v="3690"/>
    <n v="167"/>
    <n v="3523"/>
  </r>
  <r>
    <x v="4"/>
    <x v="1"/>
    <n v="188"/>
    <n v="156"/>
    <n v="32"/>
  </r>
  <r>
    <x v="4"/>
    <x v="4"/>
    <n v="36"/>
    <n v="7"/>
    <n v="29"/>
  </r>
  <r>
    <x v="0"/>
    <x v="5"/>
    <n v="2940"/>
    <n v="178"/>
    <n v="2762"/>
  </r>
  <r>
    <x v="8"/>
    <x v="2"/>
    <n v="316"/>
    <n v="48"/>
    <n v="268"/>
  </r>
  <r>
    <x v="10"/>
    <x v="1"/>
    <n v="189"/>
    <n v="158"/>
    <n v="31"/>
  </r>
  <r>
    <x v="10"/>
    <x v="5"/>
    <n v="2863"/>
    <n v="171"/>
    <n v="2692"/>
  </r>
  <r>
    <x v="10"/>
    <x v="2"/>
    <n v="332"/>
    <n v="55"/>
    <n v="277"/>
  </r>
  <r>
    <x v="3"/>
    <x v="4"/>
    <n v="18"/>
    <n v="1"/>
    <n v="17"/>
  </r>
  <r>
    <x v="9"/>
    <x v="5"/>
    <n v="2758"/>
    <n v="191"/>
    <n v="2567"/>
  </r>
  <r>
    <x v="7"/>
    <x v="4"/>
    <n v="55"/>
    <n v="8"/>
    <n v="47"/>
  </r>
  <r>
    <x v="0"/>
    <x v="2"/>
    <n v="359"/>
    <n v="52"/>
    <n v="307"/>
  </r>
  <r>
    <x v="1"/>
    <x v="3"/>
    <n v="3856"/>
    <n v="164"/>
    <n v="3692"/>
  </r>
  <r>
    <x v="8"/>
    <x v="5"/>
    <n v="2870"/>
    <n v="158"/>
    <n v="2712"/>
  </r>
  <r>
    <x v="8"/>
    <x v="0"/>
    <n v="838"/>
    <n v="466"/>
    <n v="372"/>
  </r>
  <r>
    <x v="3"/>
    <x v="3"/>
    <n v="3637"/>
    <n v="196"/>
    <n v="3441"/>
  </r>
  <r>
    <x v="9"/>
    <x v="3"/>
    <n v="3530"/>
    <n v="225"/>
    <n v="3305"/>
  </r>
  <r>
    <x v="6"/>
    <x v="3"/>
    <n v="3490"/>
    <n v="227"/>
    <n v="3263"/>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
  <r>
    <x v="0"/>
    <x v="0"/>
    <n v="742"/>
    <n v="432"/>
    <n v="10"/>
    <n v="25"/>
    <n v="41"/>
  </r>
  <r>
    <x v="0"/>
    <x v="1"/>
    <n v="330"/>
    <n v="556"/>
    <n v="5"/>
    <n v="26"/>
    <n v="55"/>
  </r>
  <r>
    <x v="0"/>
    <x v="2"/>
    <n v="4"/>
    <n v="28"/>
    <m/>
    <n v="7"/>
    <n v="4"/>
  </r>
  <r>
    <x v="1"/>
    <x v="3"/>
    <n v="82"/>
    <n v="155"/>
    <n v="7"/>
    <n v="21"/>
    <n v="14"/>
  </r>
  <r>
    <x v="1"/>
    <x v="1"/>
    <n v="287"/>
    <n v="532"/>
    <n v="6"/>
    <n v="39"/>
    <n v="60"/>
  </r>
  <r>
    <x v="2"/>
    <x v="3"/>
    <n v="64"/>
    <n v="138"/>
    <n v="6"/>
    <n v="10"/>
    <n v="14"/>
  </r>
  <r>
    <x v="3"/>
    <x v="4"/>
    <n v="7"/>
    <n v="47"/>
    <m/>
    <n v="11"/>
    <n v="4"/>
  </r>
  <r>
    <x v="4"/>
    <x v="5"/>
    <n v="551"/>
    <n v="246"/>
    <n v="2"/>
    <n v="19"/>
    <n v="22"/>
  </r>
  <r>
    <x v="4"/>
    <x v="3"/>
    <n v="99"/>
    <n v="155"/>
    <n v="3"/>
    <n v="19"/>
    <n v="15"/>
  </r>
  <r>
    <x v="4"/>
    <x v="4"/>
    <n v="4"/>
    <n v="52"/>
    <n v="1"/>
    <n v="9"/>
    <n v="1"/>
  </r>
  <r>
    <x v="0"/>
    <x v="6"/>
    <n v="784"/>
    <n v="395"/>
    <n v="5"/>
    <n v="23"/>
    <n v="43"/>
  </r>
  <r>
    <x v="1"/>
    <x v="6"/>
    <n v="807"/>
    <n v="376"/>
    <n v="10"/>
    <n v="23"/>
    <n v="49"/>
  </r>
  <r>
    <x v="5"/>
    <x v="0"/>
    <n v="620"/>
    <n v="404"/>
    <n v="8"/>
    <n v="18"/>
    <n v="34"/>
  </r>
  <r>
    <x v="5"/>
    <x v="2"/>
    <n v="2"/>
    <n v="26"/>
    <m/>
    <m/>
    <n v="3"/>
  </r>
  <r>
    <x v="5"/>
    <x v="7"/>
    <n v="617"/>
    <n v="698"/>
    <n v="2"/>
    <n v="37"/>
    <n v="54"/>
  </r>
  <r>
    <x v="6"/>
    <x v="3"/>
    <n v="64"/>
    <n v="155"/>
    <n v="6"/>
    <n v="10"/>
    <n v="15"/>
  </r>
  <r>
    <x v="2"/>
    <x v="4"/>
    <n v="8"/>
    <n v="81"/>
    <n v="8"/>
    <n v="11"/>
    <n v="13"/>
  </r>
  <r>
    <x v="3"/>
    <x v="6"/>
    <n v="789"/>
    <n v="429"/>
    <m/>
    <n v="22"/>
    <n v="54"/>
  </r>
  <r>
    <x v="3"/>
    <x v="8"/>
    <n v="581"/>
    <n v="272"/>
    <m/>
    <n v="15"/>
    <n v="23"/>
  </r>
  <r>
    <x v="3"/>
    <x v="3"/>
    <n v="109"/>
    <n v="134"/>
    <m/>
    <n v="16"/>
    <n v="12"/>
  </r>
  <r>
    <x v="3"/>
    <x v="2"/>
    <n v="1"/>
    <n v="22"/>
    <m/>
    <n v="5"/>
    <n v="2"/>
  </r>
  <r>
    <x v="0"/>
    <x v="5"/>
    <n v="516"/>
    <n v="223"/>
    <n v="3"/>
    <n v="15"/>
    <n v="21"/>
  </r>
  <r>
    <x v="6"/>
    <x v="0"/>
    <n v="457"/>
    <n v="404"/>
    <n v="9"/>
    <n v="17"/>
    <n v="39"/>
  </r>
  <r>
    <x v="2"/>
    <x v="5"/>
    <n v="342"/>
    <n v="170"/>
    <n v="6"/>
    <n v="9"/>
    <n v="22"/>
  </r>
  <r>
    <x v="2"/>
    <x v="1"/>
    <n v="574"/>
    <n v="604"/>
    <n v="3"/>
    <n v="46"/>
    <n v="67"/>
  </r>
  <r>
    <x v="2"/>
    <x v="7"/>
    <n v="597"/>
    <n v="716"/>
    <n v="1"/>
    <n v="37"/>
    <n v="47"/>
  </r>
  <r>
    <x v="3"/>
    <x v="7"/>
    <n v="213"/>
    <n v="691"/>
    <m/>
    <n v="56"/>
    <n v="97"/>
  </r>
  <r>
    <x v="4"/>
    <x v="2"/>
    <n v="3"/>
    <n v="23"/>
    <m/>
    <n v="4"/>
    <n v="4"/>
  </r>
  <r>
    <x v="1"/>
    <x v="2"/>
    <n v="2"/>
    <n v="27"/>
    <m/>
    <n v="3"/>
    <n v="5"/>
  </r>
  <r>
    <x v="6"/>
    <x v="4"/>
    <n v="6"/>
    <n v="78"/>
    <n v="8"/>
    <n v="11"/>
    <n v="10"/>
  </r>
  <r>
    <x v="2"/>
    <x v="0"/>
    <n v="329"/>
    <n v="399"/>
    <n v="8"/>
    <n v="19"/>
    <n v="33"/>
  </r>
  <r>
    <x v="3"/>
    <x v="0"/>
    <n v="814"/>
    <n v="434"/>
    <m/>
    <n v="26"/>
    <n v="51"/>
  </r>
  <r>
    <x v="4"/>
    <x v="8"/>
    <n v="589"/>
    <n v="291"/>
    <n v="3"/>
    <n v="18"/>
    <n v="25"/>
  </r>
  <r>
    <x v="4"/>
    <x v="1"/>
    <n v="325"/>
    <n v="580"/>
    <n v="1"/>
    <n v="27"/>
    <n v="53"/>
  </r>
  <r>
    <x v="0"/>
    <x v="4"/>
    <n v="5"/>
    <n v="57"/>
    <n v="3"/>
    <n v="3"/>
    <n v="2"/>
  </r>
  <r>
    <x v="5"/>
    <x v="3"/>
    <n v="84"/>
    <n v="159"/>
    <n v="8"/>
    <n v="19"/>
    <n v="17"/>
  </r>
  <r>
    <x v="3"/>
    <x v="5"/>
    <n v="585"/>
    <n v="262"/>
    <m/>
    <n v="21"/>
    <n v="25"/>
  </r>
  <r>
    <x v="4"/>
    <x v="6"/>
    <n v="781"/>
    <n v="401"/>
    <n v="4"/>
    <n v="19"/>
    <n v="54"/>
  </r>
  <r>
    <x v="4"/>
    <x v="7"/>
    <n v="406"/>
    <n v="748"/>
    <n v="1"/>
    <n v="62"/>
    <n v="96"/>
  </r>
  <r>
    <x v="0"/>
    <x v="3"/>
    <n v="78"/>
    <n v="156"/>
    <n v="4"/>
    <n v="20"/>
    <n v="16"/>
  </r>
  <r>
    <x v="1"/>
    <x v="0"/>
    <n v="652"/>
    <n v="413"/>
    <n v="13"/>
    <n v="22"/>
    <n v="35"/>
  </r>
  <r>
    <x v="1"/>
    <x v="8"/>
    <n v="656"/>
    <n v="300"/>
    <n v="5"/>
    <n v="9"/>
    <n v="36"/>
  </r>
  <r>
    <x v="5"/>
    <x v="6"/>
    <n v="752"/>
    <n v="338"/>
    <n v="12"/>
    <n v="26"/>
    <n v="39"/>
  </r>
  <r>
    <x v="5"/>
    <x v="4"/>
    <n v="4"/>
    <n v="62"/>
    <n v="5"/>
    <n v="6"/>
    <n v="9"/>
  </r>
  <r>
    <x v="5"/>
    <x v="1"/>
    <n v="292"/>
    <n v="570"/>
    <n v="7"/>
    <n v="45"/>
    <n v="64"/>
  </r>
  <r>
    <x v="6"/>
    <x v="6"/>
    <n v="775"/>
    <n v="314"/>
    <n v="13"/>
    <n v="23"/>
    <n v="37"/>
  </r>
  <r>
    <x v="6"/>
    <x v="2"/>
    <n v="4"/>
    <n v="26"/>
    <m/>
    <m/>
    <n v="3"/>
  </r>
  <r>
    <x v="3"/>
    <x v="1"/>
    <n v="447"/>
    <n v="572"/>
    <m/>
    <n v="17"/>
    <n v="64"/>
  </r>
  <r>
    <x v="4"/>
    <x v="0"/>
    <n v="879"/>
    <n v="439"/>
    <n v="3"/>
    <n v="30"/>
    <n v="47"/>
  </r>
  <r>
    <x v="0"/>
    <x v="8"/>
    <n v="641"/>
    <n v="289"/>
    <n v="5"/>
    <n v="15"/>
    <n v="36"/>
  </r>
  <r>
    <x v="1"/>
    <x v="7"/>
    <n v="595"/>
    <n v="791"/>
    <n v="3"/>
    <n v="44"/>
    <n v="78"/>
  </r>
  <r>
    <x v="5"/>
    <x v="5"/>
    <n v="456"/>
    <n v="188"/>
    <n v="6"/>
    <n v="12"/>
    <n v="14"/>
  </r>
  <r>
    <x v="6"/>
    <x v="8"/>
    <n v="714"/>
    <n v="299"/>
    <n v="8"/>
    <n v="14"/>
    <n v="40"/>
  </r>
  <r>
    <x v="6"/>
    <x v="5"/>
    <n v="323"/>
    <n v="172"/>
    <n v="7"/>
    <n v="9"/>
    <n v="19"/>
  </r>
  <r>
    <x v="6"/>
    <x v="1"/>
    <n v="482"/>
    <n v="584"/>
    <n v="3"/>
    <n v="50"/>
    <n v="60"/>
  </r>
  <r>
    <x v="2"/>
    <x v="6"/>
    <n v="812"/>
    <n v="299"/>
    <n v="12"/>
    <n v="25"/>
    <n v="35"/>
  </r>
  <r>
    <x v="0"/>
    <x v="7"/>
    <n v="536"/>
    <n v="801"/>
    <n v="1"/>
    <n v="54"/>
    <n v="97"/>
  </r>
  <r>
    <x v="1"/>
    <x v="5"/>
    <n v="498"/>
    <n v="212"/>
    <n v="6"/>
    <n v="16"/>
    <n v="23"/>
  </r>
  <r>
    <x v="1"/>
    <x v="4"/>
    <n v="2"/>
    <n v="66"/>
    <n v="4"/>
    <n v="5"/>
    <n v="3"/>
  </r>
  <r>
    <x v="5"/>
    <x v="8"/>
    <n v="703"/>
    <n v="313"/>
    <n v="5"/>
    <n v="11"/>
    <n v="43"/>
  </r>
  <r>
    <x v="6"/>
    <x v="7"/>
    <n v="665"/>
    <n v="703"/>
    <n v="1"/>
    <n v="38"/>
    <n v="43"/>
  </r>
  <r>
    <x v="2"/>
    <x v="8"/>
    <n v="692"/>
    <n v="275"/>
    <n v="10"/>
    <n v="14"/>
    <n v="35"/>
  </r>
  <r>
    <x v="2"/>
    <x v="2"/>
    <n v="4"/>
    <n v="26"/>
    <n v="1"/>
    <m/>
    <n v="3"/>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n v="80.8"/>
    <n v="96.9"/>
    <m/>
    <n v="60.4"/>
    <n v="77.900000000000006"/>
    <n v="47.4"/>
    <n v="84.1"/>
    <n v="85.9"/>
  </r>
  <r>
    <x v="1"/>
    <n v="100"/>
    <n v="98"/>
    <m/>
    <n v="100"/>
    <n v="95"/>
    <n v="94"/>
    <n v="99"/>
    <n v="99"/>
  </r>
  <r>
    <x v="2"/>
    <n v="99.5"/>
    <n v="95.2"/>
    <m/>
    <n v="99.4"/>
    <n v="90.9"/>
    <n v="96.2"/>
    <n v="96.8"/>
    <n v="96.9"/>
  </r>
  <r>
    <x v="3"/>
    <n v="91.4"/>
    <n v="80.599999999999994"/>
    <m/>
    <n v="87.3"/>
    <n v="75.099999999999994"/>
    <n v="96.4"/>
    <n v="85.8"/>
    <n v="85.3"/>
  </r>
  <r>
    <x v="4"/>
    <n v="78.828704976629098"/>
    <n v="73.789366745682358"/>
    <m/>
    <n v="78.260869565217391"/>
    <n v="60.101010101010097"/>
    <n v="95.899053627760253"/>
    <n v="75.739944346066281"/>
    <n v="74.89787850836737"/>
  </r>
  <r>
    <x v="5"/>
    <n v="75.880088008800882"/>
    <n v="74.08920667347634"/>
    <n v="55.555555555555557"/>
    <n v="78.723404255319153"/>
    <n v="59.29095354523227"/>
    <n v="94.92063492063491"/>
    <n v="74.237074401008826"/>
    <n v="73.381483913328964"/>
  </r>
  <r>
    <x v="6"/>
    <n v="74.469866071428569"/>
    <n v="73.850974930362113"/>
    <n v="59.259259259259252"/>
    <n v="71.428571428571431"/>
    <n v="57.41626794258373"/>
    <n v="94.38943894389439"/>
    <n v="73.017494572851476"/>
    <n v="72.157279489904354"/>
  </r>
  <r>
    <x v="7"/>
    <n v="72.963067380885263"/>
    <n v="74.139804418688882"/>
    <n v="60.377358490566039"/>
    <n v="67.2316384180791"/>
    <n v="59.023354564755834"/>
    <n v="93.501805054151617"/>
    <n v="71.468674237590918"/>
    <n v="71.417112299465231"/>
  </r>
  <r>
    <x v="8"/>
    <n v="70.981507823613086"/>
    <n v="74.232456140350877"/>
    <n v="62.962962962962962"/>
    <n v="68.965517241379317"/>
    <n v="60.151187904967607"/>
    <n v="93.609022556390968"/>
    <n v="70.378447722899296"/>
    <n v="70.722484807562452"/>
  </r>
  <r>
    <x v="9"/>
    <n v="70.976176641487513"/>
    <n v="75.662739322533128"/>
    <n v="64.81481481481481"/>
    <n v="70.520231213872833"/>
    <n v="61.208791208791212"/>
    <n v="93.333333333333329"/>
    <n v="70.841436535718913"/>
    <n v="71.446196024674435"/>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x v="0"/>
    <x v="0"/>
    <n v="90.6"/>
    <n v="0.4"/>
    <n v="9"/>
  </r>
  <r>
    <x v="0"/>
    <x v="1"/>
    <n v="83.7"/>
    <n v="0.2"/>
    <n v="16.100000000000001"/>
  </r>
  <r>
    <x v="0"/>
    <x v="2"/>
    <n v="80.7"/>
    <n v="1.1000000000000001"/>
    <n v="18.2"/>
  </r>
  <r>
    <x v="0"/>
    <x v="3"/>
    <n v="82.1"/>
    <n v="0.6"/>
    <n v="17.3"/>
  </r>
  <r>
    <x v="0"/>
    <x v="4"/>
    <n v="82.9"/>
    <n v="0.6"/>
    <n v="16.5"/>
  </r>
  <r>
    <x v="0"/>
    <x v="5"/>
    <n v="67.5"/>
    <n v="0.2"/>
    <n v="32.299999999999997"/>
  </r>
  <r>
    <x v="0"/>
    <x v="6"/>
    <n v="82.5"/>
    <n v="0.8"/>
    <n v="16.7"/>
  </r>
  <r>
    <x v="1"/>
    <x v="0"/>
    <n v="84.6"/>
    <n v="0.4"/>
    <n v="15"/>
  </r>
  <r>
    <x v="1"/>
    <x v="1"/>
    <n v="81.8"/>
    <n v="0.2"/>
    <n v="18"/>
  </r>
  <r>
    <x v="1"/>
    <x v="2"/>
    <n v="65.5"/>
    <n v="1"/>
    <n v="33.5"/>
  </r>
  <r>
    <x v="1"/>
    <x v="3"/>
    <n v="74.400000000000006"/>
    <n v="0.6"/>
    <n v="25"/>
  </r>
  <r>
    <x v="1"/>
    <x v="4"/>
    <n v="75"/>
    <n v="0.6"/>
    <n v="24.4"/>
  </r>
  <r>
    <x v="1"/>
    <x v="5"/>
    <n v="62.7"/>
    <n v="0.2"/>
    <n v="37"/>
  </r>
  <r>
    <x v="1"/>
    <x v="6"/>
    <n v="72.2"/>
    <n v="0.8"/>
    <n v="27.1"/>
  </r>
  <r>
    <x v="2"/>
    <x v="0"/>
    <n v="89.7"/>
    <n v="0.4"/>
    <n v="9.8000000000000007"/>
  </r>
  <r>
    <x v="2"/>
    <x v="1"/>
    <n v="80.900000000000006"/>
    <n v="0.2"/>
    <n v="18.899999999999999"/>
  </r>
  <r>
    <x v="2"/>
    <x v="2"/>
    <n v="78.400000000000006"/>
    <n v="1"/>
    <n v="20.6"/>
  </r>
  <r>
    <x v="2"/>
    <x v="3"/>
    <n v="80.099999999999994"/>
    <n v="0.6"/>
    <n v="19.3"/>
  </r>
  <r>
    <x v="2"/>
    <x v="4"/>
    <n v="81"/>
    <n v="0.6"/>
    <n v="18.399999999999999"/>
  </r>
  <r>
    <x v="2"/>
    <x v="5"/>
    <n v="61.4"/>
    <n v="0.5"/>
    <n v="38.1"/>
  </r>
  <r>
    <x v="2"/>
    <x v="6"/>
    <n v="81.2"/>
    <n v="0.7"/>
    <n v="18"/>
  </r>
  <r>
    <x v="3"/>
    <x v="0"/>
    <n v="49.3"/>
    <m/>
    <n v="50.7"/>
  </r>
  <r>
    <x v="3"/>
    <x v="1"/>
    <n v="69.599999999999994"/>
    <n v="1.1000000000000001"/>
    <n v="29.3"/>
  </r>
  <r>
    <x v="3"/>
    <x v="2"/>
    <n v="55.2"/>
    <n v="1"/>
    <n v="43.8"/>
  </r>
  <r>
    <x v="3"/>
    <x v="3"/>
    <n v="61.1"/>
    <n v="0.8"/>
    <n v="38.1"/>
  </r>
  <r>
    <x v="3"/>
    <x v="4"/>
    <n v="62.5"/>
    <n v="0.8"/>
    <n v="36.700000000000003"/>
  </r>
  <r>
    <x v="3"/>
    <x v="5"/>
    <n v="30.1"/>
    <n v="0.6"/>
    <n v="69.400000000000006"/>
  </r>
  <r>
    <x v="3"/>
    <x v="6"/>
    <n v="59.8"/>
    <n v="0.6"/>
    <n v="39.6"/>
  </r>
  <r>
    <x v="4"/>
    <x v="0"/>
    <n v="63"/>
    <n v="0.4"/>
    <n v="36.5"/>
  </r>
  <r>
    <x v="4"/>
    <x v="1"/>
    <n v="67"/>
    <n v="0.1"/>
    <n v="32.799999999999997"/>
  </r>
  <r>
    <x v="4"/>
    <x v="2"/>
    <n v="53.7"/>
    <n v="1.2"/>
    <n v="45.1"/>
  </r>
  <r>
    <x v="4"/>
    <x v="3"/>
    <n v="60.2"/>
    <n v="0.5"/>
    <n v="39.299999999999997"/>
  </r>
  <r>
    <x v="4"/>
    <x v="4"/>
    <n v="61.8"/>
    <n v="0.5"/>
    <n v="37.700000000000003"/>
  </r>
  <r>
    <x v="4"/>
    <x v="5"/>
    <n v="26.7"/>
    <n v="0.5"/>
    <n v="72.8"/>
  </r>
  <r>
    <x v="4"/>
    <x v="6"/>
    <n v="59.5"/>
    <n v="0.6"/>
    <n v="39.9"/>
  </r>
  <r>
    <x v="5"/>
    <x v="0"/>
    <n v="64"/>
    <n v="0.5"/>
    <n v="35.5"/>
  </r>
  <r>
    <x v="5"/>
    <x v="1"/>
    <n v="60"/>
    <n v="0.6"/>
    <n v="39.4"/>
  </r>
  <r>
    <x v="5"/>
    <x v="2"/>
    <n v="53.4"/>
    <n v="0.8"/>
    <n v="45.8"/>
  </r>
  <r>
    <x v="5"/>
    <x v="3"/>
    <n v="55.3"/>
    <n v="0.6"/>
    <n v="44.1"/>
  </r>
  <r>
    <x v="5"/>
    <x v="4"/>
    <n v="56.3"/>
    <n v="0.6"/>
    <n v="43.1"/>
  </r>
  <r>
    <x v="5"/>
    <x v="5"/>
    <n v="32.5"/>
    <n v="0.9"/>
    <n v="66.7"/>
  </r>
  <r>
    <x v="5"/>
    <x v="6"/>
    <n v="53.7"/>
    <n v="0.5"/>
    <n v="45.7"/>
  </r>
  <r>
    <x v="6"/>
    <x v="0"/>
    <n v="55.8"/>
    <n v="0.6"/>
    <n v="43.6"/>
  </r>
  <r>
    <x v="6"/>
    <x v="1"/>
    <n v="58"/>
    <n v="0.6"/>
    <n v="41.4"/>
  </r>
  <r>
    <x v="6"/>
    <x v="2"/>
    <n v="53.9"/>
    <n v="0.6"/>
    <n v="45.5"/>
  </r>
  <r>
    <x v="6"/>
    <x v="3"/>
    <n v="53.7"/>
    <n v="0.6"/>
    <n v="45.7"/>
  </r>
  <r>
    <x v="6"/>
    <x v="4"/>
    <n v="54.2"/>
    <n v="0.6"/>
    <n v="45.2"/>
  </r>
  <r>
    <x v="6"/>
    <x v="5"/>
    <n v="42.7"/>
    <n v="0.3"/>
    <n v="57"/>
  </r>
  <r>
    <x v="6"/>
    <x v="6"/>
    <n v="51.2"/>
    <n v="0.5"/>
    <n v="48.3"/>
  </r>
  <r>
    <x v="7"/>
    <x v="0"/>
    <n v="52.9"/>
    <n v="0.5"/>
    <n v="46.6"/>
  </r>
  <r>
    <x v="7"/>
    <x v="1"/>
    <n v="65.900000000000006"/>
    <n v="1.2"/>
    <n v="32.9"/>
  </r>
  <r>
    <x v="7"/>
    <x v="2"/>
    <n v="61.2"/>
    <n v="1.4"/>
    <n v="37.4"/>
  </r>
  <r>
    <x v="7"/>
    <x v="3"/>
    <n v="59.2"/>
    <n v="1.2"/>
    <n v="39.6"/>
  </r>
  <r>
    <x v="7"/>
    <x v="4"/>
    <n v="60.2"/>
    <n v="1.2"/>
    <n v="38.6"/>
  </r>
  <r>
    <x v="7"/>
    <x v="5"/>
    <n v="37.299999999999997"/>
    <n v="0.6"/>
    <n v="62"/>
  </r>
  <r>
    <x v="7"/>
    <x v="6"/>
    <n v="55.7"/>
    <n v="1.2"/>
    <n v="43.1"/>
  </r>
  <r>
    <x v="8"/>
    <x v="0"/>
    <n v="53.623188405797109"/>
    <n v="0.96618357487922701"/>
    <n v="45.410628019323674"/>
  </r>
  <r>
    <x v="8"/>
    <x v="1"/>
    <n v="67.558415171012527"/>
    <n v="1.1175076193701321"/>
    <n v="31.324077209617339"/>
  </r>
  <r>
    <x v="8"/>
    <x v="2"/>
    <n v="68.055555555555557"/>
    <n v="1.7676767676767675"/>
    <n v="30.176767676767675"/>
  </r>
  <r>
    <x v="8"/>
    <x v="3"/>
    <n v="62.699215785479382"/>
    <n v="1.2142676448267138"/>
    <n v="36.086516569693906"/>
  </r>
  <r>
    <x v="8"/>
    <x v="4"/>
    <n v="63.802872578732369"/>
    <n v="1.2386348662537885"/>
    <n v="34.958492555013834"/>
  </r>
  <r>
    <x v="8"/>
    <x v="5"/>
    <n v="36.277602523659311"/>
    <n v="0.63091482649842268"/>
    <n v="63.09148264984227"/>
  </r>
  <r>
    <x v="8"/>
    <x v="6"/>
    <n v="60.406928787462199"/>
    <n v="1.2372834753918065"/>
    <n v="38.355787737146002"/>
  </r>
  <r>
    <x v="9"/>
    <x v="0"/>
    <n v="53.191489361702125"/>
    <n v="1.0638297872340425"/>
    <n v="45.744680851063826"/>
  </r>
  <r>
    <x v="9"/>
    <x v="1"/>
    <n v="63.534218590398361"/>
    <n v="1.0554988083077972"/>
    <n v="35.410282601293837"/>
  </r>
  <r>
    <x v="9"/>
    <x v="7"/>
    <n v="86.111111111111114"/>
    <m/>
    <n v="13.888888888888889"/>
  </r>
  <r>
    <x v="9"/>
    <x v="2"/>
    <n v="66.992665036674808"/>
    <n v="1.5892420537897312"/>
    <n v="31.418092909535449"/>
  </r>
  <r>
    <x v="9"/>
    <x v="3"/>
    <n v="61.197982345523329"/>
    <n v="1.1727616645649432"/>
    <n v="37.629255989911726"/>
  </r>
  <r>
    <x v="9"/>
    <x v="4"/>
    <n v="62.298095863427449"/>
    <n v="1.1950098489822718"/>
    <n v="36.506894287590278"/>
  </r>
  <r>
    <x v="9"/>
    <x v="5"/>
    <n v="34.603174603174601"/>
    <n v="0.63492063492063489"/>
    <n v="64.761904761904759"/>
  </r>
  <r>
    <x v="9"/>
    <x v="6"/>
    <n v="60.478547854785482"/>
    <n v="1.2376237623762376"/>
    <n v="38.283828382838287"/>
  </r>
  <r>
    <x v="10"/>
    <x v="0"/>
    <n v="56.593406593406591"/>
    <n v="1.098901098901099"/>
    <n v="42.307692307692307"/>
  </r>
  <r>
    <x v="10"/>
    <x v="1"/>
    <n v="61.142061281337043"/>
    <n v="0.94011142061281339"/>
    <n v="37.917827298050142"/>
  </r>
  <r>
    <x v="10"/>
    <x v="7"/>
    <n v="87.037037037037038"/>
    <n v="1.8518518518518516"/>
    <n v="11.111111111111111"/>
  </r>
  <r>
    <x v="10"/>
    <x v="2"/>
    <n v="66.746411483253581"/>
    <n v="1.7942583732057416"/>
    <n v="31.459330143540669"/>
  </r>
  <r>
    <x v="10"/>
    <x v="3"/>
    <n v="60.094496232920449"/>
    <n v="1.2131273145192185"/>
    <n v="38.692376452560339"/>
  </r>
  <r>
    <x v="10"/>
    <x v="4"/>
    <n v="61.091923485653567"/>
    <n v="1.2353878852284803"/>
    <n v="37.672688629117964"/>
  </r>
  <r>
    <x v="10"/>
    <x v="5"/>
    <n v="35.313531353135311"/>
    <n v="0.66006600660066006"/>
    <n v="64.026402640264024"/>
  </r>
  <r>
    <x v="10"/>
    <x v="6"/>
    <n v="59.5703125"/>
    <n v="1.3392857142857142"/>
    <n v="39.090401785714285"/>
  </r>
  <r>
    <x v="11"/>
    <x v="8"/>
    <m/>
    <m/>
    <m/>
  </r>
  <r>
    <x v="11"/>
    <x v="0"/>
    <n v="55.932203389830505"/>
    <n v="2.2598870056497176"/>
    <n v="41.807909604519772"/>
  </r>
  <r>
    <x v="11"/>
    <x v="1"/>
    <n v="58.819268381021374"/>
    <n v="0.94168779427743576"/>
    <n v="40.239043824701191"/>
  </r>
  <r>
    <x v="11"/>
    <x v="7"/>
    <n v="88.679245283018872"/>
    <n v="1.8867924528301887"/>
    <n v="9.433962264150944"/>
  </r>
  <r>
    <x v="11"/>
    <x v="2"/>
    <n v="63.163481953290869"/>
    <n v="2.335456475583864"/>
    <n v="34.501061571125263"/>
  </r>
  <r>
    <x v="11"/>
    <x v="3"/>
    <n v="58.402449917060096"/>
    <n v="1.327038407553911"/>
    <n v="40.27051167538599"/>
  </r>
  <r>
    <x v="11"/>
    <x v="4"/>
    <n v="59.304812834224599"/>
    <n v="1.3636363636363635"/>
    <n v="39.331550802139034"/>
  </r>
  <r>
    <x v="11"/>
    <x v="5"/>
    <n v="36.823104693140799"/>
    <n v="0.72202166064981954"/>
    <n v="62.454873646209386"/>
  </r>
  <r>
    <x v="11"/>
    <x v="6"/>
    <n v="58.387369608119535"/>
    <n v="1.381449111925571"/>
    <n v="40.231181279954889"/>
  </r>
  <r>
    <x v="12"/>
    <x v="8"/>
    <m/>
    <m/>
    <m/>
  </r>
  <r>
    <x v="12"/>
    <x v="0"/>
    <n v="52.298850574712638"/>
    <n v="2.2988505747126435"/>
    <n v="45.402298850574709"/>
  </r>
  <r>
    <x v="12"/>
    <x v="1"/>
    <n v="55.190058479532169"/>
    <n v="1.0599415204678362"/>
    <n v="43.75"/>
  </r>
  <r>
    <x v="12"/>
    <x v="7"/>
    <n v="88.888888888888886"/>
    <n v="1.8518518518518516"/>
    <n v="9.2592592592592595"/>
  </r>
  <r>
    <x v="12"/>
    <x v="2"/>
    <n v="60.799136069114468"/>
    <n v="2.2678185745140391"/>
    <n v="36.933045356371494"/>
  </r>
  <r>
    <x v="12"/>
    <x v="3"/>
    <n v="55.432969852469526"/>
    <n v="1.308531109685696"/>
    <n v="43.258499037844771"/>
  </r>
  <r>
    <x v="12"/>
    <x v="4"/>
    <n v="56.313301823092509"/>
    <n v="1.3639432815665091"/>
    <n v="42.322754895340985"/>
  </r>
  <r>
    <x v="12"/>
    <x v="5"/>
    <n v="36.84210526315789"/>
    <n v="0.37593984962406013"/>
    <n v="62.781954887218049"/>
  </r>
  <r>
    <x v="12"/>
    <x v="6"/>
    <n v="55.704125177809395"/>
    <n v="1.3086770981507825"/>
    <n v="42.987197724039831"/>
  </r>
  <r>
    <x v="13"/>
    <x v="8"/>
    <m/>
    <m/>
    <m/>
  </r>
  <r>
    <x v="13"/>
    <x v="0"/>
    <n v="51.445086705202314"/>
    <n v="2.3121387283236992"/>
    <n v="46.24277456647399"/>
  </r>
  <r>
    <x v="13"/>
    <x v="1"/>
    <n v="50.994108983799705"/>
    <n v="0.81001472754050086"/>
    <n v="48.195876288659797"/>
  </r>
  <r>
    <x v="13"/>
    <x v="7"/>
    <n v="88.888888888888886"/>
    <n v="1.8518518518518516"/>
    <n v="9.2592592592592595"/>
  </r>
  <r>
    <x v="13"/>
    <x v="2"/>
    <n v="58.681318681318686"/>
    <n v="2.197802197802198"/>
    <n v="39.120879120879124"/>
  </r>
  <r>
    <x v="13"/>
    <x v="3"/>
    <n v="52.832879553999746"/>
    <n v="1.1798262673408531"/>
    <n v="45.987294178659404"/>
  </r>
  <r>
    <x v="13"/>
    <x v="4"/>
    <n v="53.749143248800543"/>
    <n v="1.233721727210418"/>
    <n v="45.017135023989034"/>
  </r>
  <r>
    <x v="13"/>
    <x v="5"/>
    <n v="35.555555555555557"/>
    <n v="0.37037037037037041"/>
    <n v="64.074074074074076"/>
  </r>
  <r>
    <x v="13"/>
    <x v="6"/>
    <n v="54.183614177803605"/>
    <n v="1.2492736780941311"/>
    <n v="44.567112144102268"/>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n v="0.4"/>
    <n v="0.3"/>
    <m/>
    <n v="2.1"/>
    <n v="1.4"/>
    <n v="0.4"/>
    <n v="0.6"/>
    <n v="0.6"/>
  </r>
  <r>
    <x v="1"/>
    <n v="0.5"/>
    <n v="0.3"/>
    <m/>
    <n v="2.1"/>
    <n v="1.5"/>
    <n v="0.5"/>
    <n v="0.6"/>
    <n v="0.6"/>
  </r>
  <r>
    <x v="2"/>
    <n v="0.2"/>
    <n v="0.2"/>
    <m/>
    <n v="1.8"/>
    <n v="0.7"/>
    <m/>
    <n v="0.3"/>
    <n v="0.3"/>
  </r>
  <r>
    <x v="3"/>
    <n v="0.2"/>
    <n v="0.2"/>
    <m/>
    <n v="2.2000000000000002"/>
    <n v="0.8"/>
    <m/>
    <n v="0.3"/>
    <n v="0.3"/>
  </r>
  <r>
    <x v="4"/>
    <n v="0"/>
    <n v="0.1"/>
    <m/>
    <n v="0"/>
    <n v="0.5"/>
    <n v="0.3"/>
    <n v="0.1"/>
    <n v="0.1"/>
  </r>
  <r>
    <x v="5"/>
    <n v="0"/>
    <n v="0.1"/>
    <m/>
    <n v="0"/>
    <n v="0.4"/>
    <n v="0.3"/>
    <n v="0.1"/>
    <n v="0.1"/>
  </r>
  <r>
    <x v="6"/>
    <n v="0.3"/>
    <n v="0.3"/>
    <m/>
    <n v="0"/>
    <n v="1.2"/>
    <n v="0.3"/>
    <n v="0.4"/>
    <n v="0.4"/>
  </r>
  <r>
    <x v="7"/>
    <n v="0.68737970855100361"/>
    <n v="0.44023027429732475"/>
    <n v="0"/>
    <n v="0.48309178743961351"/>
    <n v="2.1464646464646462"/>
    <n v="0.31545741324921134"/>
    <n v="0.7209714141158613"/>
    <n v="0.73791013308736331"/>
  </r>
  <r>
    <x v="8"/>
    <n v="0.74257425742574257"/>
    <n v="0.40858018386108275"/>
    <n v="0"/>
    <n v="0.53191489361702127"/>
    <n v="2.3227383863080684"/>
    <n v="0.31746031746031744"/>
    <n v="0.75662042875157631"/>
    <n v="0.77478660538411037"/>
  </r>
  <r>
    <x v="9"/>
    <n v="0.78125"/>
    <n v="0.45264623955431754"/>
    <n v="0"/>
    <n v="1.098901098901099"/>
    <n v="3.1100478468899522"/>
    <n v="0.33003300330033003"/>
    <n v="0.89388328438258202"/>
    <n v="0.91657810839532416"/>
  </r>
  <r>
    <x v="10"/>
    <n v="0.76120665351000849"/>
    <n v="0.43462513582035489"/>
    <n v="0"/>
    <n v="0.56497175141242939"/>
    <n v="2.7600849256900215"/>
    <n v="0.36101083032490977"/>
    <n v="0.85491897409723094"/>
    <n v="0.88235294117647056"/>
  </r>
  <r>
    <x v="11"/>
    <n v="0.96728307254623047"/>
    <n v="0.40204678362573099"/>
    <n v="0"/>
    <n v="1.1494252873563218"/>
    <n v="2.5917926565874732"/>
    <n v="0.37593984962406013"/>
    <n v="0.92366901860166761"/>
    <n v="0.95881161377447677"/>
  </r>
  <r>
    <x v="12"/>
    <n v="0.92969203951191159"/>
    <n v="0.33136966126656847"/>
    <n v="0"/>
    <n v="1.1560693641618496"/>
    <n v="2.7472527472527473"/>
    <n v="0.37037037037037041"/>
    <n v="0.89459354336833918"/>
    <n v="0.93214530500342707"/>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x v="0"/>
    <n v="14"/>
    <n v="38"/>
    <n v="24"/>
    <n v="38"/>
    <n v="8"/>
    <n v="122"/>
  </r>
  <r>
    <x v="0"/>
    <x v="1"/>
    <n v="180"/>
    <n v="209"/>
    <n v="5"/>
    <n v="54"/>
    <n v="16"/>
    <n v="464"/>
  </r>
  <r>
    <x v="1"/>
    <x v="0"/>
    <n v="21"/>
    <n v="23"/>
    <n v="0"/>
    <n v="38"/>
    <n v="6"/>
    <n v="88"/>
  </r>
  <r>
    <x v="1"/>
    <x v="1"/>
    <n v="98"/>
    <n v="200"/>
    <n v="0"/>
    <n v="29"/>
    <n v="15"/>
    <n v="342"/>
  </r>
  <r>
    <x v="2"/>
    <x v="0"/>
    <n v="3"/>
    <n v="7"/>
    <n v="4"/>
    <n v="33"/>
    <n v="1"/>
    <n v="48"/>
  </r>
  <r>
    <x v="2"/>
    <x v="1"/>
    <n v="106"/>
    <n v="126"/>
    <n v="0"/>
    <n v="23"/>
    <n v="7"/>
    <n v="262"/>
  </r>
  <r>
    <x v="3"/>
    <x v="0"/>
    <n v="10"/>
    <n v="21"/>
    <n v="7"/>
    <n v="69"/>
    <n v="2"/>
    <n v="109"/>
  </r>
  <r>
    <x v="3"/>
    <x v="1"/>
    <n v="124"/>
    <n v="140"/>
    <n v="2"/>
    <n v="66"/>
    <n v="8"/>
    <n v="340"/>
  </r>
  <r>
    <x v="4"/>
    <x v="0"/>
    <n v="14"/>
    <n v="16"/>
    <n v="12"/>
    <n v="29"/>
    <n v="0"/>
    <n v="71"/>
  </r>
  <r>
    <x v="4"/>
    <x v="1"/>
    <n v="212"/>
    <n v="183"/>
    <n v="6"/>
    <n v="35"/>
    <n v="15"/>
    <n v="451"/>
  </r>
  <r>
    <x v="5"/>
    <x v="0"/>
    <n v="13"/>
    <n v="26"/>
    <n v="1"/>
    <n v="32"/>
    <n v="3"/>
    <n v="75"/>
  </r>
  <r>
    <x v="5"/>
    <x v="1"/>
    <n v="79"/>
    <n v="222"/>
    <n v="0"/>
    <n v="41"/>
    <n v="15"/>
    <n v="357"/>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
  <r>
    <x v="0"/>
    <x v="0"/>
    <n v="26"/>
    <n v="56"/>
    <n v="8"/>
    <n v="11"/>
    <n v="4"/>
    <n v="105"/>
  </r>
  <r>
    <x v="0"/>
    <x v="1"/>
    <n v="61"/>
    <n v="50"/>
    <n v="9"/>
    <n v="12"/>
    <n v="5"/>
    <n v="137"/>
  </r>
  <r>
    <x v="0"/>
    <x v="2"/>
    <n v="61"/>
    <n v="50"/>
    <n v="7"/>
    <n v="8"/>
    <n v="3"/>
    <n v="129"/>
  </r>
  <r>
    <x v="0"/>
    <x v="3"/>
    <n v="25"/>
    <n v="30"/>
    <n v="5"/>
    <n v="7"/>
    <n v="3"/>
    <n v="70"/>
  </r>
  <r>
    <x v="0"/>
    <x v="4"/>
    <n v="13"/>
    <n v="28"/>
    <n v="0"/>
    <n v="12"/>
    <n v="2"/>
    <n v="55"/>
  </r>
  <r>
    <x v="0"/>
    <x v="5"/>
    <n v="7"/>
    <n v="16"/>
    <n v="0"/>
    <n v="13"/>
    <n v="3"/>
    <n v="39"/>
  </r>
  <r>
    <x v="0"/>
    <x v="6"/>
    <n v="1"/>
    <n v="11"/>
    <n v="0"/>
    <n v="9"/>
    <n v="3"/>
    <n v="24"/>
  </r>
  <r>
    <x v="0"/>
    <x v="7"/>
    <n v="0"/>
    <n v="2"/>
    <n v="0"/>
    <n v="11"/>
    <n v="0"/>
    <n v="13"/>
  </r>
  <r>
    <x v="0"/>
    <x v="8"/>
    <n v="0"/>
    <n v="0"/>
    <n v="0"/>
    <n v="6"/>
    <n v="0"/>
    <n v="6"/>
  </r>
  <r>
    <x v="0"/>
    <x v="9"/>
    <n v="0"/>
    <n v="0"/>
    <n v="0"/>
    <n v="1"/>
    <n v="1"/>
    <n v="2"/>
  </r>
  <r>
    <x v="0"/>
    <x v="10"/>
    <n v="0"/>
    <n v="4"/>
    <n v="0"/>
    <n v="2"/>
    <n v="0"/>
    <n v="6"/>
  </r>
  <r>
    <x v="1"/>
    <x v="0"/>
    <n v="7"/>
    <n v="52"/>
    <n v="0"/>
    <n v="6"/>
    <n v="4"/>
    <n v="69"/>
  </r>
  <r>
    <x v="1"/>
    <x v="1"/>
    <n v="41"/>
    <n v="43"/>
    <n v="0"/>
    <n v="14"/>
    <n v="2"/>
    <n v="100"/>
  </r>
  <r>
    <x v="1"/>
    <x v="2"/>
    <n v="43"/>
    <n v="42"/>
    <n v="0"/>
    <n v="5"/>
    <n v="6"/>
    <n v="96"/>
  </r>
  <r>
    <x v="1"/>
    <x v="3"/>
    <n v="14"/>
    <n v="40"/>
    <n v="0"/>
    <n v="10"/>
    <n v="2"/>
    <n v="66"/>
  </r>
  <r>
    <x v="1"/>
    <x v="4"/>
    <n v="9"/>
    <n v="11"/>
    <n v="0"/>
    <n v="10"/>
    <n v="1"/>
    <n v="31"/>
  </r>
  <r>
    <x v="1"/>
    <x v="5"/>
    <n v="3"/>
    <n v="16"/>
    <n v="0"/>
    <n v="5"/>
    <n v="3"/>
    <n v="27"/>
  </r>
  <r>
    <x v="1"/>
    <x v="6"/>
    <n v="1"/>
    <n v="8"/>
    <n v="0"/>
    <n v="7"/>
    <n v="3"/>
    <n v="19"/>
  </r>
  <r>
    <x v="1"/>
    <x v="7"/>
    <n v="1"/>
    <n v="3"/>
    <n v="0"/>
    <n v="6"/>
    <n v="0"/>
    <n v="10"/>
  </r>
  <r>
    <x v="1"/>
    <x v="8"/>
    <n v="0"/>
    <n v="0"/>
    <n v="0"/>
    <n v="1"/>
    <n v="0"/>
    <n v="1"/>
  </r>
  <r>
    <x v="1"/>
    <x v="10"/>
    <n v="0"/>
    <n v="8"/>
    <n v="0"/>
    <n v="3"/>
    <n v="0"/>
    <n v="11"/>
  </r>
  <r>
    <x v="2"/>
    <x v="0"/>
    <n v="11"/>
    <n v="26"/>
    <n v="1"/>
    <n v="4"/>
    <n v="0"/>
    <n v="42"/>
  </r>
  <r>
    <x v="2"/>
    <x v="1"/>
    <n v="37"/>
    <n v="33"/>
    <n v="0"/>
    <n v="8"/>
    <n v="2"/>
    <n v="80"/>
  </r>
  <r>
    <x v="2"/>
    <x v="2"/>
    <n v="35"/>
    <n v="31"/>
    <n v="1"/>
    <n v="13"/>
    <n v="2"/>
    <n v="82"/>
  </r>
  <r>
    <x v="2"/>
    <x v="3"/>
    <n v="17"/>
    <n v="22"/>
    <n v="0"/>
    <n v="6"/>
    <n v="1"/>
    <n v="46"/>
  </r>
  <r>
    <x v="2"/>
    <x v="4"/>
    <n v="6"/>
    <n v="5"/>
    <n v="1"/>
    <n v="3"/>
    <n v="0"/>
    <n v="15"/>
  </r>
  <r>
    <x v="2"/>
    <x v="5"/>
    <n v="2"/>
    <n v="6"/>
    <n v="0"/>
    <n v="3"/>
    <n v="2"/>
    <n v="13"/>
  </r>
  <r>
    <x v="2"/>
    <x v="6"/>
    <n v="0"/>
    <n v="6"/>
    <n v="0"/>
    <n v="8"/>
    <n v="0"/>
    <n v="14"/>
  </r>
  <r>
    <x v="2"/>
    <x v="7"/>
    <n v="1"/>
    <n v="3"/>
    <n v="0"/>
    <n v="6"/>
    <n v="1"/>
    <n v="11"/>
  </r>
  <r>
    <x v="2"/>
    <x v="8"/>
    <n v="0"/>
    <n v="0"/>
    <n v="1"/>
    <n v="4"/>
    <n v="0"/>
    <n v="5"/>
  </r>
  <r>
    <x v="2"/>
    <x v="10"/>
    <n v="0"/>
    <n v="1"/>
    <n v="0"/>
    <n v="1"/>
    <n v="0"/>
    <n v="2"/>
  </r>
  <r>
    <x v="3"/>
    <x v="0"/>
    <n v="17"/>
    <n v="39"/>
    <n v="3"/>
    <n v="14"/>
    <n v="0"/>
    <n v="73"/>
  </r>
  <r>
    <x v="3"/>
    <x v="1"/>
    <n v="44"/>
    <n v="38"/>
    <n v="2"/>
    <n v="18"/>
    <n v="1"/>
    <n v="103"/>
  </r>
  <r>
    <x v="3"/>
    <x v="2"/>
    <n v="44"/>
    <n v="35"/>
    <n v="2"/>
    <n v="16"/>
    <n v="2"/>
    <n v="99"/>
  </r>
  <r>
    <x v="3"/>
    <x v="3"/>
    <n v="17"/>
    <n v="16"/>
    <n v="2"/>
    <n v="9"/>
    <n v="2"/>
    <n v="46"/>
  </r>
  <r>
    <x v="3"/>
    <x v="4"/>
    <n v="8"/>
    <n v="14"/>
    <n v="0"/>
    <n v="15"/>
    <n v="3"/>
    <n v="40"/>
  </r>
  <r>
    <x v="3"/>
    <x v="5"/>
    <n v="3"/>
    <n v="9"/>
    <n v="0"/>
    <n v="12"/>
    <n v="0"/>
    <n v="24"/>
  </r>
  <r>
    <x v="3"/>
    <x v="6"/>
    <n v="1"/>
    <n v="5"/>
    <n v="0"/>
    <n v="14"/>
    <n v="2"/>
    <n v="22"/>
  </r>
  <r>
    <x v="3"/>
    <x v="7"/>
    <n v="0"/>
    <n v="1"/>
    <n v="0"/>
    <n v="21"/>
    <n v="0"/>
    <n v="22"/>
  </r>
  <r>
    <x v="3"/>
    <x v="8"/>
    <n v="0"/>
    <n v="1"/>
    <n v="0"/>
    <n v="14"/>
    <n v="0"/>
    <n v="15"/>
  </r>
  <r>
    <x v="3"/>
    <x v="9"/>
    <n v="0"/>
    <n v="0"/>
    <n v="0"/>
    <n v="2"/>
    <n v="0"/>
    <n v="2"/>
  </r>
  <r>
    <x v="3"/>
    <x v="10"/>
    <n v="0"/>
    <n v="3"/>
    <n v="0"/>
    <n v="0"/>
    <n v="0"/>
    <n v="3"/>
  </r>
  <r>
    <x v="4"/>
    <x v="0"/>
    <n v="27"/>
    <n v="39"/>
    <n v="1"/>
    <n v="3"/>
    <n v="3"/>
    <n v="73"/>
  </r>
  <r>
    <x v="4"/>
    <x v="1"/>
    <n v="67"/>
    <n v="39"/>
    <n v="6"/>
    <n v="8"/>
    <n v="1"/>
    <n v="121"/>
  </r>
  <r>
    <x v="4"/>
    <x v="2"/>
    <n v="68"/>
    <n v="44"/>
    <n v="5"/>
    <n v="16"/>
    <n v="2"/>
    <n v="135"/>
  </r>
  <r>
    <x v="4"/>
    <x v="3"/>
    <n v="41"/>
    <n v="29"/>
    <n v="2"/>
    <n v="7"/>
    <n v="2"/>
    <n v="81"/>
  </r>
  <r>
    <x v="4"/>
    <x v="4"/>
    <n v="16"/>
    <n v="21"/>
    <n v="2"/>
    <n v="4"/>
    <n v="2"/>
    <n v="45"/>
  </r>
  <r>
    <x v="4"/>
    <x v="5"/>
    <n v="3"/>
    <n v="5"/>
    <n v="1"/>
    <n v="3"/>
    <n v="1"/>
    <n v="13"/>
  </r>
  <r>
    <x v="4"/>
    <x v="6"/>
    <n v="3"/>
    <n v="6"/>
    <n v="1"/>
    <n v="11"/>
    <n v="1"/>
    <n v="22"/>
  </r>
  <r>
    <x v="4"/>
    <x v="7"/>
    <n v="1"/>
    <n v="11"/>
    <n v="0"/>
    <n v="10"/>
    <n v="3"/>
    <n v="25"/>
  </r>
  <r>
    <x v="4"/>
    <x v="8"/>
    <n v="0"/>
    <n v="2"/>
    <n v="0"/>
    <n v="1"/>
    <n v="0"/>
    <n v="3"/>
  </r>
  <r>
    <x v="4"/>
    <x v="9"/>
    <n v="0"/>
    <n v="0"/>
    <n v="0"/>
    <n v="1"/>
    <n v="0"/>
    <n v="1"/>
  </r>
  <r>
    <x v="4"/>
    <x v="10"/>
    <n v="0"/>
    <n v="3"/>
    <n v="0"/>
    <n v="0"/>
    <n v="0"/>
    <n v="3"/>
  </r>
  <r>
    <x v="5"/>
    <x v="0"/>
    <n v="10"/>
    <n v="58"/>
    <n v="1"/>
    <n v="2"/>
    <n v="1"/>
    <n v="72"/>
  </r>
  <r>
    <x v="5"/>
    <x v="1"/>
    <n v="34"/>
    <n v="51"/>
    <n v="0"/>
    <n v="8"/>
    <n v="4"/>
    <n v="97"/>
  </r>
  <r>
    <x v="5"/>
    <x v="2"/>
    <n v="20"/>
    <n v="44"/>
    <n v="0"/>
    <n v="10"/>
    <n v="1"/>
    <n v="75"/>
  </r>
  <r>
    <x v="5"/>
    <x v="3"/>
    <n v="17"/>
    <n v="34"/>
    <n v="0"/>
    <n v="6"/>
    <n v="2"/>
    <n v="59"/>
  </r>
  <r>
    <x v="5"/>
    <x v="4"/>
    <n v="4"/>
    <n v="23"/>
    <n v="0"/>
    <n v="6"/>
    <n v="2"/>
    <n v="35"/>
  </r>
  <r>
    <x v="5"/>
    <x v="5"/>
    <n v="2"/>
    <n v="16"/>
    <n v="0"/>
    <n v="11"/>
    <n v="4"/>
    <n v="33"/>
  </r>
  <r>
    <x v="5"/>
    <x v="6"/>
    <n v="4"/>
    <n v="6"/>
    <n v="0"/>
    <n v="10"/>
    <n v="2"/>
    <n v="22"/>
  </r>
  <r>
    <x v="5"/>
    <x v="7"/>
    <n v="1"/>
    <n v="4"/>
    <n v="0"/>
    <n v="15"/>
    <n v="2"/>
    <n v="22"/>
  </r>
  <r>
    <x v="5"/>
    <x v="8"/>
    <n v="0"/>
    <n v="1"/>
    <n v="0"/>
    <n v="2"/>
    <n v="0"/>
    <n v="3"/>
  </r>
  <r>
    <x v="5"/>
    <x v="9"/>
    <n v="0"/>
    <n v="1"/>
    <n v="0"/>
    <n v="0"/>
    <n v="0"/>
    <n v="1"/>
  </r>
  <r>
    <x v="5"/>
    <x v="11"/>
    <n v="0"/>
    <n v="1"/>
    <n v="0"/>
    <n v="0"/>
    <n v="0"/>
    <n v="1"/>
  </r>
  <r>
    <x v="5"/>
    <x v="10"/>
    <n v="0"/>
    <n v="9"/>
    <n v="0"/>
    <n v="3"/>
    <n v="0"/>
    <n v="12"/>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x v="0"/>
    <x v="0"/>
    <m/>
    <n v="1.6194331983805668"/>
    <m/>
    <n v="2.1739130434782608"/>
    <m/>
  </r>
  <r>
    <x v="1"/>
    <x v="0"/>
    <m/>
    <n v="0.89686098654708524"/>
    <m/>
    <m/>
    <m/>
  </r>
  <r>
    <x v="2"/>
    <x v="0"/>
    <n v="0.92592592592592582"/>
    <n v="0.75187969924812026"/>
    <m/>
    <n v="5.3571428571428568"/>
    <m/>
  </r>
  <r>
    <x v="3"/>
    <x v="0"/>
    <n v="1.4705882352941175"/>
    <n v="0.6211180124223602"/>
    <m/>
    <n v="6.0150375939849621"/>
    <m/>
  </r>
  <r>
    <x v="4"/>
    <x v="0"/>
    <m/>
    <m/>
    <m/>
    <n v="2.7397260273972601"/>
    <m/>
  </r>
  <r>
    <x v="0"/>
    <x v="1"/>
    <n v="59.27835051546392"/>
    <n v="44.534412955465584"/>
    <n v="62.068965517241381"/>
    <n v="43.478260869565219"/>
    <n v="100"/>
  </r>
  <r>
    <x v="1"/>
    <x v="1"/>
    <n v="85.714285714285708"/>
    <n v="88.340807174887885"/>
    <m/>
    <n v="62.68656716417911"/>
    <n v="95.238095238095227"/>
  </r>
  <r>
    <x v="2"/>
    <x v="1"/>
    <n v="77.777777777777786"/>
    <n v="90.977443609022558"/>
    <n v="40"/>
    <n v="55.357142857142854"/>
    <n v="100"/>
  </r>
  <r>
    <x v="3"/>
    <x v="1"/>
    <n v="81.617647058823522"/>
    <n v="94.409937888198755"/>
    <n v="77.777777777777786"/>
    <n v="58.646616541353382"/>
    <n v="100"/>
  </r>
  <r>
    <x v="5"/>
    <x v="1"/>
    <n v="82.222222222222214"/>
    <n v="92.964824120603012"/>
    <n v="90"/>
    <n v="73.015873015873012"/>
    <n v="93.333333333333329"/>
  </r>
  <r>
    <x v="4"/>
    <x v="1"/>
    <n v="95.061728395061735"/>
    <n v="94.354838709677423"/>
    <n v="100"/>
    <n v="69.863013698630141"/>
    <n v="100"/>
  </r>
  <r>
    <x v="0"/>
    <x v="2"/>
    <n v="40.72164948453608"/>
    <n v="53.846153846153847"/>
    <n v="37.931034482758619"/>
    <n v="54.347826086956516"/>
    <m/>
  </r>
  <r>
    <x v="1"/>
    <x v="2"/>
    <n v="14.285714285714285"/>
    <n v="10.762331838565023"/>
    <m/>
    <n v="37.313432835820898"/>
    <n v="4.7619047619047619"/>
  </r>
  <r>
    <x v="2"/>
    <x v="2"/>
    <n v="21.296296296296298"/>
    <n v="8.2706766917293226"/>
    <n v="60"/>
    <n v="39.285714285714285"/>
    <m/>
  </r>
  <r>
    <x v="3"/>
    <x v="2"/>
    <n v="16.911764705882355"/>
    <n v="4.9689440993788816"/>
    <n v="22.222222222222221"/>
    <n v="35.338345864661655"/>
    <m/>
  </r>
  <r>
    <x v="5"/>
    <x v="2"/>
    <n v="17.777777777777779"/>
    <n v="7.0351758793969852"/>
    <n v="10"/>
    <n v="26.984126984126984"/>
    <n v="6.666666666666667"/>
  </r>
  <r>
    <x v="4"/>
    <x v="2"/>
    <n v="4.9382716049382713"/>
    <n v="5.6451612903225801"/>
    <m/>
    <n v="27.397260273972602"/>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n v="8939"/>
    <m/>
    <n v="1461"/>
    <n v="2582"/>
  </r>
  <r>
    <x v="1"/>
    <n v="3319"/>
    <n v="192"/>
    <n v="603"/>
    <n v="2502"/>
  </r>
  <r>
    <x v="2"/>
    <n v="5688"/>
    <n v="192"/>
    <n v="1158"/>
    <n v="2106"/>
  </r>
  <r>
    <x v="3"/>
    <n v="7635"/>
    <m/>
    <n v="2592"/>
    <n v="3241"/>
  </r>
  <r>
    <x v="4"/>
    <n v="9834"/>
    <m/>
    <n v="2373"/>
    <n v="3501"/>
  </r>
  <r>
    <x v="5"/>
    <n v="7872"/>
    <m/>
    <n v="1973"/>
    <n v="2746"/>
  </r>
  <r>
    <x v="6"/>
    <n v="8206"/>
    <m/>
    <n v="1648"/>
    <n v="2038"/>
  </r>
  <r>
    <x v="7"/>
    <n v="6712"/>
    <n v="203"/>
    <n v="1389"/>
    <n v="1829"/>
  </r>
  <r>
    <x v="8"/>
    <n v="7654"/>
    <n v="208"/>
    <n v="1218"/>
    <n v="3466"/>
  </r>
  <r>
    <x v="9"/>
    <n v="7261"/>
    <n v="202"/>
    <n v="918"/>
    <n v="2460"/>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x v="0"/>
    <x v="0"/>
    <n v="3.608247422680412"/>
    <n v="1.214574898785425"/>
    <m/>
    <n v="2.1739130434782608"/>
    <m/>
  </r>
  <r>
    <x v="1"/>
    <x v="0"/>
    <n v="0.84033613445378152"/>
    <n v="0.44843049327354262"/>
    <m/>
    <n v="4.4776119402985071"/>
    <m/>
  </r>
  <r>
    <x v="2"/>
    <x v="0"/>
    <m/>
    <m/>
    <m/>
    <n v="3.5714285714285712"/>
    <m/>
  </r>
  <r>
    <x v="3"/>
    <x v="0"/>
    <n v="1.3333333333333335"/>
    <m/>
    <m/>
    <m/>
    <m/>
  </r>
  <r>
    <x v="4"/>
    <x v="0"/>
    <m/>
    <m/>
    <m/>
    <n v="2.7397260273972601"/>
    <m/>
  </r>
  <r>
    <x v="0"/>
    <x v="1"/>
    <n v="38.144329896907216"/>
    <n v="54.251012145748987"/>
    <n v="34.482758620689658"/>
    <n v="48.913043478260867"/>
    <m/>
  </r>
  <r>
    <x v="1"/>
    <x v="1"/>
    <n v="9.2436974789915975"/>
    <n v="8.5201793721973083"/>
    <m/>
    <n v="23.880597014925371"/>
    <m/>
  </r>
  <r>
    <x v="2"/>
    <x v="1"/>
    <n v="15.74074074074074"/>
    <n v="7.518796992481203"/>
    <n v="60"/>
    <n v="30.357142857142854"/>
    <m/>
  </r>
  <r>
    <x v="5"/>
    <x v="1"/>
    <n v="16.911764705882355"/>
    <n v="3.7267080745341614"/>
    <n v="22.222222222222221"/>
    <n v="31.578947368421051"/>
    <m/>
  </r>
  <r>
    <x v="3"/>
    <x v="1"/>
    <n v="16"/>
    <n v="4.5226130653266337"/>
    <n v="10"/>
    <n v="20.634920634920633"/>
    <m/>
  </r>
  <r>
    <x v="4"/>
    <x v="1"/>
    <n v="4.9382716049382713"/>
    <n v="3.225806451612903"/>
    <m/>
    <n v="16.43835616438356"/>
    <m/>
  </r>
  <r>
    <x v="0"/>
    <x v="2"/>
    <n v="58.247422680412377"/>
    <n v="44.534412955465584"/>
    <n v="65.517241379310349"/>
    <n v="48.913043478260867"/>
    <n v="100"/>
  </r>
  <r>
    <x v="1"/>
    <x v="2"/>
    <n v="89.915966386554629"/>
    <n v="91.031390134529147"/>
    <m/>
    <n v="71.641791044776113"/>
    <n v="100"/>
  </r>
  <r>
    <x v="2"/>
    <x v="2"/>
    <n v="84.259259259259252"/>
    <n v="92.481203007518801"/>
    <n v="40"/>
    <n v="66.071428571428569"/>
    <n v="100"/>
  </r>
  <r>
    <x v="5"/>
    <x v="2"/>
    <n v="83.088235294117652"/>
    <n v="96.273291925465841"/>
    <n v="77.777777777777786"/>
    <n v="68.421052631578945"/>
    <n v="100"/>
  </r>
  <r>
    <x v="3"/>
    <x v="2"/>
    <n v="82.666666666666671"/>
    <n v="95.477386934673376"/>
    <n v="90"/>
    <n v="79.365079365079367"/>
    <n v="100"/>
  </r>
  <r>
    <x v="4"/>
    <x v="2"/>
    <n v="95.061728395061735"/>
    <n v="96.774193548387103"/>
    <n v="100"/>
    <n v="80.821917808219183"/>
    <n v="100"/>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x v="0"/>
    <n v="39"/>
    <n v="1"/>
    <n v="37"/>
    <n v="13"/>
    <n v="90"/>
  </r>
  <r>
    <x v="0"/>
    <x v="1"/>
    <n v="44"/>
    <n v="2"/>
    <n v="22"/>
    <n v="10"/>
    <n v="78"/>
  </r>
  <r>
    <x v="0"/>
    <x v="2"/>
    <n v="32"/>
    <n v="0"/>
    <n v="12"/>
    <n v="9"/>
    <n v="53"/>
  </r>
  <r>
    <x v="0"/>
    <x v="3"/>
    <n v="48"/>
    <n v="1"/>
    <n v="15"/>
    <n v="8"/>
    <n v="72"/>
  </r>
  <r>
    <x v="0"/>
    <x v="4"/>
    <n v="33"/>
    <n v="1"/>
    <n v="9"/>
    <n v="10"/>
    <n v="53"/>
  </r>
  <r>
    <x v="0"/>
    <x v="5"/>
    <n v="33"/>
    <n v="5"/>
    <n v="25"/>
    <n v="0"/>
    <n v="63"/>
  </r>
  <r>
    <x v="0"/>
    <x v="6"/>
    <n v="27"/>
    <n v="0"/>
    <n v="39"/>
    <n v="0"/>
    <n v="66"/>
  </r>
  <r>
    <x v="0"/>
    <x v="7"/>
    <n v="34"/>
    <n v="0"/>
    <n v="29"/>
    <n v="3"/>
    <n v="66"/>
  </r>
  <r>
    <x v="0"/>
    <x v="8"/>
    <n v="33"/>
    <n v="1"/>
    <n v="16"/>
    <n v="1"/>
    <n v="51"/>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x v="0"/>
    <n v="3"/>
    <n v="0"/>
    <n v="6"/>
    <n v="0"/>
    <n v="9"/>
  </r>
  <r>
    <x v="0"/>
    <x v="1"/>
    <n v="2"/>
    <n v="0"/>
    <n v="3"/>
    <n v="0"/>
    <n v="5"/>
  </r>
  <r>
    <x v="0"/>
    <x v="2"/>
    <n v="3"/>
    <n v="0"/>
    <n v="3"/>
    <n v="2"/>
    <n v="8"/>
  </r>
  <r>
    <x v="0"/>
    <x v="3"/>
    <n v="2"/>
    <n v="1"/>
    <n v="6"/>
    <n v="2"/>
    <n v="11"/>
  </r>
  <r>
    <x v="0"/>
    <x v="4"/>
    <n v="1"/>
    <n v="1"/>
    <n v="1"/>
    <n v="0"/>
    <n v="3"/>
  </r>
  <r>
    <x v="0"/>
    <x v="5"/>
    <n v="1"/>
    <n v="0"/>
    <n v="5"/>
    <n v="0"/>
    <n v="6"/>
  </r>
  <r>
    <x v="0"/>
    <x v="6"/>
    <n v="5"/>
    <n v="0"/>
    <n v="5"/>
    <n v="0"/>
    <n v="10"/>
  </r>
  <r>
    <x v="0"/>
    <x v="7"/>
    <n v="1"/>
    <n v="1"/>
    <n v="12"/>
    <n v="0"/>
    <n v="14"/>
  </r>
  <r>
    <x v="0"/>
    <x v="8"/>
    <n v="2"/>
    <n v="1"/>
    <n v="4"/>
    <n v="2"/>
    <n v="9"/>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x v="0"/>
    <n v="0"/>
    <n v="0"/>
    <n v="0"/>
    <n v="2"/>
    <n v="2"/>
  </r>
  <r>
    <x v="0"/>
    <x v="1"/>
    <n v="2"/>
    <n v="0"/>
    <n v="0"/>
    <n v="3"/>
    <n v="5"/>
  </r>
  <r>
    <x v="0"/>
    <x v="2"/>
    <n v="3"/>
    <n v="0"/>
    <n v="0"/>
    <n v="4"/>
    <n v="7"/>
  </r>
  <r>
    <x v="0"/>
    <x v="3"/>
    <n v="1"/>
    <n v="0"/>
    <n v="0"/>
    <n v="0"/>
    <n v="1"/>
  </r>
  <r>
    <x v="0"/>
    <x v="4"/>
    <n v="0"/>
    <n v="0"/>
    <n v="0"/>
    <n v="2"/>
    <n v="2"/>
  </r>
  <r>
    <x v="0"/>
    <x v="5"/>
    <n v="0"/>
    <n v="0"/>
    <n v="0"/>
    <n v="0"/>
    <n v="0"/>
  </r>
  <r>
    <x v="0"/>
    <x v="6"/>
    <n v="1"/>
    <n v="0"/>
    <n v="0"/>
    <n v="0"/>
    <n v="1"/>
  </r>
  <r>
    <x v="0"/>
    <x v="7"/>
    <n v="0"/>
    <n v="0"/>
    <n v="0"/>
    <n v="0"/>
    <n v="0"/>
  </r>
  <r>
    <x v="0"/>
    <x v="8"/>
    <n v="0"/>
    <n v="0"/>
    <n v="1"/>
    <n v="0"/>
    <n v="1"/>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x v="0"/>
    <n v="0"/>
    <n v="0"/>
    <n v="0"/>
    <n v="0"/>
    <m/>
  </r>
  <r>
    <x v="0"/>
    <x v="1"/>
    <n v="0"/>
    <n v="0"/>
    <n v="0"/>
    <n v="0"/>
    <m/>
  </r>
  <r>
    <x v="0"/>
    <x v="2"/>
    <n v="0"/>
    <n v="0"/>
    <n v="0"/>
    <n v="0"/>
    <m/>
  </r>
  <r>
    <x v="0"/>
    <x v="3"/>
    <n v="0"/>
    <n v="0"/>
    <n v="0"/>
    <n v="2"/>
    <n v="2"/>
  </r>
  <r>
    <x v="0"/>
    <x v="4"/>
    <n v="0"/>
    <n v="0"/>
    <n v="0"/>
    <n v="0"/>
    <n v="0"/>
  </r>
  <r>
    <x v="0"/>
    <x v="5"/>
    <n v="0"/>
    <n v="0"/>
    <n v="0"/>
    <n v="0"/>
    <n v="0"/>
  </r>
  <r>
    <x v="0"/>
    <x v="6"/>
    <n v="0"/>
    <n v="0"/>
    <n v="0"/>
    <n v="0"/>
    <n v="0"/>
  </r>
  <r>
    <x v="0"/>
    <x v="7"/>
    <n v="0"/>
    <n v="0"/>
    <n v="0"/>
    <n v="0"/>
    <n v="0"/>
  </r>
  <r>
    <x v="0"/>
    <x v="8"/>
    <n v="0"/>
    <n v="0"/>
    <n v="0"/>
    <n v="1"/>
    <n v="1"/>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x v="0"/>
    <s v="S12000033"/>
    <n v="8"/>
    <n v="1"/>
    <n v="1"/>
    <n v="1"/>
    <m/>
    <n v="2"/>
    <n v="1"/>
    <n v="2"/>
    <m/>
  </r>
  <r>
    <x v="1"/>
    <s v="S12000034"/>
    <n v="1"/>
    <n v="3"/>
    <n v="1"/>
    <n v="1"/>
    <n v="3"/>
    <n v="1"/>
    <n v="1"/>
    <m/>
    <n v="1"/>
  </r>
  <r>
    <x v="2"/>
    <s v="S12000041"/>
    <m/>
    <m/>
    <m/>
    <m/>
    <m/>
    <m/>
    <m/>
    <m/>
    <m/>
  </r>
  <r>
    <x v="3"/>
    <s v="S12000035"/>
    <n v="1"/>
    <n v="3"/>
    <m/>
    <n v="1"/>
    <m/>
    <m/>
    <n v="1"/>
    <m/>
    <m/>
  </r>
  <r>
    <x v="4"/>
    <s v="S12000036"/>
    <n v="6"/>
    <n v="5"/>
    <n v="2"/>
    <n v="8"/>
    <n v="6"/>
    <n v="3"/>
    <n v="15"/>
    <n v="8"/>
    <n v="6"/>
  </r>
  <r>
    <x v="5"/>
    <s v="S12000005"/>
    <n v="1"/>
    <m/>
    <m/>
    <m/>
    <m/>
    <m/>
    <m/>
    <n v="2"/>
    <m/>
  </r>
  <r>
    <x v="6"/>
    <s v="S12000006"/>
    <n v="2"/>
    <n v="1"/>
    <m/>
    <m/>
    <n v="3"/>
    <n v="2"/>
    <n v="1"/>
    <n v="1"/>
    <n v="1"/>
  </r>
  <r>
    <x v="7"/>
    <s v="S12000042"/>
    <n v="2"/>
    <n v="9"/>
    <n v="3"/>
    <n v="3"/>
    <n v="3"/>
    <n v="5"/>
    <n v="13"/>
    <n v="4"/>
    <m/>
  </r>
  <r>
    <x v="8"/>
    <s v="S12000008"/>
    <n v="3"/>
    <n v="1"/>
    <n v="1"/>
    <n v="3"/>
    <m/>
    <n v="1"/>
    <n v="1"/>
    <m/>
    <n v="1"/>
  </r>
  <r>
    <x v="9"/>
    <s v="S12000045"/>
    <n v="1"/>
    <n v="3"/>
    <m/>
    <n v="4"/>
    <m/>
    <n v="1"/>
    <m/>
    <n v="1"/>
    <m/>
  </r>
  <r>
    <x v="10"/>
    <s v="S12000010"/>
    <n v="2"/>
    <n v="2"/>
    <m/>
    <m/>
    <m/>
    <n v="2"/>
    <n v="1"/>
    <n v="1"/>
    <n v="1"/>
  </r>
  <r>
    <x v="11"/>
    <s v="S12000011"/>
    <m/>
    <m/>
    <m/>
    <m/>
    <m/>
    <m/>
    <m/>
    <n v="2"/>
    <m/>
  </r>
  <r>
    <x v="12"/>
    <s v="S12000014"/>
    <n v="5"/>
    <n v="2"/>
    <m/>
    <m/>
    <m/>
    <n v="2"/>
    <n v="3"/>
    <n v="4"/>
    <n v="1"/>
  </r>
  <r>
    <x v="13"/>
    <s v="S12000047"/>
    <n v="6"/>
    <m/>
    <n v="3"/>
    <n v="6"/>
    <n v="2"/>
    <n v="7"/>
    <n v="1"/>
    <n v="7"/>
    <n v="2"/>
  </r>
  <r>
    <x v="14"/>
    <s v="S12000049"/>
    <n v="16"/>
    <n v="19"/>
    <n v="20"/>
    <n v="23"/>
    <n v="12"/>
    <n v="14"/>
    <n v="9"/>
    <n v="8"/>
    <n v="9"/>
  </r>
  <r>
    <x v="15"/>
    <s v="S12000017"/>
    <n v="2"/>
    <n v="1"/>
    <m/>
    <m/>
    <m/>
    <m/>
    <n v="1"/>
    <n v="1"/>
    <m/>
  </r>
  <r>
    <x v="16"/>
    <s v="S12000018"/>
    <n v="4"/>
    <n v="4"/>
    <n v="3"/>
    <n v="2"/>
    <n v="1"/>
    <n v="2"/>
    <n v="2"/>
    <n v="2"/>
    <n v="2"/>
  </r>
  <r>
    <x v="17"/>
    <s v="S12000019"/>
    <m/>
    <n v="3"/>
    <n v="2"/>
    <n v="1"/>
    <n v="3"/>
    <n v="1"/>
    <m/>
    <n v="1"/>
    <m/>
  </r>
  <r>
    <x v="18"/>
    <s v="S12000020"/>
    <m/>
    <m/>
    <m/>
    <n v="1"/>
    <n v="3"/>
    <m/>
    <n v="2"/>
    <n v="1"/>
    <n v="1"/>
  </r>
  <r>
    <x v="19"/>
    <s v="S12000013"/>
    <m/>
    <m/>
    <m/>
    <m/>
    <m/>
    <m/>
    <m/>
    <m/>
    <m/>
  </r>
  <r>
    <x v="20"/>
    <s v="S12000021"/>
    <n v="4"/>
    <n v="5"/>
    <n v="2"/>
    <n v="2"/>
    <n v="3"/>
    <n v="1"/>
    <n v="3"/>
    <n v="2"/>
    <n v="5"/>
  </r>
  <r>
    <x v="21"/>
    <s v="S12000050"/>
    <n v="7"/>
    <n v="3"/>
    <n v="6"/>
    <n v="3"/>
    <n v="8"/>
    <n v="4"/>
    <n v="5"/>
    <n v="8"/>
    <n v="7"/>
  </r>
  <r>
    <x v="22"/>
    <s v="S12000023"/>
    <m/>
    <m/>
    <m/>
    <m/>
    <m/>
    <m/>
    <m/>
    <m/>
    <m/>
  </r>
  <r>
    <x v="23"/>
    <s v="S12000048"/>
    <m/>
    <m/>
    <m/>
    <m/>
    <m/>
    <m/>
    <m/>
    <m/>
    <n v="1"/>
  </r>
  <r>
    <x v="24"/>
    <s v="S12000038"/>
    <n v="3"/>
    <n v="2"/>
    <n v="1"/>
    <n v="1"/>
    <n v="2"/>
    <n v="3"/>
    <n v="1"/>
    <n v="1"/>
    <n v="3"/>
  </r>
  <r>
    <x v="25"/>
    <s v="S12000026"/>
    <m/>
    <n v="2"/>
    <n v="3"/>
    <n v="3"/>
    <n v="1"/>
    <n v="2"/>
    <m/>
    <m/>
    <m/>
  </r>
  <r>
    <x v="26"/>
    <s v="S12000027"/>
    <m/>
    <m/>
    <m/>
    <m/>
    <m/>
    <m/>
    <m/>
    <m/>
    <m/>
  </r>
  <r>
    <x v="27"/>
    <s v="S12000028"/>
    <n v="3"/>
    <m/>
    <n v="1"/>
    <m/>
    <m/>
    <n v="2"/>
    <n v="1"/>
    <m/>
    <n v="1"/>
  </r>
  <r>
    <x v="28"/>
    <s v="S12000029"/>
    <n v="5"/>
    <n v="2"/>
    <m/>
    <n v="1"/>
    <n v="1"/>
    <n v="5"/>
    <n v="2"/>
    <n v="2"/>
    <n v="5"/>
  </r>
  <r>
    <x v="29"/>
    <s v="S12000030"/>
    <n v="2"/>
    <n v="3"/>
    <m/>
    <n v="1"/>
    <m/>
    <n v="1"/>
    <m/>
    <m/>
    <m/>
  </r>
  <r>
    <x v="30"/>
    <s v="S12000039"/>
    <n v="2"/>
    <n v="1"/>
    <m/>
    <n v="2"/>
    <m/>
    <m/>
    <m/>
    <n v="1"/>
    <m/>
  </r>
  <r>
    <x v="31"/>
    <s v="S12000040"/>
    <n v="4"/>
    <n v="3"/>
    <n v="4"/>
    <n v="5"/>
    <n v="2"/>
    <n v="2"/>
    <n v="2"/>
    <n v="7"/>
    <n v="4"/>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
  <r>
    <s v="Scotland"/>
    <x v="0"/>
    <n v="2042809"/>
  </r>
  <r>
    <s v="Scotland"/>
    <x v="1"/>
    <n v="2194564"/>
  </r>
  <r>
    <s v="Scotland"/>
    <x v="2"/>
    <n v="2211430"/>
  </r>
  <r>
    <s v="Scotland"/>
    <x v="3"/>
    <n v="2230797"/>
  </r>
  <r>
    <s v="Scotland"/>
    <x v="4"/>
    <n v="2251262"/>
  </r>
  <r>
    <s v="Scotland"/>
    <x v="5"/>
    <n v="2274283"/>
  </r>
  <r>
    <s v="Scotland"/>
    <x v="6"/>
    <n v="2295185"/>
  </r>
  <r>
    <s v="Scotland"/>
    <x v="7"/>
    <n v="2318966"/>
  </r>
  <r>
    <s v="Scotland"/>
    <x v="8"/>
    <n v="2337967"/>
  </r>
  <r>
    <s v="Scotland"/>
    <x v="9"/>
    <n v="2351780"/>
  </r>
  <r>
    <s v="Scotland"/>
    <x v="10"/>
    <n v="2364850"/>
  </r>
  <r>
    <s v="Scotland"/>
    <x v="11"/>
    <n v="2376424"/>
  </r>
  <r>
    <s v="Scotland"/>
    <x v="12"/>
    <n v="2386660"/>
  </r>
  <r>
    <s v="Scotland"/>
    <x v="13"/>
    <n v="2400342"/>
  </r>
  <r>
    <s v="Scotland"/>
    <x v="14"/>
    <n v="2416014"/>
  </r>
  <r>
    <s v="Scotland"/>
    <x v="15"/>
    <n v="2429943"/>
  </r>
  <r>
    <s v="Scotland"/>
    <x v="16"/>
    <n v="2446171"/>
  </r>
  <r>
    <s v="Scotland"/>
    <x v="17"/>
    <n v="2462736"/>
  </r>
  <r>
    <s v="Scotland"/>
    <x v="18"/>
    <n v="2477275"/>
  </r>
  <r>
    <s v="Scotland"/>
    <x v="19"/>
    <n v="2495623"/>
  </r>
  <r>
    <s v="Scotland"/>
    <x v="20"/>
    <n v="2507625"/>
  </r>
  <r>
    <s v="Scotland"/>
    <x v="21"/>
    <n v="2528823"/>
  </r>
  <r>
    <s v="Scotland"/>
    <x v="22"/>
    <n v="2549797"/>
  </r>
  <r>
    <s v="Scotland"/>
    <x v="23"/>
    <n v="2535310"/>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n v="551"/>
  </r>
  <r>
    <x v="1"/>
    <n v="668"/>
  </r>
  <r>
    <x v="2"/>
    <n v="722"/>
  </r>
  <r>
    <x v="3"/>
    <n v="812"/>
  </r>
  <r>
    <x v="4"/>
    <n v="816"/>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n v="21"/>
    <n v="15"/>
    <n v="0"/>
  </r>
  <r>
    <x v="1"/>
    <n v="22"/>
    <n v="17"/>
    <n v="0"/>
  </r>
  <r>
    <x v="2"/>
    <n v="15"/>
    <n v="17"/>
    <n v="1"/>
  </r>
  <r>
    <x v="3"/>
    <n v="15"/>
    <n v="26"/>
    <n v="2"/>
  </r>
  <r>
    <x v="4"/>
    <n v="21"/>
    <n v="21"/>
    <n v="2"/>
  </r>
  <r>
    <x v="5"/>
    <n v="7"/>
    <n v="2"/>
    <n v="0"/>
  </r>
  <r>
    <x v="6"/>
    <n v="2"/>
    <n v="1"/>
    <n v="1"/>
  </r>
  <r>
    <x v="7"/>
    <n v="3"/>
    <n v="6"/>
    <n v="0"/>
  </r>
  <r>
    <x v="8"/>
    <n v="6"/>
    <n v="9"/>
    <n v="0"/>
  </r>
  <r>
    <x v="9"/>
    <n v="15"/>
    <n v="13"/>
    <n v="2"/>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
  <r>
    <x v="0"/>
    <x v="0"/>
    <s v="Hospital / Prison"/>
    <n v="330"/>
    <n v="2088.25"/>
    <n v="4"/>
    <n v="37.5"/>
    <m/>
    <m/>
    <m/>
    <m/>
  </r>
  <r>
    <x v="0"/>
    <x v="1"/>
    <s v="Care Home"/>
    <n v="1456"/>
    <n v="8821.25"/>
    <n v="50"/>
    <n v="482.25"/>
    <n v="1"/>
    <n v="31"/>
    <m/>
    <m/>
  </r>
  <r>
    <x v="0"/>
    <x v="2"/>
    <s v="HMO"/>
    <n v="1871"/>
    <n v="7024.75"/>
    <n v="76"/>
    <n v="361.75"/>
    <n v="2"/>
    <n v="19.25"/>
    <n v="1"/>
    <n v="7.5"/>
  </r>
  <r>
    <x v="0"/>
    <x v="3"/>
    <s v="Hostel"/>
    <n v="127"/>
    <n v="588.75"/>
    <n v="11"/>
    <n v="66.25"/>
    <m/>
    <m/>
    <n v="1"/>
    <n v="5.5"/>
  </r>
  <r>
    <x v="0"/>
    <x v="4"/>
    <s v="Hotel"/>
    <n v="1022"/>
    <n v="6361.5"/>
    <n v="87"/>
    <n v="868.25"/>
    <n v="6"/>
    <n v="150.5"/>
    <m/>
    <m/>
  </r>
  <r>
    <x v="0"/>
    <x v="5"/>
    <s v="Other Sleeping Accommodation"/>
    <n v="234"/>
    <n v="1136.75"/>
    <n v="17"/>
    <n v="120"/>
    <m/>
    <m/>
    <m/>
    <m/>
  </r>
  <r>
    <x v="0"/>
    <x v="6"/>
    <s v="Further Education"/>
    <n v="27"/>
    <n v="201"/>
    <n v="1"/>
    <n v="4.75"/>
    <m/>
    <m/>
    <m/>
    <m/>
  </r>
  <r>
    <x v="0"/>
    <x v="7"/>
    <s v="Public Building"/>
    <n v="67"/>
    <n v="370.5"/>
    <n v="1"/>
    <n v="7.25"/>
    <m/>
    <m/>
    <m/>
    <m/>
  </r>
  <r>
    <x v="0"/>
    <x v="8"/>
    <s v="Licensed Premises"/>
    <n v="553"/>
    <n v="2713"/>
    <n v="43"/>
    <n v="383.25"/>
    <m/>
    <m/>
    <m/>
    <m/>
  </r>
  <r>
    <x v="0"/>
    <x v="9"/>
    <s v="School"/>
    <n v="257"/>
    <n v="1527"/>
    <n v="3"/>
    <n v="23.5"/>
    <m/>
    <m/>
    <m/>
    <m/>
  </r>
  <r>
    <x v="0"/>
    <x v="10"/>
    <s v="Shop"/>
    <n v="644"/>
    <n v="3222.75"/>
    <n v="39"/>
    <n v="284.75"/>
    <m/>
    <m/>
    <m/>
    <m/>
  </r>
  <r>
    <x v="0"/>
    <x v="11"/>
    <s v="Other Premises Open to Public"/>
    <n v="343"/>
    <n v="1793.75"/>
    <n v="13"/>
    <n v="95"/>
    <m/>
    <m/>
    <n v="1"/>
    <n v="12.5"/>
  </r>
  <r>
    <x v="0"/>
    <x v="12"/>
    <s v="Factory or Warehouse"/>
    <n v="388"/>
    <n v="2008.75"/>
    <n v="24"/>
    <n v="214.75"/>
    <m/>
    <m/>
    <m/>
    <m/>
  </r>
  <r>
    <x v="0"/>
    <x v="13"/>
    <s v="Office"/>
    <n v="333"/>
    <n v="1754.75"/>
    <n v="11"/>
    <n v="75"/>
    <n v="1"/>
    <n v="5.5"/>
    <m/>
    <m/>
  </r>
  <r>
    <x v="0"/>
    <x v="14"/>
    <s v="Other Workplace"/>
    <n v="164"/>
    <n v="872.25"/>
    <n v="10"/>
    <n v="110.25"/>
    <m/>
    <m/>
    <m/>
    <m/>
  </r>
  <r>
    <x v="1"/>
    <x v="0"/>
    <s v="Hospital / Prison"/>
    <n v="409"/>
    <n v="2440"/>
    <n v="42"/>
    <n v="504.75"/>
    <n v="1"/>
    <n v="32"/>
    <m/>
    <m/>
  </r>
  <r>
    <x v="1"/>
    <x v="1"/>
    <s v="Care Home"/>
    <n v="1667"/>
    <n v="9716.25"/>
    <n v="93"/>
    <n v="978.75"/>
    <n v="3"/>
    <n v="76.25"/>
    <m/>
    <m/>
  </r>
  <r>
    <x v="1"/>
    <x v="2"/>
    <s v="HMO"/>
    <n v="2916"/>
    <n v="10285.25"/>
    <n v="146"/>
    <n v="902.5"/>
    <n v="2"/>
    <n v="14.5"/>
    <n v="1"/>
    <n v="3.75"/>
  </r>
  <r>
    <x v="1"/>
    <x v="3"/>
    <s v="Hostel"/>
    <n v="109"/>
    <n v="654.75"/>
    <n v="10"/>
    <n v="118.75"/>
    <n v="1"/>
    <n v="26.5"/>
    <m/>
    <m/>
  </r>
  <r>
    <x v="1"/>
    <x v="4"/>
    <s v="Hotel"/>
    <n v="1100"/>
    <n v="6862.25"/>
    <n v="163"/>
    <n v="2008.25"/>
    <n v="14"/>
    <n v="436.5"/>
    <m/>
    <m/>
  </r>
  <r>
    <x v="1"/>
    <x v="5"/>
    <s v="Other Sleeping Accommodation"/>
    <n v="317"/>
    <n v="1475"/>
    <n v="34"/>
    <n v="285.75"/>
    <m/>
    <m/>
    <m/>
    <m/>
  </r>
  <r>
    <x v="1"/>
    <x v="6"/>
    <s v="Further Education"/>
    <n v="35"/>
    <n v="248.75"/>
    <n v="1"/>
    <n v="6.5"/>
    <m/>
    <m/>
    <m/>
    <m/>
  </r>
  <r>
    <x v="1"/>
    <x v="7"/>
    <s v="Public Building"/>
    <n v="48"/>
    <n v="249.5"/>
    <n v="1"/>
    <n v="20.25"/>
    <m/>
    <m/>
    <m/>
    <m/>
  </r>
  <r>
    <x v="1"/>
    <x v="8"/>
    <s v="Licensed Premises"/>
    <n v="437"/>
    <n v="2243.5"/>
    <n v="57"/>
    <n v="475.25"/>
    <n v="2"/>
    <n v="26.25"/>
    <m/>
    <m/>
  </r>
  <r>
    <x v="1"/>
    <x v="9"/>
    <s v="School"/>
    <n v="216"/>
    <n v="1257"/>
    <n v="12"/>
    <n v="100"/>
    <m/>
    <m/>
    <n v="1"/>
    <n v="2.5"/>
  </r>
  <r>
    <x v="1"/>
    <x v="10"/>
    <s v="Shop"/>
    <n v="598"/>
    <n v="3214.5"/>
    <n v="41"/>
    <n v="283"/>
    <m/>
    <m/>
    <n v="1"/>
    <n v="11.5"/>
  </r>
  <r>
    <x v="1"/>
    <x v="11"/>
    <s v="Other Premises Open to Public"/>
    <n v="303"/>
    <n v="1550.75"/>
    <n v="17"/>
    <n v="153"/>
    <m/>
    <m/>
    <m/>
    <m/>
  </r>
  <r>
    <x v="1"/>
    <x v="12"/>
    <s v="Factory or Warehouse"/>
    <n v="476"/>
    <n v="2044.25"/>
    <n v="9"/>
    <n v="74.75"/>
    <m/>
    <m/>
    <m/>
    <m/>
  </r>
  <r>
    <x v="1"/>
    <x v="13"/>
    <s v="Office"/>
    <n v="364"/>
    <n v="1734.75"/>
    <n v="15"/>
    <n v="95.75"/>
    <m/>
    <m/>
    <m/>
    <m/>
  </r>
  <r>
    <x v="1"/>
    <x v="14"/>
    <s v="Other Workplace"/>
    <n v="190"/>
    <n v="988.5"/>
    <n v="8"/>
    <n v="62.25"/>
    <m/>
    <m/>
    <n v="1"/>
    <n v="5.5"/>
  </r>
  <r>
    <x v="2"/>
    <x v="0"/>
    <s v="Hospital / Prison"/>
    <n v="359"/>
    <n v="1911.75"/>
    <n v="37"/>
    <n v="370.75"/>
    <m/>
    <m/>
    <m/>
    <m/>
  </r>
  <r>
    <x v="2"/>
    <x v="1"/>
    <s v="Care Home"/>
    <n v="1660"/>
    <n v="9324.75"/>
    <n v="59"/>
    <n v="711.5"/>
    <m/>
    <m/>
    <m/>
    <m/>
  </r>
  <r>
    <x v="2"/>
    <x v="2"/>
    <s v="HMO"/>
    <n v="2531"/>
    <n v="8986"/>
    <n v="119"/>
    <n v="614"/>
    <n v="9"/>
    <n v="69.25"/>
    <n v="4"/>
    <n v="22.25"/>
  </r>
  <r>
    <x v="2"/>
    <x v="3"/>
    <s v="Hostel"/>
    <n v="119"/>
    <n v="607"/>
    <n v="9"/>
    <n v="83.5"/>
    <n v="1"/>
    <n v="6.75"/>
    <m/>
    <m/>
  </r>
  <r>
    <x v="2"/>
    <x v="4"/>
    <s v="Hotel"/>
    <n v="990"/>
    <n v="5995.25"/>
    <n v="148"/>
    <n v="1626.25"/>
    <n v="8"/>
    <n v="268.5"/>
    <n v="3"/>
    <n v="20.75"/>
  </r>
  <r>
    <x v="2"/>
    <x v="5"/>
    <s v="Other Sleeping Accommodation"/>
    <n v="338"/>
    <n v="1664"/>
    <n v="33"/>
    <n v="287.5"/>
    <n v="2"/>
    <n v="39"/>
    <n v="2"/>
    <n v="7.25"/>
  </r>
  <r>
    <x v="2"/>
    <x v="6"/>
    <s v="Further Education"/>
    <n v="20"/>
    <n v="104.5"/>
    <n v="1"/>
    <n v="11.5"/>
    <m/>
    <m/>
    <m/>
    <m/>
  </r>
  <r>
    <x v="2"/>
    <x v="7"/>
    <s v="Public Building"/>
    <n v="63"/>
    <n v="340.5"/>
    <n v="3"/>
    <n v="33.25"/>
    <m/>
    <m/>
    <m/>
    <m/>
  </r>
  <r>
    <x v="2"/>
    <x v="8"/>
    <s v="Licensed Premises"/>
    <n v="421"/>
    <n v="2155.5"/>
    <n v="61"/>
    <n v="470.25"/>
    <n v="1"/>
    <n v="11.75"/>
    <n v="1"/>
    <n v="8.5"/>
  </r>
  <r>
    <x v="2"/>
    <x v="9"/>
    <s v="School"/>
    <n v="350"/>
    <n v="2174"/>
    <n v="13"/>
    <n v="160.75"/>
    <m/>
    <m/>
    <m/>
    <m/>
  </r>
  <r>
    <x v="2"/>
    <x v="10"/>
    <s v="Shop"/>
    <n v="497"/>
    <n v="2570.75"/>
    <n v="26"/>
    <n v="227.75"/>
    <m/>
    <m/>
    <n v="2"/>
    <n v="13.5"/>
  </r>
  <r>
    <x v="2"/>
    <x v="11"/>
    <s v="Other Premises Open to Public"/>
    <n v="221"/>
    <n v="1244.75"/>
    <n v="14"/>
    <n v="103.25"/>
    <m/>
    <m/>
    <m/>
    <m/>
  </r>
  <r>
    <x v="2"/>
    <x v="12"/>
    <s v="Factory or Warehouse"/>
    <n v="319"/>
    <n v="1744"/>
    <n v="10"/>
    <n v="102.75"/>
    <m/>
    <m/>
    <m/>
    <m/>
  </r>
  <r>
    <x v="2"/>
    <x v="13"/>
    <s v="Office"/>
    <n v="264"/>
    <n v="1213.5"/>
    <n v="11"/>
    <n v="97.25"/>
    <m/>
    <m/>
    <m/>
    <m/>
  </r>
  <r>
    <x v="2"/>
    <x v="14"/>
    <s v="Other Workplace"/>
    <n v="233"/>
    <n v="1339.75"/>
    <n v="10"/>
    <n v="90.5"/>
    <m/>
    <m/>
    <m/>
    <m/>
  </r>
  <r>
    <x v="3"/>
    <x v="0"/>
    <s v="Hospital / Prison"/>
    <n v="342"/>
    <n v="1662"/>
    <n v="25"/>
    <n v="274.25"/>
    <m/>
    <m/>
    <m/>
    <m/>
  </r>
  <r>
    <x v="3"/>
    <x v="1"/>
    <s v="Care Home"/>
    <n v="1599"/>
    <n v="8671.5"/>
    <n v="54"/>
    <n v="593.75"/>
    <m/>
    <m/>
    <m/>
    <m/>
  </r>
  <r>
    <x v="3"/>
    <x v="2"/>
    <s v="HMO"/>
    <n v="1986"/>
    <n v="7167.75"/>
    <n v="91"/>
    <n v="794.5"/>
    <n v="2"/>
    <n v="51.75"/>
    <n v="4"/>
    <n v="16.25"/>
  </r>
  <r>
    <x v="3"/>
    <x v="3"/>
    <s v="Hostel"/>
    <n v="94"/>
    <n v="573.5"/>
    <n v="10"/>
    <n v="114.75"/>
    <m/>
    <m/>
    <n v="1"/>
    <n v="2"/>
  </r>
  <r>
    <x v="3"/>
    <x v="4"/>
    <s v="Hotel"/>
    <n v="1018"/>
    <n v="5856.5"/>
    <n v="149"/>
    <n v="1800.5"/>
    <n v="9"/>
    <n v="378.75"/>
    <n v="6"/>
    <n v="72.5"/>
  </r>
  <r>
    <x v="3"/>
    <x v="5"/>
    <s v="Other Sleeping Accommodation"/>
    <n v="375"/>
    <n v="1755"/>
    <n v="33"/>
    <n v="257.25"/>
    <m/>
    <m/>
    <n v="1"/>
    <n v="7.5"/>
  </r>
  <r>
    <x v="3"/>
    <x v="6"/>
    <s v="Further Education"/>
    <n v="34"/>
    <n v="183"/>
    <n v="3"/>
    <n v="56.5"/>
    <m/>
    <m/>
    <m/>
    <m/>
  </r>
  <r>
    <x v="3"/>
    <x v="7"/>
    <s v="Public Building"/>
    <n v="55"/>
    <n v="288"/>
    <n v="4"/>
    <n v="35.75"/>
    <m/>
    <m/>
    <m/>
    <m/>
  </r>
  <r>
    <x v="3"/>
    <x v="8"/>
    <s v="Licensed Premises"/>
    <n v="294"/>
    <n v="1469.5"/>
    <n v="38"/>
    <n v="329.5"/>
    <n v="3"/>
    <n v="32"/>
    <n v="3"/>
    <n v="17.75"/>
  </r>
  <r>
    <x v="3"/>
    <x v="9"/>
    <s v="School"/>
    <n v="255"/>
    <n v="1437.75"/>
    <n v="13"/>
    <n v="146.5"/>
    <m/>
    <m/>
    <m/>
    <m/>
  </r>
  <r>
    <x v="3"/>
    <x v="10"/>
    <s v="Shop"/>
    <n v="344"/>
    <n v="1674.75"/>
    <n v="18"/>
    <n v="138.25"/>
    <n v="1"/>
    <n v="3"/>
    <n v="2"/>
    <n v="12.5"/>
  </r>
  <r>
    <x v="3"/>
    <x v="11"/>
    <s v="Other Premises Open to Public"/>
    <n v="225"/>
    <n v="1105.5"/>
    <n v="15"/>
    <n v="122.25"/>
    <m/>
    <m/>
    <m/>
    <m/>
  </r>
  <r>
    <x v="3"/>
    <x v="12"/>
    <s v="Factory or Warehouse"/>
    <n v="222"/>
    <n v="1205.75"/>
    <n v="6"/>
    <n v="53.25"/>
    <m/>
    <m/>
    <m/>
    <m/>
  </r>
  <r>
    <x v="3"/>
    <x v="13"/>
    <s v="Office"/>
    <n v="217"/>
    <n v="1101.5"/>
    <n v="3"/>
    <n v="26"/>
    <m/>
    <m/>
    <m/>
    <m/>
  </r>
  <r>
    <x v="3"/>
    <x v="14"/>
    <s v="Other Workplace"/>
    <n v="107"/>
    <n v="536.5"/>
    <n v="6"/>
    <n v="39"/>
    <m/>
    <m/>
    <m/>
    <m/>
  </r>
  <r>
    <x v="4"/>
    <x v="0"/>
    <s v="Hospital / Prison"/>
    <n v="449"/>
    <n v="2244.5"/>
    <n v="22"/>
    <n v="166.5"/>
    <m/>
    <m/>
    <m/>
    <m/>
  </r>
  <r>
    <x v="4"/>
    <x v="1"/>
    <s v="Care Home"/>
    <n v="1731"/>
    <n v="9112.75"/>
    <n v="44"/>
    <n v="463.25"/>
    <n v="1"/>
    <n v="33.25"/>
    <m/>
    <m/>
  </r>
  <r>
    <x v="4"/>
    <x v="2"/>
    <s v="HMO"/>
    <n v="1804"/>
    <n v="6780"/>
    <n v="58"/>
    <n v="572.5"/>
    <n v="5"/>
    <n v="167.25"/>
    <n v="12"/>
    <n v="181.25"/>
  </r>
  <r>
    <x v="4"/>
    <x v="3"/>
    <s v="Hostel"/>
    <n v="85"/>
    <n v="435.5"/>
    <n v="3"/>
    <n v="61.25"/>
    <n v="1"/>
    <n v="38.25"/>
    <m/>
    <m/>
  </r>
  <r>
    <x v="4"/>
    <x v="4"/>
    <s v="Hotel"/>
    <n v="921"/>
    <n v="5130.75"/>
    <n v="109"/>
    <n v="1313.75"/>
    <n v="5"/>
    <n v="154"/>
    <n v="4"/>
    <n v="34"/>
  </r>
  <r>
    <x v="4"/>
    <x v="5"/>
    <s v="Other Sleeping Accommodation"/>
    <n v="301"/>
    <n v="1377.25"/>
    <n v="22"/>
    <n v="192.75"/>
    <m/>
    <m/>
    <m/>
    <m/>
  </r>
  <r>
    <x v="4"/>
    <x v="6"/>
    <s v="Further Education"/>
    <n v="30"/>
    <n v="199.75"/>
    <n v="1"/>
    <n v="11.25"/>
    <m/>
    <m/>
    <m/>
    <m/>
  </r>
  <r>
    <x v="4"/>
    <x v="7"/>
    <s v="Public Building"/>
    <n v="59"/>
    <n v="321.75"/>
    <n v="1"/>
    <n v="14"/>
    <m/>
    <m/>
    <m/>
    <m/>
  </r>
  <r>
    <x v="4"/>
    <x v="8"/>
    <s v="Licensed Premises"/>
    <n v="329"/>
    <n v="1704"/>
    <n v="45"/>
    <n v="386.75"/>
    <n v="5"/>
    <n v="80"/>
    <m/>
    <m/>
  </r>
  <r>
    <x v="4"/>
    <x v="9"/>
    <s v="School"/>
    <n v="457"/>
    <n v="2188.5"/>
    <n v="13"/>
    <n v="156.75"/>
    <m/>
    <m/>
    <m/>
    <m/>
  </r>
  <r>
    <x v="4"/>
    <x v="10"/>
    <s v="Shop"/>
    <n v="366"/>
    <n v="1827.5"/>
    <n v="16"/>
    <n v="156.5"/>
    <n v="3"/>
    <n v="45.25"/>
    <n v="3"/>
    <n v="16"/>
  </r>
  <r>
    <x v="4"/>
    <x v="11"/>
    <s v="Other Premises Open to Public"/>
    <n v="273"/>
    <n v="1407.5"/>
    <n v="10"/>
    <n v="106.75"/>
    <m/>
    <m/>
    <n v="1"/>
    <n v="6.25"/>
  </r>
  <r>
    <x v="4"/>
    <x v="12"/>
    <s v="Factory or Warehouse"/>
    <n v="261"/>
    <n v="1459.5"/>
    <n v="6"/>
    <n v="50.75"/>
    <m/>
    <m/>
    <m/>
    <m/>
  </r>
  <r>
    <x v="4"/>
    <x v="13"/>
    <s v="Office"/>
    <n v="263"/>
    <n v="1314"/>
    <n v="4"/>
    <n v="38"/>
    <m/>
    <m/>
    <m/>
    <m/>
  </r>
  <r>
    <x v="4"/>
    <x v="14"/>
    <s v="Other Workplace"/>
    <n v="179"/>
    <n v="949"/>
    <n v="10"/>
    <n v="68.5"/>
    <n v="1"/>
    <m/>
    <m/>
    <m/>
  </r>
  <r>
    <x v="5"/>
    <x v="0"/>
    <s v="Hospital / Prison"/>
    <n v="294"/>
    <m/>
    <n v="4"/>
    <m/>
    <m/>
    <m/>
    <m/>
    <m/>
  </r>
  <r>
    <x v="5"/>
    <x v="1"/>
    <s v="Care Home"/>
    <n v="1451"/>
    <m/>
    <n v="35"/>
    <m/>
    <m/>
    <m/>
    <m/>
    <m/>
  </r>
  <r>
    <x v="5"/>
    <x v="2"/>
    <s v="HMO"/>
    <n v="1738"/>
    <m/>
    <n v="213"/>
    <m/>
    <n v="1"/>
    <m/>
    <n v="5"/>
    <m/>
  </r>
  <r>
    <x v="5"/>
    <x v="3"/>
    <s v="Hostel"/>
    <n v="70"/>
    <m/>
    <n v="1"/>
    <m/>
    <m/>
    <m/>
    <m/>
    <m/>
  </r>
  <r>
    <x v="5"/>
    <x v="4"/>
    <s v="Hotel"/>
    <n v="1017"/>
    <m/>
    <n v="64"/>
    <m/>
    <m/>
    <m/>
    <m/>
    <m/>
  </r>
  <r>
    <x v="5"/>
    <x v="5"/>
    <s v="Other Sleeping Accommodation"/>
    <n v="458"/>
    <m/>
    <n v="12"/>
    <m/>
    <m/>
    <m/>
    <n v="2"/>
    <m/>
  </r>
  <r>
    <x v="5"/>
    <x v="6"/>
    <s v="Further Education"/>
    <n v="25"/>
    <m/>
    <m/>
    <m/>
    <m/>
    <m/>
    <m/>
    <m/>
  </r>
  <r>
    <x v="5"/>
    <x v="7"/>
    <s v="Public Building"/>
    <n v="38"/>
    <m/>
    <n v="1"/>
    <m/>
    <m/>
    <m/>
    <m/>
    <m/>
  </r>
  <r>
    <x v="5"/>
    <x v="8"/>
    <s v="Licensed Premises"/>
    <n v="259"/>
    <m/>
    <n v="30"/>
    <m/>
    <m/>
    <m/>
    <n v="1"/>
    <m/>
  </r>
  <r>
    <x v="5"/>
    <x v="9"/>
    <s v="School"/>
    <n v="266"/>
    <m/>
    <n v="5"/>
    <m/>
    <m/>
    <m/>
    <m/>
    <m/>
  </r>
  <r>
    <x v="5"/>
    <x v="10"/>
    <s v="Shop"/>
    <n v="350"/>
    <m/>
    <n v="8"/>
    <m/>
    <m/>
    <m/>
    <n v="1"/>
    <m/>
  </r>
  <r>
    <x v="5"/>
    <x v="11"/>
    <s v="Other Premises Open to Public"/>
    <n v="275"/>
    <m/>
    <n v="4"/>
    <m/>
    <m/>
    <m/>
    <n v="2"/>
    <m/>
  </r>
  <r>
    <x v="5"/>
    <x v="12"/>
    <s v="Factory or Warehouse"/>
    <n v="234"/>
    <m/>
    <n v="7"/>
    <m/>
    <m/>
    <m/>
    <n v="1"/>
    <m/>
  </r>
  <r>
    <x v="5"/>
    <x v="13"/>
    <s v="Office"/>
    <n v="283"/>
    <m/>
    <n v="2"/>
    <m/>
    <m/>
    <m/>
    <m/>
    <m/>
  </r>
  <r>
    <x v="5"/>
    <x v="14"/>
    <s v="Other Workplace"/>
    <n v="115"/>
    <m/>
    <n v="2"/>
    <m/>
    <m/>
    <m/>
    <m/>
    <m/>
  </r>
  <r>
    <x v="6"/>
    <x v="0"/>
    <s v="Hospital / Prison"/>
    <n v="212"/>
    <n v="1131.5"/>
    <n v="8"/>
    <n v="173"/>
    <m/>
    <m/>
    <m/>
    <m/>
  </r>
  <r>
    <x v="6"/>
    <x v="1"/>
    <s v="Care Home"/>
    <n v="1326"/>
    <n v="7506.25"/>
    <n v="16"/>
    <n v="203.5"/>
    <m/>
    <m/>
    <m/>
    <m/>
  </r>
  <r>
    <x v="6"/>
    <x v="2"/>
    <s v="HMO"/>
    <n v="774"/>
    <n v="2858.25"/>
    <n v="35"/>
    <n v="369.5"/>
    <n v="1"/>
    <n v="41.25"/>
    <m/>
    <m/>
  </r>
  <r>
    <x v="6"/>
    <x v="3"/>
    <s v="Hostel"/>
    <n v="34"/>
    <n v="117"/>
    <n v="3"/>
    <n v="48.75"/>
    <m/>
    <m/>
    <m/>
    <m/>
  </r>
  <r>
    <x v="6"/>
    <x v="4"/>
    <s v="Hotel"/>
    <n v="206"/>
    <n v="1195.25"/>
    <n v="24"/>
    <n v="285.25"/>
    <n v="1"/>
    <n v="54.5"/>
    <m/>
    <m/>
  </r>
  <r>
    <x v="6"/>
    <x v="5"/>
    <s v="Other Sleeping Accommodation"/>
    <n v="109"/>
    <n v="561.5"/>
    <n v="6"/>
    <n v="63.5"/>
    <n v="1"/>
    <n v="27.5"/>
    <m/>
    <m/>
  </r>
  <r>
    <x v="6"/>
    <x v="6"/>
    <s v="Further Education"/>
    <n v="10"/>
    <n v="66.5"/>
    <m/>
    <m/>
    <m/>
    <m/>
    <m/>
    <m/>
  </r>
  <r>
    <x v="6"/>
    <x v="7"/>
    <s v="Public Building"/>
    <n v="6"/>
    <n v="28"/>
    <m/>
    <m/>
    <m/>
    <m/>
    <m/>
    <m/>
  </r>
  <r>
    <x v="6"/>
    <x v="8"/>
    <s v="Licensed Premises"/>
    <n v="67"/>
    <n v="372.75"/>
    <n v="6"/>
    <n v="50"/>
    <m/>
    <m/>
    <n v="1"/>
    <m/>
  </r>
  <r>
    <x v="6"/>
    <x v="9"/>
    <s v="School"/>
    <n v="66"/>
    <n v="355.25"/>
    <n v="1"/>
    <n v="31.25"/>
    <m/>
    <m/>
    <m/>
    <m/>
  </r>
  <r>
    <x v="6"/>
    <x v="10"/>
    <s v="Shop"/>
    <n v="119"/>
    <n v="667.5"/>
    <n v="6"/>
    <n v="56.25"/>
    <m/>
    <m/>
    <n v="1"/>
    <n v="4"/>
  </r>
  <r>
    <x v="6"/>
    <x v="11"/>
    <s v="Other Premises Open to Public"/>
    <n v="59"/>
    <n v="366.5"/>
    <n v="3"/>
    <n v="27.25"/>
    <m/>
    <m/>
    <m/>
    <m/>
  </r>
  <r>
    <x v="6"/>
    <x v="12"/>
    <s v="Factory or Warehouse"/>
    <n v="82"/>
    <n v="493.75"/>
    <n v="2"/>
    <n v="11.25"/>
    <m/>
    <m/>
    <m/>
    <m/>
  </r>
  <r>
    <x v="6"/>
    <x v="13"/>
    <s v="Office"/>
    <n v="62"/>
    <n v="288.25"/>
    <m/>
    <m/>
    <m/>
    <m/>
    <m/>
    <m/>
  </r>
  <r>
    <x v="6"/>
    <x v="14"/>
    <s v="Other Workplace"/>
    <n v="48"/>
    <n v="270.5"/>
    <n v="2"/>
    <n v="19.25"/>
    <m/>
    <m/>
    <n v="1"/>
    <n v="20"/>
  </r>
  <r>
    <x v="7"/>
    <x v="0"/>
    <s v="Hospital / Prison"/>
    <n v="234"/>
    <n v="1455.75"/>
    <n v="4"/>
    <n v="97"/>
    <m/>
    <m/>
    <m/>
    <m/>
  </r>
  <r>
    <x v="7"/>
    <x v="1"/>
    <s v="Care Home"/>
    <n v="1392"/>
    <n v="9003"/>
    <n v="17"/>
    <n v="258.5"/>
    <n v="1"/>
    <n v="41"/>
    <m/>
    <m/>
  </r>
  <r>
    <x v="7"/>
    <x v="2"/>
    <s v="HMO"/>
    <n v="1932"/>
    <n v="7836.5"/>
    <n v="52"/>
    <n v="332.25"/>
    <n v="2"/>
    <n v="34.25"/>
    <n v="2"/>
    <n v="4.25"/>
  </r>
  <r>
    <x v="7"/>
    <x v="3"/>
    <s v="Hostel"/>
    <n v="23"/>
    <n v="170.25"/>
    <n v="1"/>
    <n v="12.25"/>
    <m/>
    <m/>
    <m/>
    <m/>
  </r>
  <r>
    <x v="7"/>
    <x v="4"/>
    <s v="Hotel"/>
    <n v="588"/>
    <n v="4421"/>
    <n v="68"/>
    <n v="848.75"/>
    <n v="1"/>
    <n v="29.75"/>
    <n v="2"/>
    <n v="11.5"/>
  </r>
  <r>
    <x v="7"/>
    <x v="5"/>
    <s v="Other Sleeping Accommodation"/>
    <n v="272"/>
    <n v="1519.25"/>
    <n v="18"/>
    <n v="254.75"/>
    <n v="1"/>
    <n v="65"/>
    <m/>
    <m/>
  </r>
  <r>
    <x v="7"/>
    <x v="6"/>
    <s v="Further Education"/>
    <n v="10"/>
    <n v="95.25"/>
    <m/>
    <m/>
    <m/>
    <m/>
    <m/>
    <m/>
  </r>
  <r>
    <x v="7"/>
    <x v="7"/>
    <s v="Public Building"/>
    <n v="21"/>
    <n v="163"/>
    <m/>
    <m/>
    <m/>
    <m/>
    <m/>
    <m/>
  </r>
  <r>
    <x v="7"/>
    <x v="8"/>
    <s v="Licensed Premises"/>
    <n v="120"/>
    <n v="699.5"/>
    <n v="12"/>
    <n v="115.5"/>
    <m/>
    <m/>
    <n v="1"/>
    <n v="7.25"/>
  </r>
  <r>
    <x v="7"/>
    <x v="9"/>
    <s v="School"/>
    <n v="178"/>
    <n v="1167.5"/>
    <n v="1"/>
    <n v="13.75"/>
    <m/>
    <m/>
    <m/>
    <m/>
  </r>
  <r>
    <x v="7"/>
    <x v="10"/>
    <s v="Shop"/>
    <n v="187"/>
    <n v="1090.5"/>
    <n v="6"/>
    <n v="51"/>
    <m/>
    <m/>
    <n v="2"/>
    <n v="18"/>
  </r>
  <r>
    <x v="7"/>
    <x v="11"/>
    <s v="Other Premises Open to Public"/>
    <n v="172"/>
    <n v="1113"/>
    <n v="4"/>
    <n v="36.25"/>
    <m/>
    <m/>
    <m/>
    <m/>
  </r>
  <r>
    <x v="7"/>
    <x v="12"/>
    <s v="Factory or Warehouse"/>
    <n v="165"/>
    <n v="1100.75"/>
    <n v="1"/>
    <n v="4"/>
    <m/>
    <m/>
    <n v="1"/>
    <n v="8"/>
  </r>
  <r>
    <x v="7"/>
    <x v="13"/>
    <s v="Office"/>
    <n v="108"/>
    <n v="655.75"/>
    <n v="2"/>
    <n v="27.75"/>
    <m/>
    <m/>
    <m/>
    <m/>
  </r>
  <r>
    <x v="7"/>
    <x v="14"/>
    <s v="Other Workplace"/>
    <n v="100"/>
    <n v="607.25"/>
    <m/>
    <m/>
    <m/>
    <m/>
    <m/>
    <m/>
  </r>
  <r>
    <x v="8"/>
    <x v="0"/>
    <s v="Hospital / Prison"/>
    <n v="287"/>
    <n v="1929.75"/>
    <n v="1"/>
    <n v="17.25"/>
    <m/>
    <m/>
    <m/>
    <m/>
  </r>
  <r>
    <x v="8"/>
    <x v="1"/>
    <s v="Care Home"/>
    <n v="1575"/>
    <n v="10482"/>
    <n v="31"/>
    <n v="586.75"/>
    <m/>
    <m/>
    <m/>
    <m/>
  </r>
  <r>
    <x v="8"/>
    <x v="2"/>
    <s v="HMO"/>
    <n v="1859"/>
    <n v="8252.5"/>
    <n v="99"/>
    <n v="781.75"/>
    <m/>
    <m/>
    <m/>
    <m/>
  </r>
  <r>
    <x v="8"/>
    <x v="3"/>
    <s v="Hostel"/>
    <n v="57"/>
    <n v="325.5"/>
    <n v="3"/>
    <n v="37.25"/>
    <m/>
    <m/>
    <m/>
    <m/>
  </r>
  <r>
    <x v="8"/>
    <x v="4"/>
    <s v="Hotel"/>
    <n v="814"/>
    <n v="5823.75"/>
    <n v="84"/>
    <n v="1269.5"/>
    <n v="1"/>
    <n v="76"/>
    <n v="3"/>
    <n v="31.5"/>
  </r>
  <r>
    <x v="8"/>
    <x v="5"/>
    <s v="Other Sleeping Accommodation"/>
    <n v="532"/>
    <n v="2943.25"/>
    <n v="15"/>
    <n v="142.75"/>
    <n v="1"/>
    <n v="22.25"/>
    <m/>
    <m/>
  </r>
  <r>
    <x v="8"/>
    <x v="6"/>
    <s v="Further Education"/>
    <n v="23"/>
    <n v="126.75"/>
    <n v="2"/>
    <n v="12.75"/>
    <m/>
    <m/>
    <m/>
    <m/>
  </r>
  <r>
    <x v="8"/>
    <x v="7"/>
    <s v="Public Building"/>
    <n v="20"/>
    <n v="140"/>
    <m/>
    <m/>
    <m/>
    <m/>
    <m/>
    <m/>
  </r>
  <r>
    <x v="8"/>
    <x v="8"/>
    <s v="Licensed Premises"/>
    <n v="179"/>
    <n v="1122.5"/>
    <n v="16"/>
    <n v="212"/>
    <m/>
    <m/>
    <n v="1"/>
    <n v="3"/>
  </r>
  <r>
    <x v="8"/>
    <x v="9"/>
    <s v="School"/>
    <n v="217"/>
    <n v="1482.5"/>
    <n v="2"/>
    <n v="25.75"/>
    <m/>
    <m/>
    <m/>
    <m/>
  </r>
  <r>
    <x v="8"/>
    <x v="10"/>
    <s v="Shop"/>
    <n v="330"/>
    <n v="2329"/>
    <n v="12"/>
    <n v="158.75"/>
    <m/>
    <m/>
    <m/>
    <m/>
  </r>
  <r>
    <x v="8"/>
    <x v="11"/>
    <s v="Other Premises Open to Public"/>
    <n v="162"/>
    <n v="1142.5"/>
    <n v="6"/>
    <n v="56.5"/>
    <m/>
    <m/>
    <m/>
    <m/>
  </r>
  <r>
    <x v="8"/>
    <x v="12"/>
    <s v="Factory or Warehouse"/>
    <n v="167"/>
    <n v="1148.75"/>
    <n v="5"/>
    <n v="46"/>
    <m/>
    <m/>
    <m/>
    <m/>
  </r>
  <r>
    <x v="8"/>
    <x v="13"/>
    <s v="Office"/>
    <n v="109"/>
    <n v="656.75"/>
    <n v="1"/>
    <n v="4.75"/>
    <m/>
    <m/>
    <n v="1"/>
    <n v="18"/>
  </r>
  <r>
    <x v="8"/>
    <x v="14"/>
    <s v="Other Workplace"/>
    <n v="101"/>
    <n v="621"/>
    <n v="3"/>
    <n v="33.25"/>
    <m/>
    <m/>
    <m/>
    <m/>
  </r>
  <r>
    <x v="9"/>
    <x v="0"/>
    <s v="Hospital / Prison"/>
    <n v="267"/>
    <n v="1896.25"/>
    <n v="20"/>
    <n v="278.25"/>
    <m/>
    <m/>
    <m/>
    <m/>
  </r>
  <r>
    <x v="9"/>
    <x v="1"/>
    <s v="Care Home"/>
    <n v="1578"/>
    <n v="9945.75"/>
    <n v="32"/>
    <n v="384.25"/>
    <m/>
    <m/>
    <n v="1"/>
    <n v="57.25"/>
  </r>
  <r>
    <x v="9"/>
    <x v="2"/>
    <s v="HMO"/>
    <n v="1765"/>
    <n v="7900.75"/>
    <n v="62"/>
    <n v="473.5"/>
    <n v="1"/>
    <n v="30.25"/>
    <n v="1"/>
    <n v="4"/>
  </r>
  <r>
    <x v="9"/>
    <x v="3"/>
    <s v="Hostel"/>
    <n v="48"/>
    <n v="313.25"/>
    <n v="3"/>
    <n v="27.75"/>
    <m/>
    <m/>
    <m/>
    <m/>
  </r>
  <r>
    <x v="9"/>
    <x v="4"/>
    <s v="Hotel"/>
    <n v="1020"/>
    <n v="6979.5"/>
    <n v="90"/>
    <n v="1630.75"/>
    <n v="2"/>
    <n v="140.25"/>
    <n v="4"/>
    <n v="143.75"/>
  </r>
  <r>
    <x v="9"/>
    <x v="5"/>
    <s v="Other Sleeping Accommodation"/>
    <n v="1212"/>
    <n v="6995.25"/>
    <n v="44"/>
    <n v="503"/>
    <n v="1"/>
    <n v="19.25"/>
    <n v="1"/>
    <n v="78"/>
  </r>
  <r>
    <x v="9"/>
    <x v="6"/>
    <s v="Further Education"/>
    <n v="11"/>
    <n v="69"/>
    <m/>
    <m/>
    <m/>
    <m/>
    <m/>
    <m/>
  </r>
  <r>
    <x v="9"/>
    <x v="7"/>
    <s v="Public Building"/>
    <n v="25"/>
    <n v="143.25"/>
    <m/>
    <m/>
    <m/>
    <m/>
    <m/>
    <m/>
  </r>
  <r>
    <x v="9"/>
    <x v="8"/>
    <s v="Licensed Premises"/>
    <n v="183"/>
    <n v="1112.5"/>
    <n v="22"/>
    <n v="249"/>
    <m/>
    <m/>
    <n v="2"/>
    <n v="7.25"/>
  </r>
  <r>
    <x v="9"/>
    <x v="9"/>
    <s v="School"/>
    <n v="157"/>
    <n v="1092.5"/>
    <n v="2"/>
    <n v="21.25"/>
    <m/>
    <m/>
    <m/>
    <m/>
  </r>
  <r>
    <x v="9"/>
    <x v="10"/>
    <s v="Shop"/>
    <n v="293"/>
    <n v="1643.5"/>
    <n v="8"/>
    <n v="109"/>
    <n v="1"/>
    <n v="25"/>
    <n v="2"/>
    <m/>
  </r>
  <r>
    <x v="9"/>
    <x v="11"/>
    <s v="Other Premises Open to Public"/>
    <n v="170"/>
    <n v="1127.25"/>
    <n v="2"/>
    <n v="37.25"/>
    <m/>
    <m/>
    <n v="1"/>
    <m/>
  </r>
  <r>
    <x v="9"/>
    <x v="12"/>
    <s v="Factory or Warehouse"/>
    <n v="220"/>
    <n v="1402"/>
    <n v="2"/>
    <n v="19.25"/>
    <m/>
    <m/>
    <m/>
    <m/>
  </r>
  <r>
    <x v="9"/>
    <x v="13"/>
    <s v="Office"/>
    <n v="249"/>
    <n v="1198"/>
    <m/>
    <m/>
    <m/>
    <m/>
    <m/>
    <m/>
  </r>
  <r>
    <x v="9"/>
    <x v="14"/>
    <s v="Other Workplace"/>
    <n v="164"/>
    <n v="1001.5"/>
    <n v="5"/>
    <n v="97.75"/>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3">
  <r>
    <x v="0"/>
    <x v="0"/>
    <s v="S12000010"/>
    <n v="8"/>
    <n v="22"/>
    <n v="24"/>
    <n v="7"/>
    <n v="6"/>
    <n v="2"/>
    <n v="1"/>
    <n v="1"/>
    <n v="4"/>
    <n v="5"/>
    <n v="6"/>
    <n v="12"/>
    <n v="3"/>
    <n v="1"/>
    <m/>
  </r>
  <r>
    <x v="0"/>
    <x v="1"/>
    <s v="S12000018"/>
    <n v="2"/>
    <n v="40"/>
    <n v="9"/>
    <m/>
    <n v="4"/>
    <m/>
    <n v="1"/>
    <n v="3"/>
    <n v="7"/>
    <n v="13"/>
    <n v="21"/>
    <n v="9"/>
    <n v="7"/>
    <n v="24"/>
    <n v="7"/>
  </r>
  <r>
    <x v="1"/>
    <x v="2"/>
    <s v="S12000005"/>
    <n v="12"/>
    <n v="22"/>
    <n v="3"/>
    <m/>
    <n v="2"/>
    <n v="2"/>
    <m/>
    <n v="1"/>
    <m/>
    <m/>
    <m/>
    <n v="2"/>
    <n v="2"/>
    <n v="5"/>
    <m/>
  </r>
  <r>
    <x v="1"/>
    <x v="3"/>
    <s v="S12000042"/>
    <n v="19"/>
    <n v="38"/>
    <n v="489"/>
    <m/>
    <n v="3"/>
    <m/>
    <m/>
    <n v="1"/>
    <n v="21"/>
    <n v="2"/>
    <n v="7"/>
    <n v="13"/>
    <n v="1"/>
    <n v="1"/>
    <n v="3"/>
  </r>
  <r>
    <x v="1"/>
    <x v="4"/>
    <s v="S12000045"/>
    <n v="7"/>
    <n v="29"/>
    <n v="24"/>
    <m/>
    <n v="5"/>
    <n v="1"/>
    <m/>
    <m/>
    <n v="2"/>
    <n v="5"/>
    <n v="2"/>
    <n v="3"/>
    <n v="7"/>
    <n v="5"/>
    <n v="5"/>
  </r>
  <r>
    <x v="2"/>
    <x v="5"/>
    <s v="S12000011"/>
    <n v="1"/>
    <n v="20"/>
    <n v="9"/>
    <m/>
    <n v="8"/>
    <n v="4"/>
    <m/>
    <n v="2"/>
    <n v="4"/>
    <n v="2"/>
    <n v="10"/>
    <n v="2"/>
    <m/>
    <n v="14"/>
    <n v="4"/>
  </r>
  <r>
    <x v="2"/>
    <x v="1"/>
    <s v="S12000018"/>
    <n v="1"/>
    <n v="37"/>
    <n v="7"/>
    <m/>
    <n v="3"/>
    <n v="2"/>
    <m/>
    <n v="3"/>
    <n v="11"/>
    <n v="3"/>
    <n v="27"/>
    <n v="4"/>
    <n v="9"/>
    <n v="4"/>
    <n v="4"/>
  </r>
  <r>
    <x v="2"/>
    <x v="6"/>
    <s v="S12000044"/>
    <n v="6"/>
    <n v="55"/>
    <n v="22"/>
    <m/>
    <n v="29"/>
    <n v="2"/>
    <n v="2"/>
    <m/>
    <n v="48"/>
    <n v="16"/>
    <n v="86"/>
    <n v="22"/>
    <n v="58"/>
    <n v="61"/>
    <n v="89"/>
  </r>
  <r>
    <x v="2"/>
    <x v="7"/>
    <s v="S12000024"/>
    <n v="57"/>
    <n v="81"/>
    <n v="30"/>
    <n v="4"/>
    <n v="34"/>
    <n v="39"/>
    <m/>
    <n v="2"/>
    <n v="15"/>
    <n v="4"/>
    <n v="3"/>
    <n v="8"/>
    <n v="2"/>
    <n v="5"/>
    <n v="3"/>
  </r>
  <r>
    <x v="2"/>
    <x v="8"/>
    <s v="S12000029"/>
    <n v="12"/>
    <n v="102"/>
    <n v="36"/>
    <n v="1"/>
    <n v="26"/>
    <n v="2"/>
    <n v="1"/>
    <n v="5"/>
    <n v="4"/>
    <n v="4"/>
    <n v="22"/>
    <n v="9"/>
    <n v="12"/>
    <n v="6"/>
    <n v="9"/>
  </r>
  <r>
    <x v="3"/>
    <x v="9"/>
    <s v="S12000041"/>
    <n v="15"/>
    <n v="35"/>
    <n v="4"/>
    <n v="1"/>
    <n v="19"/>
    <n v="16"/>
    <m/>
    <n v="2"/>
    <n v="12"/>
    <m/>
    <n v="3"/>
    <n v="7"/>
    <n v="3"/>
    <m/>
    <n v="2"/>
  </r>
  <r>
    <x v="3"/>
    <x v="2"/>
    <s v="S12000005"/>
    <n v="1"/>
    <n v="19"/>
    <n v="5"/>
    <m/>
    <n v="6"/>
    <n v="1"/>
    <n v="1"/>
    <m/>
    <n v="1"/>
    <n v="23"/>
    <n v="1"/>
    <n v="1"/>
    <n v="3"/>
    <n v="2"/>
    <m/>
  </r>
  <r>
    <x v="3"/>
    <x v="3"/>
    <s v="S12000042"/>
    <n v="9"/>
    <n v="36"/>
    <n v="195"/>
    <n v="1"/>
    <n v="41"/>
    <n v="4"/>
    <n v="2"/>
    <n v="1"/>
    <n v="5"/>
    <n v="1"/>
    <n v="5"/>
    <n v="2"/>
    <n v="2"/>
    <n v="2"/>
    <m/>
  </r>
  <r>
    <x v="3"/>
    <x v="0"/>
    <s v="S12000010"/>
    <n v="5"/>
    <n v="28"/>
    <n v="12"/>
    <n v="2"/>
    <n v="11"/>
    <n v="21"/>
    <m/>
    <n v="1"/>
    <n v="11"/>
    <n v="13"/>
    <n v="2"/>
    <n v="16"/>
    <n v="10"/>
    <n v="8"/>
    <n v="4"/>
  </r>
  <r>
    <x v="4"/>
    <x v="2"/>
    <s v="S12000005"/>
    <n v="5"/>
    <n v="22"/>
    <n v="8"/>
    <n v="2"/>
    <n v="3"/>
    <n v="2"/>
    <m/>
    <m/>
    <n v="1"/>
    <n v="17"/>
    <m/>
    <n v="1"/>
    <n v="7"/>
    <n v="2"/>
    <m/>
  </r>
  <r>
    <x v="4"/>
    <x v="10"/>
    <s v="S12000015"/>
    <n v="29"/>
    <n v="135"/>
    <n v="214"/>
    <m/>
    <n v="85"/>
    <n v="10"/>
    <m/>
    <n v="4"/>
    <n v="12"/>
    <n v="122"/>
    <n v="9"/>
    <n v="12"/>
    <n v="10"/>
    <n v="5"/>
    <n v="10"/>
  </r>
  <r>
    <x v="4"/>
    <x v="11"/>
    <s v="S12000017"/>
    <n v="15"/>
    <n v="81"/>
    <n v="45"/>
    <n v="2"/>
    <n v="25"/>
    <n v="3"/>
    <m/>
    <n v="1"/>
    <n v="5"/>
    <n v="4"/>
    <n v="4"/>
    <n v="3"/>
    <n v="4"/>
    <n v="3"/>
    <n v="1"/>
  </r>
  <r>
    <x v="4"/>
    <x v="12"/>
    <s v="S12000021"/>
    <n v="2"/>
    <n v="100"/>
    <n v="9"/>
    <n v="2"/>
    <n v="31"/>
    <n v="19"/>
    <n v="1"/>
    <m/>
    <n v="3"/>
    <n v="4"/>
    <n v="23"/>
    <n v="3"/>
    <n v="27"/>
    <n v="7"/>
    <n v="13"/>
  </r>
  <r>
    <x v="4"/>
    <x v="13"/>
    <s v="S12000023"/>
    <m/>
    <n v="3"/>
    <m/>
    <m/>
    <n v="5"/>
    <m/>
    <m/>
    <m/>
    <m/>
    <m/>
    <m/>
    <m/>
    <m/>
    <m/>
    <n v="1"/>
  </r>
  <r>
    <x v="5"/>
    <x v="14"/>
    <s v="S12000006"/>
    <n v="7"/>
    <n v="61"/>
    <n v="21"/>
    <n v="6"/>
    <n v="90"/>
    <n v="67"/>
    <m/>
    <n v="4"/>
    <n v="12"/>
    <n v="23"/>
    <n v="20"/>
    <n v="44"/>
    <n v="43"/>
    <n v="30"/>
    <n v="7"/>
  </r>
  <r>
    <x v="5"/>
    <x v="11"/>
    <s v="S12000017"/>
    <n v="20"/>
    <n v="95"/>
    <n v="65"/>
    <n v="15"/>
    <n v="236"/>
    <n v="33"/>
    <n v="1"/>
    <m/>
    <n v="11"/>
    <n v="1"/>
    <n v="8"/>
    <n v="3"/>
    <n v="1"/>
    <n v="3"/>
    <n v="1"/>
  </r>
  <r>
    <x v="5"/>
    <x v="13"/>
    <s v="S12000023"/>
    <n v="1"/>
    <n v="12"/>
    <m/>
    <m/>
    <n v="9"/>
    <n v="1"/>
    <m/>
    <m/>
    <m/>
    <m/>
    <m/>
    <m/>
    <m/>
    <m/>
    <m/>
  </r>
  <r>
    <x v="6"/>
    <x v="4"/>
    <s v="S12000045"/>
    <n v="2"/>
    <n v="22"/>
    <n v="13"/>
    <m/>
    <n v="3"/>
    <n v="1"/>
    <m/>
    <m/>
    <n v="1"/>
    <m/>
    <n v="3"/>
    <m/>
    <m/>
    <m/>
    <m/>
  </r>
  <r>
    <x v="6"/>
    <x v="0"/>
    <s v="S12000010"/>
    <n v="3"/>
    <n v="23"/>
    <n v="5"/>
    <m/>
    <n v="1"/>
    <m/>
    <m/>
    <m/>
    <n v="3"/>
    <n v="2"/>
    <n v="1"/>
    <n v="3"/>
    <n v="2"/>
    <m/>
    <n v="1"/>
  </r>
  <r>
    <x v="6"/>
    <x v="13"/>
    <s v="S12000023"/>
    <n v="1"/>
    <n v="5"/>
    <m/>
    <n v="1"/>
    <n v="2"/>
    <m/>
    <m/>
    <m/>
    <m/>
    <m/>
    <m/>
    <m/>
    <m/>
    <m/>
    <m/>
  </r>
  <r>
    <x v="7"/>
    <x v="15"/>
    <s v="S12000035"/>
    <n v="3"/>
    <n v="12"/>
    <n v="10"/>
    <m/>
    <n v="106"/>
    <n v="42"/>
    <m/>
    <m/>
    <n v="1"/>
    <n v="5"/>
    <n v="2"/>
    <n v="3"/>
    <n v="1"/>
    <n v="3"/>
    <n v="1"/>
  </r>
  <r>
    <x v="7"/>
    <x v="16"/>
    <s v="S12000019"/>
    <n v="2"/>
    <n v="15"/>
    <n v="31"/>
    <m/>
    <n v="2"/>
    <n v="2"/>
    <m/>
    <m/>
    <n v="7"/>
    <n v="12"/>
    <n v="2"/>
    <n v="3"/>
    <n v="5"/>
    <m/>
    <n v="7"/>
  </r>
  <r>
    <x v="7"/>
    <x v="17"/>
    <s v="S12000027"/>
    <n v="1"/>
    <n v="7"/>
    <n v="3"/>
    <n v="2"/>
    <n v="11"/>
    <n v="13"/>
    <m/>
    <m/>
    <m/>
    <m/>
    <m/>
    <m/>
    <m/>
    <m/>
    <m/>
  </r>
  <r>
    <x v="0"/>
    <x v="18"/>
    <s v="S12000014"/>
    <n v="12"/>
    <n v="52"/>
    <n v="15"/>
    <n v="1"/>
    <n v="20"/>
    <n v="2"/>
    <m/>
    <n v="7"/>
    <n v="27"/>
    <n v="23"/>
    <n v="17"/>
    <n v="17"/>
    <n v="30"/>
    <n v="10"/>
    <n v="10"/>
  </r>
  <r>
    <x v="0"/>
    <x v="19"/>
    <s v="S12000013"/>
    <n v="2"/>
    <n v="6"/>
    <n v="7"/>
    <m/>
    <n v="2"/>
    <m/>
    <m/>
    <m/>
    <m/>
    <n v="1"/>
    <m/>
    <m/>
    <m/>
    <n v="1"/>
    <m/>
  </r>
  <r>
    <x v="0"/>
    <x v="13"/>
    <s v="S12000023"/>
    <n v="1"/>
    <n v="10"/>
    <n v="1"/>
    <m/>
    <n v="4"/>
    <m/>
    <m/>
    <m/>
    <m/>
    <m/>
    <m/>
    <m/>
    <m/>
    <m/>
    <m/>
  </r>
  <r>
    <x v="0"/>
    <x v="20"/>
    <s v="S12000030"/>
    <n v="1"/>
    <n v="39"/>
    <n v="105"/>
    <n v="3"/>
    <n v="43"/>
    <n v="19"/>
    <m/>
    <n v="1"/>
    <n v="2"/>
    <n v="1"/>
    <m/>
    <m/>
    <n v="1"/>
    <n v="2"/>
    <m/>
  </r>
  <r>
    <x v="0"/>
    <x v="21"/>
    <s v="S12000039"/>
    <n v="2"/>
    <n v="15"/>
    <n v="9"/>
    <m/>
    <n v="17"/>
    <n v="1"/>
    <m/>
    <n v="1"/>
    <n v="2"/>
    <n v="3"/>
    <n v="6"/>
    <n v="5"/>
    <n v="104"/>
    <n v="7"/>
    <n v="4"/>
  </r>
  <r>
    <x v="1"/>
    <x v="22"/>
    <s v="S12000046"/>
    <n v="69"/>
    <n v="165"/>
    <n v="1115"/>
    <n v="27"/>
    <n v="88"/>
    <n v="6"/>
    <n v="12"/>
    <n v="5"/>
    <n v="139"/>
    <n v="61"/>
    <n v="147"/>
    <n v="33"/>
    <n v="24"/>
    <n v="41"/>
    <n v="24"/>
  </r>
  <r>
    <x v="1"/>
    <x v="20"/>
    <s v="S12000030"/>
    <n v="13"/>
    <n v="40"/>
    <n v="249"/>
    <n v="3"/>
    <n v="16"/>
    <n v="3"/>
    <m/>
    <m/>
    <n v="3"/>
    <n v="3"/>
    <n v="1"/>
    <n v="4"/>
    <n v="1"/>
    <n v="1"/>
    <n v="3"/>
  </r>
  <r>
    <x v="2"/>
    <x v="18"/>
    <s v="S12000014"/>
    <n v="8"/>
    <n v="47"/>
    <n v="9"/>
    <n v="1"/>
    <n v="13"/>
    <n v="2"/>
    <n v="1"/>
    <n v="5"/>
    <n v="9"/>
    <n v="22"/>
    <n v="13"/>
    <n v="2"/>
    <n v="16"/>
    <n v="12"/>
    <m/>
  </r>
  <r>
    <x v="2"/>
    <x v="16"/>
    <s v="S12000019"/>
    <n v="3"/>
    <n v="19"/>
    <n v="21"/>
    <n v="3"/>
    <n v="10"/>
    <m/>
    <m/>
    <m/>
    <n v="3"/>
    <n v="31"/>
    <n v="3"/>
    <m/>
    <n v="3"/>
    <m/>
    <n v="1"/>
  </r>
  <r>
    <x v="3"/>
    <x v="15"/>
    <s v="S12000035"/>
    <n v="5"/>
    <n v="22"/>
    <n v="25"/>
    <n v="4"/>
    <n v="62"/>
    <n v="38"/>
    <m/>
    <m/>
    <n v="4"/>
    <n v="4"/>
    <n v="5"/>
    <n v="5"/>
    <n v="3"/>
    <n v="3"/>
    <n v="5"/>
  </r>
  <r>
    <x v="3"/>
    <x v="23"/>
    <s v="S12000008"/>
    <n v="5"/>
    <n v="59"/>
    <n v="8"/>
    <m/>
    <n v="25"/>
    <n v="7"/>
    <n v="2"/>
    <m/>
    <n v="4"/>
    <n v="15"/>
    <n v="9"/>
    <n v="7"/>
    <n v="10"/>
    <n v="12"/>
    <n v="2"/>
  </r>
  <r>
    <x v="3"/>
    <x v="18"/>
    <s v="S12000014"/>
    <n v="14"/>
    <n v="41"/>
    <n v="5"/>
    <n v="1"/>
    <n v="13"/>
    <m/>
    <m/>
    <n v="4"/>
    <n v="11"/>
    <n v="25"/>
    <n v="11"/>
    <n v="7"/>
    <n v="18"/>
    <n v="6"/>
    <n v="3"/>
  </r>
  <r>
    <x v="3"/>
    <x v="16"/>
    <s v="S12000019"/>
    <n v="3"/>
    <n v="16"/>
    <n v="32"/>
    <n v="3"/>
    <n v="5"/>
    <n v="1"/>
    <n v="2"/>
    <n v="3"/>
    <n v="11"/>
    <n v="2"/>
    <n v="4"/>
    <n v="3"/>
    <n v="4"/>
    <n v="2"/>
    <n v="4"/>
  </r>
  <r>
    <x v="3"/>
    <x v="24"/>
    <s v="S12000028"/>
    <n v="11"/>
    <n v="45"/>
    <n v="32"/>
    <n v="2"/>
    <n v="67"/>
    <n v="38"/>
    <n v="1"/>
    <m/>
    <n v="30"/>
    <n v="28"/>
    <n v="20"/>
    <n v="14"/>
    <n v="3"/>
    <n v="19"/>
    <n v="9"/>
  </r>
  <r>
    <x v="4"/>
    <x v="15"/>
    <s v="S12000035"/>
    <n v="3"/>
    <n v="35"/>
    <n v="34"/>
    <n v="4"/>
    <n v="60"/>
    <n v="40"/>
    <n v="1"/>
    <m/>
    <n v="5"/>
    <n v="2"/>
    <n v="12"/>
    <n v="5"/>
    <n v="8"/>
    <n v="5"/>
    <n v="6"/>
  </r>
  <r>
    <x v="4"/>
    <x v="14"/>
    <s v="S12000006"/>
    <n v="12"/>
    <n v="77"/>
    <n v="32"/>
    <n v="7"/>
    <n v="86"/>
    <n v="16"/>
    <n v="5"/>
    <n v="10"/>
    <n v="17"/>
    <n v="55"/>
    <n v="30"/>
    <n v="29"/>
    <n v="17"/>
    <n v="34"/>
    <n v="13"/>
  </r>
  <r>
    <x v="4"/>
    <x v="4"/>
    <s v="S12000045"/>
    <n v="2"/>
    <n v="26"/>
    <n v="19"/>
    <m/>
    <n v="5"/>
    <n v="1"/>
    <n v="2"/>
    <m/>
    <n v="7"/>
    <n v="4"/>
    <n v="12"/>
    <n v="4"/>
    <m/>
    <n v="2"/>
    <m/>
  </r>
  <r>
    <x v="4"/>
    <x v="0"/>
    <s v="S12000010"/>
    <n v="7"/>
    <n v="29"/>
    <n v="6"/>
    <n v="9"/>
    <n v="30"/>
    <n v="11"/>
    <m/>
    <n v="1"/>
    <n v="7"/>
    <n v="16"/>
    <n v="4"/>
    <n v="13"/>
    <n v="5"/>
    <n v="9"/>
    <n v="2"/>
  </r>
  <r>
    <x v="4"/>
    <x v="18"/>
    <s v="S12000014"/>
    <n v="24"/>
    <n v="46"/>
    <n v="5"/>
    <n v="1"/>
    <n v="11"/>
    <n v="18"/>
    <m/>
    <n v="6"/>
    <n v="19"/>
    <n v="26"/>
    <n v="8"/>
    <n v="9"/>
    <n v="13"/>
    <n v="10"/>
    <n v="5"/>
  </r>
  <r>
    <x v="4"/>
    <x v="1"/>
    <s v="S12000018"/>
    <n v="2"/>
    <n v="35"/>
    <n v="7"/>
    <m/>
    <n v="6"/>
    <m/>
    <n v="1"/>
    <m/>
    <n v="3"/>
    <n v="10"/>
    <n v="3"/>
    <n v="3"/>
    <n v="2"/>
    <n v="2"/>
    <n v="4"/>
  </r>
  <r>
    <x v="4"/>
    <x v="25"/>
    <s v="S12000020"/>
    <n v="8"/>
    <n v="31"/>
    <n v="9"/>
    <n v="1"/>
    <n v="11"/>
    <n v="28"/>
    <m/>
    <n v="1"/>
    <n v="4"/>
    <n v="3"/>
    <n v="14"/>
    <n v="2"/>
    <n v="7"/>
    <n v="8"/>
    <n v="3"/>
  </r>
  <r>
    <x v="4"/>
    <x v="26"/>
    <s v="S12000038"/>
    <n v="1"/>
    <n v="58"/>
    <n v="17"/>
    <m/>
    <n v="20"/>
    <n v="14"/>
    <m/>
    <n v="3"/>
    <n v="10"/>
    <n v="4"/>
    <n v="5"/>
    <n v="5"/>
    <n v="16"/>
    <n v="6"/>
    <n v="10"/>
  </r>
  <r>
    <x v="4"/>
    <x v="17"/>
    <s v="S12000027"/>
    <m/>
    <n v="8"/>
    <n v="3"/>
    <m/>
    <n v="2"/>
    <m/>
    <m/>
    <n v="1"/>
    <n v="1"/>
    <m/>
    <m/>
    <m/>
    <m/>
    <m/>
    <n v="1"/>
  </r>
  <r>
    <x v="4"/>
    <x v="21"/>
    <s v="S12000039"/>
    <n v="5"/>
    <n v="16"/>
    <n v="17"/>
    <m/>
    <n v="13"/>
    <n v="1"/>
    <m/>
    <m/>
    <n v="2"/>
    <n v="1"/>
    <n v="6"/>
    <n v="3"/>
    <n v="6"/>
    <n v="4"/>
    <n v="5"/>
  </r>
  <r>
    <x v="5"/>
    <x v="4"/>
    <s v="S12000045"/>
    <n v="4"/>
    <n v="32"/>
    <n v="29"/>
    <m/>
    <n v="6"/>
    <n v="1"/>
    <m/>
    <n v="1"/>
    <n v="8"/>
    <n v="8"/>
    <n v="6"/>
    <n v="1"/>
    <m/>
    <n v="4"/>
    <n v="1"/>
  </r>
  <r>
    <x v="5"/>
    <x v="1"/>
    <s v="S12000018"/>
    <n v="2"/>
    <n v="34"/>
    <n v="8"/>
    <m/>
    <n v="3"/>
    <n v="1"/>
    <m/>
    <m/>
    <m/>
    <n v="1"/>
    <n v="1"/>
    <n v="3"/>
    <m/>
    <n v="1"/>
    <m/>
  </r>
  <r>
    <x v="5"/>
    <x v="19"/>
    <s v="S12000013"/>
    <m/>
    <m/>
    <m/>
    <m/>
    <m/>
    <m/>
    <m/>
    <m/>
    <m/>
    <m/>
    <m/>
    <m/>
    <m/>
    <m/>
    <m/>
  </r>
  <r>
    <x v="5"/>
    <x v="6"/>
    <s v="S12000044"/>
    <n v="12"/>
    <n v="50"/>
    <n v="11"/>
    <n v="2"/>
    <n v="26"/>
    <n v="3"/>
    <m/>
    <n v="1"/>
    <n v="11"/>
    <n v="13"/>
    <n v="25"/>
    <n v="11"/>
    <n v="29"/>
    <n v="92"/>
    <n v="20"/>
  </r>
  <r>
    <x v="0"/>
    <x v="27"/>
    <s v="S12000033"/>
    <n v="4"/>
    <n v="71"/>
    <n v="164"/>
    <n v="2"/>
    <n v="72"/>
    <n v="3"/>
    <n v="4"/>
    <m/>
    <n v="27"/>
    <n v="1"/>
    <n v="6"/>
    <n v="6"/>
    <n v="1"/>
    <n v="2"/>
    <n v="6"/>
  </r>
  <r>
    <x v="0"/>
    <x v="28"/>
    <s v="S12000036"/>
    <n v="40"/>
    <n v="127"/>
    <n v="134"/>
    <n v="69"/>
    <n v="105"/>
    <n v="42"/>
    <n v="3"/>
    <n v="7"/>
    <n v="127"/>
    <n v="28"/>
    <n v="89"/>
    <n v="108"/>
    <n v="15"/>
    <n v="43"/>
    <n v="19"/>
  </r>
  <r>
    <x v="0"/>
    <x v="3"/>
    <s v="S12000042"/>
    <n v="37"/>
    <n v="40"/>
    <n v="315"/>
    <n v="1"/>
    <n v="34"/>
    <n v="2"/>
    <m/>
    <m/>
    <n v="23"/>
    <n v="1"/>
    <n v="3"/>
    <n v="3"/>
    <m/>
    <n v="1"/>
    <m/>
  </r>
  <r>
    <x v="0"/>
    <x v="5"/>
    <s v="S12000011"/>
    <n v="1"/>
    <n v="14"/>
    <n v="14"/>
    <m/>
    <n v="7"/>
    <n v="2"/>
    <n v="1"/>
    <n v="3"/>
    <n v="18"/>
    <n v="7"/>
    <n v="25"/>
    <n v="8"/>
    <m/>
    <n v="11"/>
    <n v="8"/>
  </r>
  <r>
    <x v="0"/>
    <x v="10"/>
    <s v="S12000015"/>
    <n v="13"/>
    <n v="118"/>
    <n v="222"/>
    <n v="1"/>
    <n v="57"/>
    <n v="3"/>
    <n v="2"/>
    <n v="4"/>
    <n v="11"/>
    <n v="3"/>
    <n v="13"/>
    <n v="22"/>
    <n v="14"/>
    <n v="10"/>
    <n v="5"/>
  </r>
  <r>
    <x v="1"/>
    <x v="10"/>
    <s v="S12000015"/>
    <n v="18"/>
    <n v="137"/>
    <n v="272"/>
    <n v="1"/>
    <n v="61"/>
    <n v="6"/>
    <n v="2"/>
    <n v="4"/>
    <n v="9"/>
    <n v="12"/>
    <n v="31"/>
    <n v="18"/>
    <n v="23"/>
    <n v="12"/>
    <n v="12"/>
  </r>
  <r>
    <x v="1"/>
    <x v="25"/>
    <s v="S12000020"/>
    <n v="11"/>
    <n v="38"/>
    <n v="13"/>
    <n v="4"/>
    <n v="38"/>
    <n v="28"/>
    <m/>
    <n v="2"/>
    <n v="2"/>
    <n v="2"/>
    <n v="2"/>
    <n v="3"/>
    <n v="43"/>
    <n v="7"/>
    <m/>
  </r>
  <r>
    <x v="1"/>
    <x v="12"/>
    <s v="S12000021"/>
    <n v="5"/>
    <n v="72"/>
    <n v="6"/>
    <n v="4"/>
    <n v="36"/>
    <n v="30"/>
    <m/>
    <n v="1"/>
    <n v="4"/>
    <n v="5"/>
    <n v="39"/>
    <n v="13"/>
    <n v="34"/>
    <n v="4"/>
    <n v="10"/>
  </r>
  <r>
    <x v="1"/>
    <x v="13"/>
    <s v="S12000023"/>
    <n v="1"/>
    <n v="14"/>
    <n v="6"/>
    <n v="1"/>
    <n v="9"/>
    <n v="1"/>
    <m/>
    <m/>
    <m/>
    <m/>
    <m/>
    <m/>
    <m/>
    <m/>
    <m/>
  </r>
  <r>
    <x v="1"/>
    <x v="21"/>
    <s v="S12000039"/>
    <n v="7"/>
    <n v="26"/>
    <n v="19"/>
    <m/>
    <n v="17"/>
    <n v="2"/>
    <n v="1"/>
    <m/>
    <n v="3"/>
    <n v="5"/>
    <n v="7"/>
    <n v="7"/>
    <n v="117"/>
    <n v="9"/>
    <m/>
  </r>
  <r>
    <x v="2"/>
    <x v="29"/>
    <s v="S12000034"/>
    <n v="25"/>
    <n v="89"/>
    <n v="41"/>
    <n v="2"/>
    <n v="59"/>
    <n v="54"/>
    <m/>
    <m/>
    <n v="12"/>
    <n v="62"/>
    <n v="2"/>
    <n v="3"/>
    <n v="8"/>
    <n v="2"/>
    <n v="3"/>
  </r>
  <r>
    <x v="2"/>
    <x v="2"/>
    <s v="S12000005"/>
    <n v="15"/>
    <n v="19"/>
    <n v="2"/>
    <n v="2"/>
    <n v="2"/>
    <n v="1"/>
    <m/>
    <m/>
    <n v="2"/>
    <n v="10"/>
    <n v="6"/>
    <n v="3"/>
    <m/>
    <n v="6"/>
    <m/>
  </r>
  <r>
    <x v="2"/>
    <x v="14"/>
    <s v="S12000006"/>
    <n v="11"/>
    <n v="76"/>
    <n v="44"/>
    <n v="6"/>
    <n v="110"/>
    <n v="10"/>
    <n v="2"/>
    <n v="7"/>
    <n v="5"/>
    <n v="18"/>
    <n v="18"/>
    <n v="8"/>
    <n v="22"/>
    <n v="19"/>
    <n v="7"/>
  </r>
  <r>
    <x v="2"/>
    <x v="23"/>
    <s v="S12000008"/>
    <n v="6"/>
    <n v="46"/>
    <n v="9"/>
    <m/>
    <n v="24"/>
    <n v="9"/>
    <m/>
    <n v="2"/>
    <n v="4"/>
    <n v="2"/>
    <n v="23"/>
    <n v="7"/>
    <n v="22"/>
    <n v="6"/>
    <n v="4"/>
  </r>
  <r>
    <x v="2"/>
    <x v="24"/>
    <s v="S12000028"/>
    <n v="19"/>
    <n v="51"/>
    <n v="32"/>
    <n v="6"/>
    <n v="59"/>
    <n v="34"/>
    <m/>
    <n v="4"/>
    <n v="15"/>
    <n v="4"/>
    <n v="22"/>
    <n v="12"/>
    <n v="9"/>
    <n v="9"/>
    <n v="34"/>
  </r>
  <r>
    <x v="3"/>
    <x v="27"/>
    <s v="S12000033"/>
    <n v="13"/>
    <n v="46"/>
    <n v="170"/>
    <n v="1"/>
    <n v="35"/>
    <n v="1"/>
    <n v="3"/>
    <n v="1"/>
    <n v="9"/>
    <n v="3"/>
    <n v="12"/>
    <n v="6"/>
    <n v="6"/>
    <n v="5"/>
    <n v="4"/>
  </r>
  <r>
    <x v="3"/>
    <x v="29"/>
    <s v="S12000034"/>
    <n v="15"/>
    <n v="92"/>
    <n v="39"/>
    <m/>
    <n v="72"/>
    <n v="52"/>
    <n v="1"/>
    <n v="6"/>
    <n v="10"/>
    <n v="8"/>
    <n v="10"/>
    <n v="8"/>
    <n v="15"/>
    <n v="11"/>
    <n v="5"/>
  </r>
  <r>
    <x v="3"/>
    <x v="17"/>
    <s v="S12000027"/>
    <n v="1"/>
    <n v="16"/>
    <n v="3"/>
    <m/>
    <m/>
    <m/>
    <m/>
    <m/>
    <n v="1"/>
    <n v="1"/>
    <n v="1"/>
    <m/>
    <m/>
    <m/>
    <m/>
  </r>
  <r>
    <x v="4"/>
    <x v="3"/>
    <s v="S12000042"/>
    <n v="14"/>
    <n v="39"/>
    <n v="280"/>
    <n v="2"/>
    <n v="15"/>
    <m/>
    <m/>
    <m/>
    <n v="10"/>
    <n v="6"/>
    <n v="5"/>
    <n v="4"/>
    <n v="1"/>
    <n v="1"/>
    <n v="4"/>
  </r>
  <r>
    <x v="5"/>
    <x v="29"/>
    <s v="S12000034"/>
    <n v="15"/>
    <n v="81"/>
    <n v="20"/>
    <n v="5"/>
    <n v="44"/>
    <n v="47"/>
    <m/>
    <n v="3"/>
    <n v="8"/>
    <n v="30"/>
    <n v="34"/>
    <n v="9"/>
    <n v="19"/>
    <n v="17"/>
    <n v="19"/>
  </r>
  <r>
    <x v="5"/>
    <x v="5"/>
    <s v="S12000011"/>
    <m/>
    <n v="7"/>
    <n v="2"/>
    <m/>
    <n v="6"/>
    <n v="2"/>
    <m/>
    <m/>
    <m/>
    <n v="5"/>
    <m/>
    <n v="3"/>
    <n v="1"/>
    <n v="2"/>
    <m/>
  </r>
  <r>
    <x v="5"/>
    <x v="7"/>
    <s v="S12000024"/>
    <n v="36"/>
    <n v="71"/>
    <n v="10"/>
    <n v="2"/>
    <n v="67"/>
    <n v="33"/>
    <m/>
    <m/>
    <n v="6"/>
    <n v="6"/>
    <n v="6"/>
    <n v="6"/>
    <n v="2"/>
    <n v="1"/>
    <n v="2"/>
  </r>
  <r>
    <x v="5"/>
    <x v="26"/>
    <s v="S12000038"/>
    <n v="1"/>
    <n v="48"/>
    <n v="5"/>
    <m/>
    <n v="24"/>
    <n v="20"/>
    <n v="1"/>
    <m/>
    <n v="9"/>
    <n v="7"/>
    <n v="11"/>
    <n v="10"/>
    <n v="5"/>
    <n v="3"/>
    <n v="5"/>
  </r>
  <r>
    <x v="5"/>
    <x v="17"/>
    <s v="S12000027"/>
    <m/>
    <n v="11"/>
    <m/>
    <m/>
    <m/>
    <m/>
    <m/>
    <m/>
    <m/>
    <m/>
    <m/>
    <m/>
    <m/>
    <m/>
    <m/>
  </r>
  <r>
    <x v="5"/>
    <x v="8"/>
    <s v="S12000029"/>
    <n v="15"/>
    <n v="61"/>
    <n v="45"/>
    <m/>
    <n v="3"/>
    <n v="2"/>
    <m/>
    <n v="1"/>
    <n v="5"/>
    <n v="1"/>
    <n v="13"/>
    <n v="1"/>
    <n v="5"/>
    <n v="3"/>
    <n v="4"/>
  </r>
  <r>
    <x v="6"/>
    <x v="2"/>
    <s v="S12000005"/>
    <n v="2"/>
    <n v="19"/>
    <m/>
    <n v="4"/>
    <m/>
    <m/>
    <m/>
    <m/>
    <n v="1"/>
    <n v="2"/>
    <n v="1"/>
    <n v="3"/>
    <n v="2"/>
    <n v="1"/>
    <m/>
  </r>
  <r>
    <x v="6"/>
    <x v="18"/>
    <s v="S12000014"/>
    <n v="7"/>
    <n v="39"/>
    <m/>
    <m/>
    <m/>
    <m/>
    <n v="1"/>
    <m/>
    <n v="1"/>
    <n v="3"/>
    <n v="2"/>
    <n v="3"/>
    <n v="4"/>
    <n v="1"/>
    <n v="1"/>
  </r>
  <r>
    <x v="6"/>
    <x v="11"/>
    <s v="S12000017"/>
    <n v="18"/>
    <n v="56"/>
    <n v="16"/>
    <m/>
    <n v="17"/>
    <n v="2"/>
    <m/>
    <n v="1"/>
    <n v="1"/>
    <n v="1"/>
    <n v="2"/>
    <n v="2"/>
    <n v="4"/>
    <n v="2"/>
    <n v="2"/>
  </r>
  <r>
    <x v="0"/>
    <x v="23"/>
    <s v="S12000008"/>
    <n v="10"/>
    <n v="30"/>
    <n v="19"/>
    <m/>
    <n v="22"/>
    <m/>
    <m/>
    <m/>
    <n v="11"/>
    <n v="5"/>
    <n v="21"/>
    <n v="11"/>
    <n v="13"/>
    <n v="7"/>
    <n v="4"/>
  </r>
  <r>
    <x v="0"/>
    <x v="6"/>
    <s v="S12000044"/>
    <n v="7"/>
    <n v="39"/>
    <n v="55"/>
    <m/>
    <n v="20"/>
    <n v="2"/>
    <m/>
    <n v="5"/>
    <n v="35"/>
    <n v="3"/>
    <n v="42"/>
    <n v="9"/>
    <n v="26"/>
    <n v="42"/>
    <n v="16"/>
  </r>
  <r>
    <x v="1"/>
    <x v="15"/>
    <s v="S12000035"/>
    <n v="11"/>
    <n v="32"/>
    <n v="19"/>
    <n v="12"/>
    <n v="176"/>
    <n v="30"/>
    <n v="1"/>
    <n v="2"/>
    <n v="3"/>
    <n v="10"/>
    <n v="18"/>
    <n v="6"/>
    <n v="11"/>
    <n v="6"/>
    <n v="4"/>
  </r>
  <r>
    <x v="1"/>
    <x v="16"/>
    <s v="S12000019"/>
    <n v="3"/>
    <n v="16"/>
    <n v="23"/>
    <n v="3"/>
    <n v="6"/>
    <n v="1"/>
    <m/>
    <n v="1"/>
    <n v="6"/>
    <n v="12"/>
    <n v="16"/>
    <n v="4"/>
    <n v="4"/>
    <n v="1"/>
    <n v="2"/>
  </r>
  <r>
    <x v="1"/>
    <x v="24"/>
    <s v="S12000028"/>
    <n v="19"/>
    <n v="58"/>
    <n v="29"/>
    <n v="3"/>
    <n v="48"/>
    <n v="15"/>
    <m/>
    <m/>
    <n v="15"/>
    <n v="4"/>
    <n v="26"/>
    <n v="9"/>
    <n v="45"/>
    <n v="9"/>
    <n v="8"/>
  </r>
  <r>
    <x v="2"/>
    <x v="27"/>
    <s v="S12000033"/>
    <n v="21"/>
    <n v="103"/>
    <n v="219"/>
    <n v="2"/>
    <n v="50"/>
    <n v="4"/>
    <m/>
    <n v="1"/>
    <n v="10"/>
    <n v="4"/>
    <n v="6"/>
    <n v="6"/>
    <n v="2"/>
    <n v="5"/>
    <n v="2"/>
  </r>
  <r>
    <x v="2"/>
    <x v="11"/>
    <s v="S12000017"/>
    <n v="18"/>
    <n v="93"/>
    <n v="47"/>
    <n v="10"/>
    <n v="67"/>
    <n v="9"/>
    <m/>
    <m/>
    <n v="8"/>
    <n v="1"/>
    <n v="8"/>
    <n v="1"/>
    <n v="4"/>
    <n v="1"/>
    <n v="1"/>
  </r>
  <r>
    <x v="2"/>
    <x v="30"/>
    <s v="S12000040"/>
    <n v="10"/>
    <n v="47"/>
    <n v="2"/>
    <n v="1"/>
    <n v="16"/>
    <n v="1"/>
    <n v="2"/>
    <n v="4"/>
    <n v="22"/>
    <n v="15"/>
    <n v="12"/>
    <n v="11"/>
    <n v="18"/>
    <n v="11"/>
    <n v="5"/>
  </r>
  <r>
    <x v="3"/>
    <x v="14"/>
    <s v="S12000006"/>
    <n v="18"/>
    <n v="88"/>
    <n v="39"/>
    <n v="8"/>
    <n v="86"/>
    <n v="7"/>
    <m/>
    <n v="12"/>
    <n v="15"/>
    <n v="10"/>
    <n v="35"/>
    <n v="15"/>
    <n v="30"/>
    <n v="9"/>
    <n v="7"/>
  </r>
  <r>
    <x v="3"/>
    <x v="1"/>
    <s v="S12000018"/>
    <m/>
    <n v="35"/>
    <n v="10"/>
    <m/>
    <n v="6"/>
    <n v="1"/>
    <n v="1"/>
    <n v="1"/>
    <n v="3"/>
    <n v="1"/>
    <n v="1"/>
    <n v="1"/>
    <n v="3"/>
    <n v="1"/>
    <n v="1"/>
  </r>
  <r>
    <x v="3"/>
    <x v="19"/>
    <s v="S12000013"/>
    <n v="4"/>
    <n v="11"/>
    <m/>
    <m/>
    <n v="5"/>
    <n v="2"/>
    <m/>
    <m/>
    <m/>
    <m/>
    <n v="1"/>
    <m/>
    <m/>
    <m/>
    <m/>
  </r>
  <r>
    <x v="3"/>
    <x v="12"/>
    <s v="S12000021"/>
    <n v="2"/>
    <n v="40"/>
    <n v="3"/>
    <m/>
    <n v="29"/>
    <n v="4"/>
    <n v="1"/>
    <m/>
    <n v="7"/>
    <n v="1"/>
    <n v="8"/>
    <n v="2"/>
    <n v="1"/>
    <n v="3"/>
    <n v="1"/>
  </r>
  <r>
    <x v="3"/>
    <x v="6"/>
    <s v="S12000044"/>
    <n v="10"/>
    <n v="59"/>
    <n v="24"/>
    <m/>
    <n v="27"/>
    <n v="5"/>
    <m/>
    <n v="4"/>
    <n v="26"/>
    <n v="6"/>
    <n v="81"/>
    <n v="18"/>
    <n v="24"/>
    <n v="40"/>
    <n v="27"/>
  </r>
  <r>
    <x v="3"/>
    <x v="7"/>
    <s v="S12000024"/>
    <n v="58"/>
    <n v="80"/>
    <n v="6"/>
    <n v="9"/>
    <n v="70"/>
    <n v="36"/>
    <m/>
    <n v="1"/>
    <n v="4"/>
    <n v="2"/>
    <n v="5"/>
    <n v="14"/>
    <n v="3"/>
    <n v="4"/>
    <n v="1"/>
  </r>
  <r>
    <x v="4"/>
    <x v="29"/>
    <s v="S12000034"/>
    <n v="26"/>
    <n v="88"/>
    <n v="48"/>
    <n v="7"/>
    <n v="73"/>
    <n v="48"/>
    <n v="3"/>
    <n v="3"/>
    <n v="13"/>
    <n v="8"/>
    <n v="13"/>
    <n v="4"/>
    <n v="21"/>
    <n v="13"/>
    <n v="5"/>
  </r>
  <r>
    <x v="5"/>
    <x v="2"/>
    <s v="S12000005"/>
    <n v="4"/>
    <n v="22"/>
    <n v="3"/>
    <m/>
    <m/>
    <m/>
    <m/>
    <m/>
    <m/>
    <n v="8"/>
    <n v="1"/>
    <n v="4"/>
    <n v="3"/>
    <n v="4"/>
    <m/>
  </r>
  <r>
    <x v="5"/>
    <x v="3"/>
    <s v="S12000042"/>
    <n v="3"/>
    <n v="35"/>
    <n v="336"/>
    <n v="1"/>
    <n v="17"/>
    <n v="1"/>
    <m/>
    <n v="2"/>
    <n v="12"/>
    <n v="1"/>
    <n v="4"/>
    <n v="7"/>
    <n v="4"/>
    <m/>
    <n v="1"/>
  </r>
  <r>
    <x v="5"/>
    <x v="31"/>
    <s v="S12000026"/>
    <n v="18"/>
    <n v="32"/>
    <n v="16"/>
    <m/>
    <n v="8"/>
    <n v="2"/>
    <m/>
    <m/>
    <n v="4"/>
    <n v="11"/>
    <n v="1"/>
    <n v="6"/>
    <n v="5"/>
    <m/>
    <n v="1"/>
  </r>
  <r>
    <x v="6"/>
    <x v="15"/>
    <s v="S12000035"/>
    <m/>
    <n v="7"/>
    <n v="15"/>
    <n v="6"/>
    <n v="69"/>
    <n v="9"/>
    <n v="2"/>
    <m/>
    <m/>
    <n v="2"/>
    <n v="1"/>
    <n v="4"/>
    <n v="2"/>
    <n v="1"/>
    <n v="2"/>
  </r>
  <r>
    <x v="6"/>
    <x v="1"/>
    <s v="S12000018"/>
    <m/>
    <n v="21"/>
    <n v="4"/>
    <m/>
    <n v="1"/>
    <m/>
    <m/>
    <m/>
    <n v="1"/>
    <m/>
    <n v="1"/>
    <n v="1"/>
    <m/>
    <m/>
    <m/>
  </r>
  <r>
    <x v="6"/>
    <x v="12"/>
    <s v="S12000021"/>
    <m/>
    <n v="66"/>
    <m/>
    <m/>
    <n v="10"/>
    <n v="2"/>
    <m/>
    <m/>
    <n v="2"/>
    <m/>
    <n v="6"/>
    <n v="1"/>
    <n v="1"/>
    <m/>
    <n v="1"/>
  </r>
  <r>
    <x v="6"/>
    <x v="31"/>
    <s v="S12000026"/>
    <n v="16"/>
    <n v="34"/>
    <n v="5"/>
    <m/>
    <n v="3"/>
    <m/>
    <m/>
    <m/>
    <n v="1"/>
    <n v="2"/>
    <n v="2"/>
    <m/>
    <n v="1"/>
    <m/>
    <n v="2"/>
  </r>
  <r>
    <x v="6"/>
    <x v="8"/>
    <s v="S12000029"/>
    <n v="9"/>
    <n v="83"/>
    <n v="23"/>
    <m/>
    <n v="6"/>
    <m/>
    <m/>
    <m/>
    <n v="1"/>
    <n v="1"/>
    <n v="5"/>
    <n v="1"/>
    <n v="6"/>
    <n v="5"/>
    <n v="5"/>
  </r>
  <r>
    <x v="7"/>
    <x v="4"/>
    <s v="S12000045"/>
    <n v="2"/>
    <n v="28"/>
    <n v="25"/>
    <m/>
    <n v="5"/>
    <n v="1"/>
    <m/>
    <m/>
    <n v="3"/>
    <n v="5"/>
    <n v="2"/>
    <m/>
    <m/>
    <n v="1"/>
    <m/>
  </r>
  <r>
    <x v="7"/>
    <x v="31"/>
    <s v="S12000026"/>
    <n v="17"/>
    <n v="29"/>
    <n v="13"/>
    <m/>
    <n v="8"/>
    <n v="9"/>
    <m/>
    <m/>
    <n v="4"/>
    <n v="5"/>
    <n v="5"/>
    <n v="4"/>
    <n v="3"/>
    <n v="1"/>
    <n v="3"/>
  </r>
  <r>
    <x v="7"/>
    <x v="30"/>
    <s v="S12000040"/>
    <n v="7"/>
    <n v="42"/>
    <n v="19"/>
    <n v="1"/>
    <n v="15"/>
    <m/>
    <n v="1"/>
    <n v="1"/>
    <n v="15"/>
    <n v="22"/>
    <n v="18"/>
    <n v="12"/>
    <n v="16"/>
    <n v="5"/>
    <n v="3"/>
  </r>
  <r>
    <x v="8"/>
    <x v="12"/>
    <s v="S12000021"/>
    <n v="5"/>
    <n v="87"/>
    <n v="10"/>
    <n v="3"/>
    <n v="38"/>
    <n v="16"/>
    <n v="7"/>
    <m/>
    <n v="22"/>
    <n v="1"/>
    <n v="60"/>
    <n v="10"/>
    <n v="4"/>
    <n v="3"/>
    <n v="5"/>
  </r>
  <r>
    <x v="0"/>
    <x v="14"/>
    <s v="S12000006"/>
    <n v="7"/>
    <n v="38"/>
    <n v="29"/>
    <n v="3"/>
    <n v="58"/>
    <n v="1"/>
    <n v="1"/>
    <n v="2"/>
    <n v="12"/>
    <n v="1"/>
    <n v="21"/>
    <n v="17"/>
    <n v="12"/>
    <n v="9"/>
    <n v="2"/>
  </r>
  <r>
    <x v="0"/>
    <x v="11"/>
    <s v="S12000017"/>
    <n v="12"/>
    <n v="83"/>
    <n v="59"/>
    <n v="10"/>
    <n v="92"/>
    <n v="5"/>
    <m/>
    <m/>
    <n v="5"/>
    <m/>
    <n v="3"/>
    <m/>
    <n v="5"/>
    <m/>
    <n v="2"/>
  </r>
  <r>
    <x v="0"/>
    <x v="25"/>
    <s v="S12000020"/>
    <m/>
    <n v="15"/>
    <n v="14"/>
    <m/>
    <n v="46"/>
    <n v="8"/>
    <m/>
    <n v="1"/>
    <n v="4"/>
    <m/>
    <n v="1"/>
    <n v="6"/>
    <n v="16"/>
    <n v="3"/>
    <m/>
  </r>
  <r>
    <x v="0"/>
    <x v="8"/>
    <s v="S12000029"/>
    <n v="10"/>
    <n v="110"/>
    <n v="69"/>
    <m/>
    <n v="36"/>
    <n v="3"/>
    <m/>
    <n v="1"/>
    <n v="12"/>
    <n v="7"/>
    <n v="15"/>
    <n v="9"/>
    <n v="5"/>
    <n v="7"/>
    <n v="2"/>
  </r>
  <r>
    <x v="1"/>
    <x v="28"/>
    <s v="S12000036"/>
    <n v="35"/>
    <n v="123"/>
    <n v="178"/>
    <n v="33"/>
    <n v="141"/>
    <n v="29"/>
    <n v="4"/>
    <n v="5"/>
    <n v="80"/>
    <n v="20"/>
    <n v="74"/>
    <n v="65"/>
    <n v="7"/>
    <n v="52"/>
    <n v="11"/>
  </r>
  <r>
    <x v="1"/>
    <x v="23"/>
    <s v="S12000008"/>
    <n v="8"/>
    <n v="57"/>
    <n v="3"/>
    <m/>
    <n v="28"/>
    <n v="2"/>
    <m/>
    <n v="1"/>
    <n v="6"/>
    <n v="3"/>
    <n v="16"/>
    <n v="3"/>
    <n v="3"/>
    <n v="12"/>
    <n v="1"/>
  </r>
  <r>
    <x v="1"/>
    <x v="19"/>
    <s v="S12000013"/>
    <n v="1"/>
    <n v="4"/>
    <m/>
    <n v="2"/>
    <n v="1"/>
    <m/>
    <m/>
    <m/>
    <m/>
    <m/>
    <n v="1"/>
    <m/>
    <m/>
    <m/>
    <m/>
  </r>
  <r>
    <x v="1"/>
    <x v="26"/>
    <s v="S12000038"/>
    <n v="1"/>
    <n v="45"/>
    <n v="70"/>
    <m/>
    <n v="27"/>
    <m/>
    <n v="1"/>
    <m/>
    <n v="10"/>
    <n v="4"/>
    <n v="32"/>
    <n v="7"/>
    <n v="23"/>
    <n v="7"/>
    <n v="11"/>
  </r>
  <r>
    <x v="2"/>
    <x v="0"/>
    <s v="S12000010"/>
    <n v="8"/>
    <n v="27"/>
    <n v="12"/>
    <n v="9"/>
    <n v="13"/>
    <n v="5"/>
    <m/>
    <n v="1"/>
    <n v="9"/>
    <n v="20"/>
    <n v="8"/>
    <n v="11"/>
    <n v="3"/>
    <n v="8"/>
    <n v="5"/>
  </r>
  <r>
    <x v="2"/>
    <x v="22"/>
    <s v="S12000046"/>
    <n v="47"/>
    <n v="148"/>
    <n v="958"/>
    <n v="19"/>
    <n v="99"/>
    <n v="6"/>
    <n v="3"/>
    <n v="7"/>
    <n v="84"/>
    <n v="45"/>
    <n v="52"/>
    <n v="24"/>
    <n v="18"/>
    <n v="27"/>
    <n v="25"/>
  </r>
  <r>
    <x v="2"/>
    <x v="19"/>
    <s v="S12000013"/>
    <n v="2"/>
    <n v="7"/>
    <n v="2"/>
    <n v="1"/>
    <n v="8"/>
    <n v="1"/>
    <m/>
    <m/>
    <m/>
    <m/>
    <m/>
    <m/>
    <m/>
    <m/>
    <m/>
  </r>
  <r>
    <x v="3"/>
    <x v="28"/>
    <s v="S12000036"/>
    <n v="45"/>
    <n v="134"/>
    <n v="183"/>
    <n v="17"/>
    <n v="115"/>
    <n v="58"/>
    <n v="6"/>
    <n v="3"/>
    <n v="55"/>
    <n v="18"/>
    <n v="27"/>
    <n v="47"/>
    <n v="4"/>
    <n v="22"/>
    <n v="10"/>
  </r>
  <r>
    <x v="3"/>
    <x v="10"/>
    <s v="S12000015"/>
    <n v="13"/>
    <n v="138"/>
    <n v="175"/>
    <n v="2"/>
    <n v="69"/>
    <n v="7"/>
    <m/>
    <n v="2"/>
    <n v="8"/>
    <n v="5"/>
    <n v="11"/>
    <n v="9"/>
    <n v="10"/>
    <n v="10"/>
    <n v="5"/>
  </r>
  <r>
    <x v="3"/>
    <x v="31"/>
    <s v="S12000026"/>
    <n v="17"/>
    <n v="36"/>
    <n v="17"/>
    <m/>
    <n v="60"/>
    <n v="13"/>
    <n v="3"/>
    <n v="2"/>
    <n v="20"/>
    <n v="15"/>
    <n v="21"/>
    <n v="5"/>
    <n v="9"/>
    <n v="9"/>
    <n v="4"/>
  </r>
  <r>
    <x v="3"/>
    <x v="20"/>
    <s v="S12000030"/>
    <n v="2"/>
    <n v="45"/>
    <n v="56"/>
    <n v="5"/>
    <n v="41"/>
    <n v="31"/>
    <n v="2"/>
    <n v="2"/>
    <n v="11"/>
    <n v="15"/>
    <n v="2"/>
    <n v="7"/>
    <n v="2"/>
    <n v="2"/>
    <n v="1"/>
  </r>
  <r>
    <x v="4"/>
    <x v="27"/>
    <s v="S12000033"/>
    <n v="22"/>
    <n v="113"/>
    <n v="136"/>
    <n v="2"/>
    <n v="32"/>
    <n v="1"/>
    <n v="5"/>
    <n v="2"/>
    <n v="5"/>
    <n v="9"/>
    <n v="10"/>
    <n v="6"/>
    <n v="7"/>
    <n v="6"/>
    <n v="8"/>
  </r>
  <r>
    <x v="4"/>
    <x v="7"/>
    <s v="S12000024"/>
    <n v="69"/>
    <n v="86"/>
    <n v="18"/>
    <n v="7"/>
    <n v="48"/>
    <n v="30"/>
    <m/>
    <n v="1"/>
    <n v="5"/>
    <n v="2"/>
    <n v="8"/>
    <n v="5"/>
    <n v="7"/>
    <n v="3"/>
    <n v="4"/>
  </r>
  <r>
    <x v="5"/>
    <x v="25"/>
    <s v="S12000020"/>
    <n v="4"/>
    <n v="21"/>
    <n v="6"/>
    <n v="1"/>
    <n v="20"/>
    <n v="23"/>
    <n v="1"/>
    <n v="1"/>
    <m/>
    <n v="7"/>
    <n v="7"/>
    <n v="4"/>
    <n v="4"/>
    <n v="1"/>
    <m/>
  </r>
  <r>
    <x v="5"/>
    <x v="12"/>
    <s v="S12000021"/>
    <n v="3"/>
    <n v="62"/>
    <n v="8"/>
    <n v="7"/>
    <n v="8"/>
    <n v="11"/>
    <n v="5"/>
    <n v="1"/>
    <n v="8"/>
    <n v="2"/>
    <n v="14"/>
    <n v="7"/>
    <n v="4"/>
    <n v="3"/>
    <n v="5"/>
  </r>
  <r>
    <x v="5"/>
    <x v="30"/>
    <s v="S12000040"/>
    <n v="5"/>
    <n v="45"/>
    <n v="26"/>
    <m/>
    <n v="10"/>
    <n v="2"/>
    <n v="1"/>
    <n v="1"/>
    <n v="9"/>
    <n v="11"/>
    <n v="17"/>
    <n v="22"/>
    <n v="17"/>
    <n v="5"/>
    <n v="3"/>
  </r>
  <r>
    <x v="6"/>
    <x v="27"/>
    <s v="S12000033"/>
    <n v="17"/>
    <n v="72"/>
    <n v="71"/>
    <m/>
    <n v="2"/>
    <n v="5"/>
    <n v="1"/>
    <m/>
    <n v="1"/>
    <n v="1"/>
    <n v="3"/>
    <m/>
    <n v="2"/>
    <n v="3"/>
    <n v="3"/>
  </r>
  <r>
    <x v="6"/>
    <x v="9"/>
    <s v="S12000041"/>
    <n v="7"/>
    <n v="42"/>
    <n v="3"/>
    <m/>
    <m/>
    <n v="3"/>
    <m/>
    <m/>
    <m/>
    <m/>
    <n v="3"/>
    <n v="1"/>
    <m/>
    <m/>
    <m/>
  </r>
  <r>
    <x v="6"/>
    <x v="14"/>
    <s v="S12000006"/>
    <n v="8"/>
    <n v="69"/>
    <n v="34"/>
    <m/>
    <n v="5"/>
    <n v="2"/>
    <m/>
    <m/>
    <n v="1"/>
    <n v="1"/>
    <n v="4"/>
    <n v="2"/>
    <m/>
    <n v="1"/>
    <m/>
  </r>
  <r>
    <x v="6"/>
    <x v="23"/>
    <s v="S12000008"/>
    <n v="8"/>
    <n v="50"/>
    <n v="2"/>
    <m/>
    <n v="1"/>
    <n v="3"/>
    <m/>
    <m/>
    <n v="3"/>
    <m/>
    <n v="2"/>
    <m/>
    <m/>
    <m/>
    <m/>
  </r>
  <r>
    <x v="6"/>
    <x v="26"/>
    <s v="S12000038"/>
    <n v="2"/>
    <n v="39"/>
    <n v="9"/>
    <m/>
    <n v="9"/>
    <n v="3"/>
    <n v="1"/>
    <m/>
    <n v="3"/>
    <n v="6"/>
    <n v="2"/>
    <n v="2"/>
    <n v="2"/>
    <m/>
    <n v="2"/>
  </r>
  <r>
    <x v="6"/>
    <x v="24"/>
    <s v="S12000028"/>
    <n v="6"/>
    <n v="46"/>
    <n v="17"/>
    <n v="2"/>
    <n v="15"/>
    <n v="10"/>
    <m/>
    <m/>
    <n v="3"/>
    <n v="7"/>
    <n v="10"/>
    <m/>
    <n v="1"/>
    <m/>
    <n v="5"/>
  </r>
  <r>
    <x v="7"/>
    <x v="22"/>
    <s v="S12000046"/>
    <n v="8"/>
    <n v="90"/>
    <n v="757"/>
    <n v="3"/>
    <n v="65"/>
    <n v="8"/>
    <n v="2"/>
    <n v="2"/>
    <n v="10"/>
    <n v="15"/>
    <n v="27"/>
    <n v="29"/>
    <n v="2"/>
    <n v="7"/>
    <n v="20"/>
  </r>
  <r>
    <x v="7"/>
    <x v="24"/>
    <s v="S12000028"/>
    <n v="5"/>
    <n v="53"/>
    <n v="4"/>
    <n v="1"/>
    <n v="25"/>
    <n v="8"/>
    <n v="1"/>
    <n v="2"/>
    <n v="3"/>
    <n v="17"/>
    <n v="11"/>
    <n v="6"/>
    <n v="6"/>
    <n v="9"/>
    <n v="3"/>
  </r>
  <r>
    <x v="7"/>
    <x v="8"/>
    <s v="S12000029"/>
    <n v="11"/>
    <n v="78"/>
    <n v="10"/>
    <n v="2"/>
    <n v="13"/>
    <n v="1"/>
    <m/>
    <m/>
    <n v="4"/>
    <n v="4"/>
    <n v="15"/>
    <n v="8"/>
    <n v="13"/>
    <n v="5"/>
    <n v="1"/>
  </r>
  <r>
    <x v="8"/>
    <x v="28"/>
    <s v="S12000036"/>
    <n v="24"/>
    <n v="92"/>
    <n v="303"/>
    <n v="10"/>
    <n v="33"/>
    <n v="22"/>
    <n v="1"/>
    <n v="1"/>
    <n v="23"/>
    <n v="15"/>
    <n v="13"/>
    <n v="11"/>
    <n v="9"/>
    <n v="4"/>
    <n v="3"/>
  </r>
  <r>
    <x v="8"/>
    <x v="3"/>
    <s v="S12000042"/>
    <n v="17"/>
    <n v="36"/>
    <n v="150"/>
    <n v="1"/>
    <n v="18"/>
    <n v="1"/>
    <m/>
    <m/>
    <n v="5"/>
    <n v="11"/>
    <n v="7"/>
    <m/>
    <n v="2"/>
    <n v="2"/>
    <n v="1"/>
  </r>
  <r>
    <x v="8"/>
    <x v="22"/>
    <s v="S12000046"/>
    <n v="33"/>
    <n v="127"/>
    <n v="704"/>
    <n v="8"/>
    <n v="75"/>
    <n v="9"/>
    <n v="11"/>
    <n v="1"/>
    <n v="25"/>
    <n v="20"/>
    <n v="38"/>
    <n v="27"/>
    <n v="12"/>
    <n v="8"/>
    <n v="13"/>
  </r>
  <r>
    <x v="8"/>
    <x v="19"/>
    <s v="S12000013"/>
    <n v="2"/>
    <n v="15"/>
    <n v="13"/>
    <m/>
    <n v="4"/>
    <m/>
    <m/>
    <m/>
    <m/>
    <m/>
    <m/>
    <m/>
    <m/>
    <m/>
    <m/>
  </r>
  <r>
    <x v="8"/>
    <x v="30"/>
    <s v="S12000040"/>
    <n v="8"/>
    <n v="41"/>
    <n v="21"/>
    <m/>
    <n v="10"/>
    <n v="2"/>
    <m/>
    <m/>
    <n v="6"/>
    <n v="10"/>
    <n v="3"/>
    <m/>
    <n v="4"/>
    <n v="2"/>
    <n v="4"/>
  </r>
  <r>
    <x v="9"/>
    <x v="27"/>
    <s v="S12000033"/>
    <n v="14"/>
    <n v="73"/>
    <n v="132"/>
    <n v="1"/>
    <n v="68"/>
    <n v="22"/>
    <n v="1"/>
    <m/>
    <n v="5"/>
    <n v="3"/>
    <n v="2"/>
    <n v="6"/>
    <n v="1"/>
    <n v="10"/>
    <n v="10"/>
  </r>
  <r>
    <x v="9"/>
    <x v="18"/>
    <s v="S12000014"/>
    <n v="11"/>
    <n v="37"/>
    <n v="20"/>
    <n v="1"/>
    <n v="19"/>
    <m/>
    <n v="1"/>
    <n v="1"/>
    <n v="2"/>
    <n v="8"/>
    <n v="5"/>
    <n v="6"/>
    <n v="8"/>
    <m/>
    <n v="2"/>
  </r>
  <r>
    <x v="9"/>
    <x v="16"/>
    <s v="S12000019"/>
    <n v="2"/>
    <n v="12"/>
    <n v="18"/>
    <m/>
    <n v="8"/>
    <n v="60"/>
    <m/>
    <m/>
    <n v="5"/>
    <n v="7"/>
    <n v="4"/>
    <n v="4"/>
    <n v="5"/>
    <n v="1"/>
    <n v="6"/>
  </r>
  <r>
    <x v="9"/>
    <x v="13"/>
    <s v="S12000023"/>
    <n v="1"/>
    <n v="8"/>
    <n v="1"/>
    <n v="1"/>
    <n v="8"/>
    <n v="4"/>
    <m/>
    <m/>
    <m/>
    <m/>
    <n v="1"/>
    <m/>
    <m/>
    <m/>
    <m/>
  </r>
  <r>
    <x v="0"/>
    <x v="4"/>
    <s v="S12000045"/>
    <n v="5"/>
    <n v="18"/>
    <n v="1"/>
    <m/>
    <n v="5"/>
    <n v="1"/>
    <m/>
    <n v="1"/>
    <n v="2"/>
    <n v="2"/>
    <n v="6"/>
    <n v="2"/>
    <n v="4"/>
    <n v="4"/>
    <n v="3"/>
  </r>
  <r>
    <x v="0"/>
    <x v="16"/>
    <s v="S12000019"/>
    <n v="3"/>
    <n v="18"/>
    <n v="35"/>
    <n v="5"/>
    <n v="2"/>
    <n v="2"/>
    <n v="1"/>
    <m/>
    <n v="4"/>
    <n v="14"/>
    <n v="38"/>
    <m/>
    <n v="1"/>
    <n v="1"/>
    <n v="2"/>
  </r>
  <r>
    <x v="0"/>
    <x v="12"/>
    <s v="S12000021"/>
    <n v="7"/>
    <n v="58"/>
    <n v="2"/>
    <n v="1"/>
    <n v="6"/>
    <n v="1"/>
    <m/>
    <n v="1"/>
    <n v="1"/>
    <n v="2"/>
    <n v="11"/>
    <n v="9"/>
    <n v="1"/>
    <n v="6"/>
    <n v="3"/>
  </r>
  <r>
    <x v="0"/>
    <x v="26"/>
    <s v="S12000038"/>
    <n v="1"/>
    <n v="51"/>
    <n v="16"/>
    <m/>
    <n v="21"/>
    <m/>
    <m/>
    <m/>
    <n v="31"/>
    <n v="12"/>
    <n v="37"/>
    <n v="10"/>
    <n v="10"/>
    <n v="17"/>
    <n v="9"/>
  </r>
  <r>
    <x v="0"/>
    <x v="31"/>
    <s v="S12000026"/>
    <n v="17"/>
    <n v="34"/>
    <n v="22"/>
    <n v="2"/>
    <n v="85"/>
    <n v="41"/>
    <m/>
    <n v="2"/>
    <n v="21"/>
    <n v="8"/>
    <n v="117"/>
    <n v="11"/>
    <n v="7"/>
    <n v="7"/>
    <n v="7"/>
  </r>
  <r>
    <x v="1"/>
    <x v="27"/>
    <s v="S12000033"/>
    <n v="23"/>
    <n v="41"/>
    <n v="192"/>
    <n v="2"/>
    <n v="25"/>
    <n v="2"/>
    <n v="5"/>
    <m/>
    <n v="10"/>
    <n v="1"/>
    <n v="1"/>
    <n v="7"/>
    <m/>
    <n v="1"/>
    <n v="5"/>
  </r>
  <r>
    <x v="1"/>
    <x v="29"/>
    <s v="S12000034"/>
    <n v="13"/>
    <n v="109"/>
    <n v="44"/>
    <n v="2"/>
    <n v="106"/>
    <n v="38"/>
    <m/>
    <m/>
    <n v="24"/>
    <n v="3"/>
    <m/>
    <n v="8"/>
    <n v="15"/>
    <n v="5"/>
    <n v="6"/>
  </r>
  <r>
    <x v="1"/>
    <x v="0"/>
    <s v="S12000010"/>
    <n v="8"/>
    <n v="27"/>
    <n v="13"/>
    <n v="9"/>
    <n v="32"/>
    <n v="22"/>
    <n v="1"/>
    <n v="5"/>
    <n v="8"/>
    <n v="3"/>
    <n v="9"/>
    <n v="7"/>
    <n v="3"/>
    <n v="4"/>
    <n v="5"/>
  </r>
  <r>
    <x v="1"/>
    <x v="5"/>
    <s v="S12000011"/>
    <n v="1"/>
    <n v="10"/>
    <m/>
    <m/>
    <n v="5"/>
    <n v="1"/>
    <n v="1"/>
    <m/>
    <n v="4"/>
    <n v="4"/>
    <n v="18"/>
    <n v="1"/>
    <m/>
    <n v="9"/>
    <n v="3"/>
  </r>
  <r>
    <x v="1"/>
    <x v="11"/>
    <s v="S12000017"/>
    <n v="17"/>
    <n v="91"/>
    <n v="76"/>
    <n v="6"/>
    <n v="115"/>
    <n v="7"/>
    <n v="2"/>
    <n v="1"/>
    <n v="8"/>
    <m/>
    <n v="5"/>
    <n v="2"/>
    <n v="2"/>
    <n v="1"/>
    <n v="3"/>
  </r>
  <r>
    <x v="1"/>
    <x v="1"/>
    <s v="S12000018"/>
    <n v="6"/>
    <n v="21"/>
    <n v="6"/>
    <m/>
    <m/>
    <n v="2"/>
    <n v="1"/>
    <m/>
    <n v="1"/>
    <n v="3"/>
    <n v="8"/>
    <n v="5"/>
    <n v="2"/>
    <n v="4"/>
    <n v="4"/>
  </r>
  <r>
    <x v="1"/>
    <x v="6"/>
    <s v="S12000044"/>
    <n v="12"/>
    <n v="87"/>
    <n v="30"/>
    <m/>
    <n v="38"/>
    <n v="5"/>
    <n v="2"/>
    <n v="6"/>
    <n v="23"/>
    <n v="15"/>
    <n v="118"/>
    <n v="18"/>
    <n v="36"/>
    <n v="113"/>
    <n v="51"/>
  </r>
  <r>
    <x v="1"/>
    <x v="17"/>
    <s v="S12000027"/>
    <m/>
    <n v="10"/>
    <n v="6"/>
    <n v="1"/>
    <n v="4"/>
    <n v="1"/>
    <m/>
    <m/>
    <n v="1"/>
    <m/>
    <m/>
    <n v="1"/>
    <m/>
    <m/>
    <m/>
  </r>
  <r>
    <x v="1"/>
    <x v="30"/>
    <s v="S12000040"/>
    <n v="7"/>
    <n v="47"/>
    <n v="4"/>
    <n v="1"/>
    <n v="33"/>
    <n v="13"/>
    <m/>
    <n v="2"/>
    <n v="8"/>
    <n v="6"/>
    <n v="6"/>
    <n v="7"/>
    <n v="25"/>
    <n v="15"/>
    <n v="2"/>
  </r>
  <r>
    <x v="2"/>
    <x v="15"/>
    <s v="S12000035"/>
    <n v="6"/>
    <n v="29"/>
    <n v="32"/>
    <n v="15"/>
    <n v="146"/>
    <n v="41"/>
    <m/>
    <n v="4"/>
    <n v="11"/>
    <n v="6"/>
    <n v="15"/>
    <n v="6"/>
    <n v="8"/>
    <n v="9"/>
    <n v="3"/>
  </r>
  <r>
    <x v="2"/>
    <x v="3"/>
    <s v="S12000042"/>
    <n v="3"/>
    <n v="37"/>
    <n v="570"/>
    <n v="1"/>
    <n v="28"/>
    <m/>
    <n v="1"/>
    <m/>
    <n v="5"/>
    <n v="2"/>
    <n v="2"/>
    <n v="4"/>
    <n v="3"/>
    <m/>
    <m/>
  </r>
  <r>
    <x v="2"/>
    <x v="4"/>
    <s v="S12000045"/>
    <n v="11"/>
    <n v="28"/>
    <n v="19"/>
    <m/>
    <n v="6"/>
    <n v="2"/>
    <m/>
    <m/>
    <n v="1"/>
    <n v="4"/>
    <n v="1"/>
    <n v="2"/>
    <n v="1"/>
    <n v="1"/>
    <n v="5"/>
  </r>
  <r>
    <x v="2"/>
    <x v="25"/>
    <s v="S12000020"/>
    <n v="8"/>
    <n v="31"/>
    <n v="4"/>
    <n v="1"/>
    <n v="28"/>
    <n v="15"/>
    <m/>
    <n v="1"/>
    <n v="7"/>
    <n v="20"/>
    <n v="3"/>
    <n v="3"/>
    <n v="19"/>
    <n v="2"/>
    <m/>
  </r>
  <r>
    <x v="2"/>
    <x v="17"/>
    <s v="S12000027"/>
    <n v="1"/>
    <n v="11"/>
    <m/>
    <n v="1"/>
    <n v="3"/>
    <m/>
    <m/>
    <m/>
    <m/>
    <m/>
    <m/>
    <m/>
    <m/>
    <m/>
    <m/>
  </r>
  <r>
    <x v="3"/>
    <x v="25"/>
    <s v="S12000020"/>
    <n v="10"/>
    <n v="42"/>
    <n v="15"/>
    <n v="2"/>
    <n v="45"/>
    <n v="44"/>
    <n v="2"/>
    <m/>
    <n v="3"/>
    <n v="21"/>
    <n v="5"/>
    <n v="3"/>
    <n v="14"/>
    <n v="9"/>
    <n v="1"/>
  </r>
  <r>
    <x v="3"/>
    <x v="13"/>
    <s v="S12000023"/>
    <m/>
    <n v="9"/>
    <m/>
    <m/>
    <n v="3"/>
    <m/>
    <m/>
    <m/>
    <m/>
    <m/>
    <m/>
    <m/>
    <n v="1"/>
    <m/>
    <m/>
  </r>
  <r>
    <x v="3"/>
    <x v="21"/>
    <s v="S12000039"/>
    <n v="4"/>
    <n v="18"/>
    <n v="21"/>
    <m/>
    <n v="16"/>
    <n v="2"/>
    <m/>
    <n v="1"/>
    <n v="6"/>
    <n v="7"/>
    <n v="10"/>
    <n v="2"/>
    <n v="10"/>
    <n v="11"/>
    <n v="1"/>
  </r>
  <r>
    <x v="3"/>
    <x v="30"/>
    <s v="S12000040"/>
    <n v="5"/>
    <n v="56"/>
    <n v="3"/>
    <n v="1"/>
    <n v="8"/>
    <m/>
    <m/>
    <n v="3"/>
    <n v="14"/>
    <n v="16"/>
    <n v="21"/>
    <n v="15"/>
    <n v="14"/>
    <n v="5"/>
    <n v="3"/>
  </r>
  <r>
    <x v="4"/>
    <x v="9"/>
    <s v="S12000041"/>
    <n v="6"/>
    <n v="39"/>
    <n v="6"/>
    <m/>
    <n v="14"/>
    <n v="6"/>
    <n v="1"/>
    <n v="5"/>
    <n v="17"/>
    <n v="4"/>
    <n v="3"/>
    <n v="13"/>
    <n v="2"/>
    <n v="3"/>
    <n v="7"/>
  </r>
  <r>
    <x v="4"/>
    <x v="5"/>
    <s v="S12000011"/>
    <n v="1"/>
    <n v="15"/>
    <m/>
    <m/>
    <n v="6"/>
    <n v="1"/>
    <n v="1"/>
    <n v="1"/>
    <n v="2"/>
    <n v="2"/>
    <n v="1"/>
    <n v="3"/>
    <n v="2"/>
    <m/>
    <n v="1"/>
  </r>
  <r>
    <x v="4"/>
    <x v="16"/>
    <s v="S12000019"/>
    <n v="3"/>
    <n v="19"/>
    <n v="17"/>
    <n v="2"/>
    <n v="13"/>
    <n v="2"/>
    <n v="2"/>
    <n v="2"/>
    <n v="20"/>
    <n v="12"/>
    <n v="22"/>
    <n v="3"/>
    <n v="6"/>
    <n v="4"/>
    <n v="11"/>
  </r>
  <r>
    <x v="4"/>
    <x v="6"/>
    <s v="S12000044"/>
    <n v="9"/>
    <n v="58"/>
    <n v="24"/>
    <m/>
    <n v="29"/>
    <n v="3"/>
    <m/>
    <n v="1"/>
    <n v="24"/>
    <n v="17"/>
    <n v="41"/>
    <n v="28"/>
    <n v="17"/>
    <n v="35"/>
    <n v="21"/>
  </r>
  <r>
    <x v="6"/>
    <x v="25"/>
    <s v="S12000020"/>
    <n v="3"/>
    <n v="6"/>
    <n v="2"/>
    <m/>
    <n v="5"/>
    <n v="12"/>
    <m/>
    <m/>
    <m/>
    <n v="4"/>
    <n v="3"/>
    <m/>
    <n v="6"/>
    <m/>
    <n v="1"/>
  </r>
  <r>
    <x v="6"/>
    <x v="30"/>
    <s v="S12000040"/>
    <n v="9"/>
    <n v="46"/>
    <n v="5"/>
    <m/>
    <n v="1"/>
    <m/>
    <m/>
    <m/>
    <n v="1"/>
    <n v="2"/>
    <n v="5"/>
    <n v="2"/>
    <n v="12"/>
    <n v="2"/>
    <n v="1"/>
  </r>
  <r>
    <x v="7"/>
    <x v="27"/>
    <s v="S12000033"/>
    <n v="14"/>
    <n v="61"/>
    <n v="180"/>
    <m/>
    <n v="39"/>
    <n v="1"/>
    <m/>
    <m/>
    <n v="3"/>
    <n v="4"/>
    <n v="1"/>
    <n v="2"/>
    <n v="7"/>
    <n v="1"/>
    <n v="2"/>
  </r>
  <r>
    <x v="7"/>
    <x v="29"/>
    <s v="S12000034"/>
    <n v="10"/>
    <n v="106"/>
    <n v="20"/>
    <n v="1"/>
    <n v="9"/>
    <n v="12"/>
    <n v="1"/>
    <n v="1"/>
    <n v="1"/>
    <n v="2"/>
    <n v="3"/>
    <n v="6"/>
    <n v="7"/>
    <n v="4"/>
    <n v="3"/>
  </r>
  <r>
    <x v="7"/>
    <x v="9"/>
    <s v="S12000041"/>
    <n v="6"/>
    <n v="42"/>
    <n v="5"/>
    <m/>
    <n v="16"/>
    <n v="4"/>
    <n v="1"/>
    <n v="1"/>
    <n v="2"/>
    <n v="19"/>
    <n v="5"/>
    <n v="7"/>
    <n v="9"/>
    <n v="4"/>
    <n v="3"/>
  </r>
  <r>
    <x v="7"/>
    <x v="25"/>
    <s v="S12000020"/>
    <n v="4"/>
    <n v="15"/>
    <n v="4"/>
    <m/>
    <n v="6"/>
    <n v="15"/>
    <n v="1"/>
    <n v="1"/>
    <n v="1"/>
    <n v="2"/>
    <n v="2"/>
    <n v="3"/>
    <n v="4"/>
    <n v="1"/>
    <m/>
  </r>
  <r>
    <x v="7"/>
    <x v="19"/>
    <s v="S12000013"/>
    <m/>
    <m/>
    <m/>
    <m/>
    <n v="4"/>
    <m/>
    <m/>
    <m/>
    <m/>
    <m/>
    <m/>
    <m/>
    <m/>
    <m/>
    <m/>
  </r>
  <r>
    <x v="8"/>
    <x v="9"/>
    <s v="S12000041"/>
    <n v="6"/>
    <n v="40"/>
    <n v="7"/>
    <m/>
    <n v="5"/>
    <n v="14"/>
    <m/>
    <n v="1"/>
    <n v="1"/>
    <n v="17"/>
    <n v="8"/>
    <n v="2"/>
    <n v="3"/>
    <n v="1"/>
    <m/>
  </r>
  <r>
    <x v="8"/>
    <x v="10"/>
    <s v="S12000015"/>
    <n v="2"/>
    <n v="77"/>
    <n v="199"/>
    <n v="1"/>
    <n v="10"/>
    <n v="9"/>
    <n v="1"/>
    <m/>
    <n v="2"/>
    <n v="2"/>
    <m/>
    <n v="6"/>
    <n v="4"/>
    <m/>
    <m/>
  </r>
  <r>
    <x v="9"/>
    <x v="14"/>
    <s v="S12000006"/>
    <n v="13"/>
    <n v="52"/>
    <n v="25"/>
    <m/>
    <n v="33"/>
    <n v="234"/>
    <m/>
    <n v="2"/>
    <n v="3"/>
    <n v="3"/>
    <n v="6"/>
    <n v="4"/>
    <n v="6"/>
    <n v="5"/>
    <n v="3"/>
  </r>
  <r>
    <x v="9"/>
    <x v="3"/>
    <s v="S12000042"/>
    <n v="16"/>
    <n v="37"/>
    <n v="197"/>
    <n v="1"/>
    <n v="18"/>
    <n v="16"/>
    <n v="1"/>
    <m/>
    <n v="8"/>
    <n v="19"/>
    <n v="4"/>
    <n v="4"/>
    <n v="3"/>
    <m/>
    <n v="4"/>
  </r>
  <r>
    <x v="5"/>
    <x v="24"/>
    <s v="S12000028"/>
    <n v="7"/>
    <n v="44"/>
    <n v="31"/>
    <n v="2"/>
    <n v="40"/>
    <n v="20"/>
    <n v="2"/>
    <m/>
    <n v="7"/>
    <n v="7"/>
    <n v="10"/>
    <n v="10"/>
    <n v="25"/>
    <n v="13"/>
    <n v="7"/>
  </r>
  <r>
    <x v="6"/>
    <x v="28"/>
    <s v="S12000036"/>
    <n v="22"/>
    <n v="90"/>
    <n v="175"/>
    <n v="4"/>
    <n v="10"/>
    <n v="11"/>
    <m/>
    <n v="2"/>
    <n v="20"/>
    <n v="5"/>
    <n v="8"/>
    <n v="9"/>
    <n v="2"/>
    <n v="6"/>
    <m/>
  </r>
  <r>
    <x v="6"/>
    <x v="5"/>
    <s v="S12000011"/>
    <m/>
    <n v="14"/>
    <n v="1"/>
    <m/>
    <n v="1"/>
    <m/>
    <m/>
    <m/>
    <m/>
    <n v="2"/>
    <n v="2"/>
    <m/>
    <m/>
    <m/>
    <n v="1"/>
  </r>
  <r>
    <x v="6"/>
    <x v="16"/>
    <s v="S12000019"/>
    <n v="3"/>
    <n v="20"/>
    <n v="4"/>
    <m/>
    <m/>
    <m/>
    <m/>
    <m/>
    <n v="4"/>
    <m/>
    <n v="1"/>
    <n v="2"/>
    <n v="1"/>
    <m/>
    <n v="2"/>
  </r>
  <r>
    <x v="6"/>
    <x v="6"/>
    <s v="S12000050"/>
    <n v="3"/>
    <n v="41"/>
    <n v="3"/>
    <n v="1"/>
    <n v="14"/>
    <n v="1"/>
    <m/>
    <m/>
    <n v="1"/>
    <n v="2"/>
    <n v="8"/>
    <n v="4"/>
    <n v="10"/>
    <n v="26"/>
    <n v="3"/>
  </r>
  <r>
    <x v="6"/>
    <x v="7"/>
    <s v="S12000048"/>
    <n v="36"/>
    <n v="68"/>
    <n v="7"/>
    <n v="9"/>
    <n v="2"/>
    <n v="15"/>
    <m/>
    <m/>
    <n v="2"/>
    <n v="2"/>
    <n v="7"/>
    <n v="1"/>
    <m/>
    <n v="3"/>
    <m/>
  </r>
  <r>
    <x v="6"/>
    <x v="20"/>
    <s v="S12000030"/>
    <n v="1"/>
    <n v="49"/>
    <n v="13"/>
    <n v="2"/>
    <n v="2"/>
    <n v="2"/>
    <m/>
    <m/>
    <n v="2"/>
    <n v="2"/>
    <n v="4"/>
    <n v="1"/>
    <n v="1"/>
    <m/>
    <n v="1"/>
  </r>
  <r>
    <x v="6"/>
    <x v="21"/>
    <s v="S12000039"/>
    <n v="1"/>
    <n v="8"/>
    <n v="5"/>
    <m/>
    <n v="2"/>
    <m/>
    <m/>
    <n v="1"/>
    <n v="1"/>
    <n v="7"/>
    <m/>
    <n v="1"/>
    <m/>
    <n v="1"/>
    <n v="1"/>
  </r>
  <r>
    <x v="7"/>
    <x v="3"/>
    <s v="S12000042"/>
    <n v="11"/>
    <n v="37"/>
    <n v="189"/>
    <n v="1"/>
    <n v="8"/>
    <m/>
    <m/>
    <m/>
    <n v="6"/>
    <n v="3"/>
    <n v="4"/>
    <n v="3"/>
    <n v="3"/>
    <n v="3"/>
    <n v="3"/>
  </r>
  <r>
    <x v="7"/>
    <x v="5"/>
    <s v="S12000011"/>
    <m/>
    <n v="10"/>
    <n v="4"/>
    <m/>
    <n v="8"/>
    <m/>
    <m/>
    <m/>
    <m/>
    <n v="1"/>
    <m/>
    <m/>
    <m/>
    <m/>
    <m/>
  </r>
  <r>
    <x v="7"/>
    <x v="1"/>
    <s v="S12000018"/>
    <n v="2"/>
    <n v="28"/>
    <n v="2"/>
    <m/>
    <n v="3"/>
    <m/>
    <m/>
    <m/>
    <m/>
    <m/>
    <n v="2"/>
    <n v="2"/>
    <n v="1"/>
    <m/>
    <n v="3"/>
  </r>
  <r>
    <x v="7"/>
    <x v="13"/>
    <s v="S12000023"/>
    <m/>
    <n v="8"/>
    <m/>
    <n v="2"/>
    <n v="5"/>
    <m/>
    <m/>
    <m/>
    <m/>
    <m/>
    <m/>
    <m/>
    <m/>
    <m/>
    <m/>
  </r>
  <r>
    <x v="7"/>
    <x v="20"/>
    <s v="S12000030"/>
    <n v="1"/>
    <n v="40"/>
    <n v="86"/>
    <n v="1"/>
    <n v="10"/>
    <n v="15"/>
    <m/>
    <n v="1"/>
    <n v="4"/>
    <n v="1"/>
    <n v="5"/>
    <n v="2"/>
    <n v="3"/>
    <n v="3"/>
    <n v="3"/>
  </r>
  <r>
    <x v="8"/>
    <x v="23"/>
    <s v="S12000008"/>
    <n v="7"/>
    <n v="51"/>
    <n v="14"/>
    <m/>
    <n v="10"/>
    <n v="24"/>
    <m/>
    <m/>
    <n v="4"/>
    <n v="3"/>
    <n v="18"/>
    <n v="4"/>
    <n v="13"/>
    <m/>
    <n v="2"/>
  </r>
  <r>
    <x v="8"/>
    <x v="4"/>
    <s v="S12000045"/>
    <n v="5"/>
    <n v="23"/>
    <n v="12"/>
    <m/>
    <n v="4"/>
    <m/>
    <m/>
    <m/>
    <n v="1"/>
    <n v="2"/>
    <n v="4"/>
    <n v="1"/>
    <n v="1"/>
    <m/>
    <m/>
  </r>
  <r>
    <x v="8"/>
    <x v="13"/>
    <s v="S12000023"/>
    <n v="1"/>
    <n v="5"/>
    <n v="2"/>
    <m/>
    <n v="1"/>
    <m/>
    <m/>
    <m/>
    <m/>
    <m/>
    <m/>
    <m/>
    <m/>
    <m/>
    <m/>
  </r>
  <r>
    <x v="8"/>
    <x v="26"/>
    <s v="S12000038"/>
    <n v="4"/>
    <n v="65"/>
    <n v="19"/>
    <m/>
    <n v="28"/>
    <n v="21"/>
    <m/>
    <m/>
    <n v="4"/>
    <n v="13"/>
    <n v="13"/>
    <n v="3"/>
    <n v="8"/>
    <n v="12"/>
    <m/>
  </r>
  <r>
    <x v="9"/>
    <x v="0"/>
    <s v="S12000010"/>
    <n v="1"/>
    <n v="25"/>
    <n v="9"/>
    <m/>
    <n v="20"/>
    <n v="10"/>
    <m/>
    <m/>
    <n v="31"/>
    <n v="8"/>
    <n v="3"/>
    <n v="1"/>
    <n v="6"/>
    <n v="1"/>
    <n v="2"/>
  </r>
  <r>
    <x v="9"/>
    <x v="11"/>
    <s v="S12000017"/>
    <n v="19"/>
    <n v="88"/>
    <n v="37"/>
    <n v="11"/>
    <n v="167"/>
    <n v="14"/>
    <m/>
    <m/>
    <n v="3"/>
    <n v="2"/>
    <n v="5"/>
    <n v="7"/>
    <n v="4"/>
    <n v="2"/>
    <n v="3"/>
  </r>
  <r>
    <x v="8"/>
    <x v="6"/>
    <s v="S12000044"/>
    <n v="10"/>
    <n v="48"/>
    <n v="22"/>
    <n v="1"/>
    <n v="31"/>
    <n v="4"/>
    <m/>
    <m/>
    <n v="7"/>
    <n v="9"/>
    <n v="37"/>
    <n v="6"/>
    <n v="11"/>
    <n v="10"/>
    <n v="1"/>
  </r>
  <r>
    <x v="8"/>
    <x v="24"/>
    <s v="S12000028"/>
    <n v="6"/>
    <n v="46"/>
    <n v="27"/>
    <n v="2"/>
    <n v="45"/>
    <n v="17"/>
    <m/>
    <m/>
    <n v="13"/>
    <n v="5"/>
    <n v="43"/>
    <n v="3"/>
    <n v="17"/>
    <n v="12"/>
    <n v="4"/>
  </r>
  <r>
    <x v="8"/>
    <x v="8"/>
    <s v="S12000029"/>
    <n v="12"/>
    <n v="113"/>
    <n v="26"/>
    <m/>
    <n v="36"/>
    <n v="1"/>
    <n v="1"/>
    <n v="1"/>
    <n v="7"/>
    <n v="3"/>
    <n v="9"/>
    <n v="8"/>
    <n v="5"/>
    <n v="9"/>
    <n v="7"/>
  </r>
  <r>
    <x v="8"/>
    <x v="20"/>
    <s v="S12000030"/>
    <n v="2"/>
    <n v="37"/>
    <n v="48"/>
    <n v="2"/>
    <n v="8"/>
    <n v="1"/>
    <m/>
    <n v="1"/>
    <n v="4"/>
    <n v="1"/>
    <n v="2"/>
    <n v="1"/>
    <n v="2"/>
    <m/>
    <n v="1"/>
  </r>
  <r>
    <x v="9"/>
    <x v="9"/>
    <s v="S12000041"/>
    <n v="7"/>
    <n v="38"/>
    <n v="6"/>
    <m/>
    <n v="9"/>
    <n v="15"/>
    <m/>
    <n v="2"/>
    <n v="4"/>
    <n v="7"/>
    <n v="3"/>
    <n v="2"/>
    <n v="7"/>
    <m/>
    <n v="3"/>
  </r>
  <r>
    <x v="9"/>
    <x v="15"/>
    <s v="S12000035"/>
    <n v="6"/>
    <n v="30"/>
    <n v="18"/>
    <n v="2"/>
    <n v="78"/>
    <n v="319"/>
    <m/>
    <n v="2"/>
    <n v="3"/>
    <n v="1"/>
    <n v="4"/>
    <n v="10"/>
    <n v="5"/>
    <n v="2"/>
    <n v="1"/>
  </r>
  <r>
    <x v="9"/>
    <x v="22"/>
    <s v="S12000046"/>
    <n v="13"/>
    <n v="135"/>
    <n v="528"/>
    <n v="9"/>
    <n v="104"/>
    <n v="17"/>
    <n v="2"/>
    <n v="3"/>
    <n v="24"/>
    <n v="20"/>
    <n v="27"/>
    <n v="11"/>
    <n v="2"/>
    <n v="8"/>
    <n v="10"/>
  </r>
  <r>
    <x v="9"/>
    <x v="25"/>
    <s v="S12000020"/>
    <n v="3"/>
    <n v="19"/>
    <n v="9"/>
    <m/>
    <n v="28"/>
    <n v="51"/>
    <m/>
    <m/>
    <n v="3"/>
    <n v="2"/>
    <n v="4"/>
    <n v="3"/>
    <m/>
    <n v="1"/>
    <m/>
  </r>
  <r>
    <x v="9"/>
    <x v="19"/>
    <s v="S12000013"/>
    <n v="3"/>
    <n v="11"/>
    <n v="1"/>
    <n v="3"/>
    <n v="14"/>
    <n v="1"/>
    <m/>
    <m/>
    <m/>
    <m/>
    <m/>
    <m/>
    <n v="1"/>
    <m/>
    <m/>
  </r>
  <r>
    <x v="9"/>
    <x v="6"/>
    <s v="S12000044"/>
    <n v="12"/>
    <n v="58"/>
    <n v="16"/>
    <m/>
    <n v="48"/>
    <n v="5"/>
    <n v="3"/>
    <n v="1"/>
    <n v="21"/>
    <n v="2"/>
    <n v="48"/>
    <n v="11"/>
    <n v="26"/>
    <n v="136"/>
    <n v="38"/>
  </r>
  <r>
    <x v="9"/>
    <x v="32"/>
    <m/>
    <m/>
    <m/>
    <m/>
    <m/>
    <m/>
    <m/>
    <m/>
    <m/>
    <n v="1"/>
    <m/>
    <n v="2"/>
    <m/>
    <n v="2"/>
    <n v="5"/>
    <m/>
  </r>
  <r>
    <x v="9"/>
    <x v="31"/>
    <s v="S12000026"/>
    <n v="16"/>
    <n v="36"/>
    <n v="3"/>
    <m/>
    <n v="34"/>
    <n v="52"/>
    <m/>
    <m/>
    <n v="4"/>
    <n v="3"/>
    <n v="5"/>
    <n v="3"/>
    <n v="2"/>
    <m/>
    <n v="2"/>
  </r>
  <r>
    <x v="9"/>
    <x v="17"/>
    <s v="S12000027"/>
    <n v="1"/>
    <n v="16"/>
    <n v="4"/>
    <n v="5"/>
    <n v="15"/>
    <n v="17"/>
    <m/>
    <m/>
    <m/>
    <n v="8"/>
    <m/>
    <n v="2"/>
    <m/>
    <n v="1"/>
    <n v="1"/>
  </r>
  <r>
    <x v="0"/>
    <x v="29"/>
    <s v="S12000034"/>
    <n v="11"/>
    <n v="79"/>
    <n v="48"/>
    <m/>
    <n v="59"/>
    <n v="28"/>
    <m/>
    <m/>
    <n v="14"/>
    <n v="16"/>
    <n v="1"/>
    <n v="1"/>
    <n v="2"/>
    <n v="6"/>
    <n v="2"/>
  </r>
  <r>
    <x v="0"/>
    <x v="9"/>
    <s v="S12000041"/>
    <n v="13"/>
    <n v="38"/>
    <n v="6"/>
    <n v="1"/>
    <n v="27"/>
    <n v="9"/>
    <m/>
    <n v="2"/>
    <n v="34"/>
    <n v="4"/>
    <n v="5"/>
    <n v="20"/>
    <n v="25"/>
    <n v="13"/>
    <n v="9"/>
  </r>
  <r>
    <x v="0"/>
    <x v="15"/>
    <s v="S12000035"/>
    <n v="5"/>
    <n v="27"/>
    <n v="2"/>
    <n v="5"/>
    <n v="101"/>
    <n v="24"/>
    <n v="2"/>
    <n v="2"/>
    <n v="9"/>
    <n v="36"/>
    <n v="13"/>
    <n v="2"/>
    <n v="3"/>
    <n v="4"/>
    <n v="18"/>
  </r>
  <r>
    <x v="0"/>
    <x v="7"/>
    <s v="S12000024"/>
    <n v="49"/>
    <n v="85"/>
    <n v="32"/>
    <n v="1"/>
    <n v="18"/>
    <n v="30"/>
    <m/>
    <n v="1"/>
    <n v="4"/>
    <n v="3"/>
    <n v="5"/>
    <n v="4"/>
    <n v="3"/>
    <n v="11"/>
    <n v="1"/>
  </r>
  <r>
    <x v="0"/>
    <x v="17"/>
    <s v="S12000027"/>
    <n v="1"/>
    <n v="14"/>
    <n v="6"/>
    <n v="2"/>
    <n v="8"/>
    <m/>
    <m/>
    <m/>
    <m/>
    <m/>
    <m/>
    <m/>
    <m/>
    <n v="1"/>
    <m/>
  </r>
  <r>
    <x v="0"/>
    <x v="24"/>
    <s v="S12000028"/>
    <n v="3"/>
    <n v="46"/>
    <n v="23"/>
    <n v="5"/>
    <n v="39"/>
    <n v="14"/>
    <n v="1"/>
    <n v="1"/>
    <n v="16"/>
    <n v="10"/>
    <n v="36"/>
    <n v="8"/>
    <n v="20"/>
    <n v="15"/>
    <n v="10"/>
  </r>
  <r>
    <x v="0"/>
    <x v="30"/>
    <s v="S12000040"/>
    <n v="9"/>
    <n v="45"/>
    <n v="13"/>
    <n v="4"/>
    <n v="5"/>
    <n v="1"/>
    <m/>
    <n v="16"/>
    <n v="34"/>
    <n v="21"/>
    <n v="30"/>
    <n v="15"/>
    <n v="29"/>
    <n v="13"/>
    <n v="3"/>
  </r>
  <r>
    <x v="1"/>
    <x v="9"/>
    <s v="S12000041"/>
    <n v="8"/>
    <n v="36"/>
    <n v="4"/>
    <m/>
    <n v="12"/>
    <n v="27"/>
    <m/>
    <m/>
    <n v="39"/>
    <n v="7"/>
    <n v="3"/>
    <n v="19"/>
    <n v="8"/>
    <n v="8"/>
    <n v="3"/>
  </r>
  <r>
    <x v="1"/>
    <x v="14"/>
    <s v="S12000006"/>
    <n v="10"/>
    <n v="91"/>
    <n v="27"/>
    <n v="3"/>
    <n v="82"/>
    <n v="7"/>
    <n v="1"/>
    <n v="1"/>
    <n v="9"/>
    <n v="11"/>
    <n v="10"/>
    <n v="15"/>
    <n v="19"/>
    <n v="7"/>
    <n v="3"/>
  </r>
  <r>
    <x v="1"/>
    <x v="18"/>
    <s v="S12000014"/>
    <n v="10"/>
    <n v="45"/>
    <n v="8"/>
    <n v="1"/>
    <n v="18"/>
    <n v="5"/>
    <n v="2"/>
    <n v="4"/>
    <n v="17"/>
    <n v="6"/>
    <n v="16"/>
    <n v="7"/>
    <n v="10"/>
    <n v="8"/>
    <n v="3"/>
  </r>
  <r>
    <x v="1"/>
    <x v="7"/>
    <s v="S12000024"/>
    <n v="65"/>
    <n v="88"/>
    <n v="38"/>
    <m/>
    <n v="11"/>
    <n v="27"/>
    <m/>
    <m/>
    <n v="13"/>
    <n v="2"/>
    <n v="1"/>
    <n v="13"/>
    <n v="6"/>
    <n v="3"/>
    <n v="3"/>
  </r>
  <r>
    <x v="1"/>
    <x v="8"/>
    <s v="S12000029"/>
    <n v="15"/>
    <n v="102"/>
    <n v="59"/>
    <m/>
    <n v="25"/>
    <n v="3"/>
    <m/>
    <n v="1"/>
    <n v="6"/>
    <n v="3"/>
    <n v="5"/>
    <n v="8"/>
    <n v="4"/>
    <n v="16"/>
    <n v="3"/>
  </r>
  <r>
    <x v="2"/>
    <x v="28"/>
    <s v="S12000036"/>
    <n v="27"/>
    <n v="110"/>
    <n v="211"/>
    <n v="30"/>
    <n v="110"/>
    <n v="22"/>
    <n v="2"/>
    <n v="5"/>
    <n v="109"/>
    <n v="24"/>
    <n v="79"/>
    <n v="27"/>
    <n v="1"/>
    <n v="22"/>
    <n v="4"/>
  </r>
  <r>
    <x v="2"/>
    <x v="10"/>
    <s v="S12000015"/>
    <n v="24"/>
    <n v="132"/>
    <n v="202"/>
    <m/>
    <n v="31"/>
    <n v="5"/>
    <n v="6"/>
    <n v="2"/>
    <n v="14"/>
    <n v="7"/>
    <n v="15"/>
    <n v="17"/>
    <n v="11"/>
    <n v="9"/>
    <n v="7"/>
  </r>
  <r>
    <x v="2"/>
    <x v="13"/>
    <s v="S12000023"/>
    <n v="1"/>
    <n v="9"/>
    <n v="2"/>
    <n v="6"/>
    <n v="10"/>
    <n v="1"/>
    <m/>
    <m/>
    <m/>
    <m/>
    <m/>
    <m/>
    <m/>
    <m/>
    <m/>
  </r>
  <r>
    <x v="2"/>
    <x v="26"/>
    <s v="S12000038"/>
    <n v="1"/>
    <n v="56"/>
    <n v="8"/>
    <m/>
    <n v="22"/>
    <m/>
    <m/>
    <n v="2"/>
    <n v="16"/>
    <n v="2"/>
    <n v="25"/>
    <n v="6"/>
    <n v="13"/>
    <n v="9"/>
    <n v="9"/>
  </r>
  <r>
    <x v="2"/>
    <x v="20"/>
    <s v="S12000030"/>
    <n v="16"/>
    <n v="46"/>
    <n v="33"/>
    <n v="4"/>
    <n v="22"/>
    <n v="10"/>
    <m/>
    <m/>
    <n v="5"/>
    <n v="3"/>
    <n v="6"/>
    <n v="3"/>
    <n v="3"/>
    <n v="4"/>
    <n v="5"/>
  </r>
  <r>
    <x v="2"/>
    <x v="21"/>
    <s v="S12000039"/>
    <n v="4"/>
    <n v="24"/>
    <n v="13"/>
    <m/>
    <n v="17"/>
    <n v="6"/>
    <m/>
    <n v="2"/>
    <n v="3"/>
    <n v="3"/>
    <n v="8"/>
    <n v="3"/>
    <n v="31"/>
    <n v="5"/>
    <n v="2"/>
  </r>
  <r>
    <x v="3"/>
    <x v="22"/>
    <s v="S12000046"/>
    <n v="41"/>
    <n v="109"/>
    <n v="831"/>
    <n v="15"/>
    <n v="81"/>
    <n v="4"/>
    <n v="6"/>
    <n v="5"/>
    <n v="25"/>
    <n v="11"/>
    <n v="28"/>
    <n v="9"/>
    <n v="5"/>
    <n v="14"/>
    <n v="3"/>
  </r>
  <r>
    <x v="3"/>
    <x v="8"/>
    <s v="S12000029"/>
    <n v="24"/>
    <n v="115"/>
    <n v="74"/>
    <n v="3"/>
    <n v="37"/>
    <n v="4"/>
    <n v="2"/>
    <n v="1"/>
    <n v="14"/>
    <n v="9"/>
    <n v="14"/>
    <n v="8"/>
    <n v="16"/>
    <n v="7"/>
    <n v="5"/>
  </r>
  <r>
    <x v="4"/>
    <x v="22"/>
    <s v="S12000046"/>
    <n v="68"/>
    <n v="127"/>
    <n v="602"/>
    <n v="13"/>
    <n v="102"/>
    <n v="1"/>
    <n v="7"/>
    <n v="2"/>
    <n v="51"/>
    <n v="18"/>
    <n v="57"/>
    <n v="26"/>
    <n v="10"/>
    <n v="24"/>
    <n v="18"/>
  </r>
  <r>
    <x v="4"/>
    <x v="19"/>
    <s v="S12000013"/>
    <n v="2"/>
    <n v="6"/>
    <m/>
    <m/>
    <n v="8"/>
    <m/>
    <m/>
    <m/>
    <n v="1"/>
    <n v="1"/>
    <m/>
    <m/>
    <n v="2"/>
    <n v="1"/>
    <m/>
  </r>
  <r>
    <x v="4"/>
    <x v="31"/>
    <s v="S12000026"/>
    <n v="15"/>
    <n v="36"/>
    <n v="31"/>
    <n v="1"/>
    <n v="44"/>
    <n v="23"/>
    <m/>
    <m/>
    <n v="11"/>
    <n v="15"/>
    <n v="11"/>
    <n v="16"/>
    <n v="9"/>
    <n v="3"/>
    <n v="4"/>
  </r>
  <r>
    <x v="4"/>
    <x v="24"/>
    <s v="S12000028"/>
    <n v="8"/>
    <n v="56"/>
    <n v="28"/>
    <n v="3"/>
    <n v="38"/>
    <n v="7"/>
    <m/>
    <n v="2"/>
    <n v="11"/>
    <n v="19"/>
    <n v="13"/>
    <n v="6"/>
    <n v="17"/>
    <n v="11"/>
    <n v="10"/>
  </r>
  <r>
    <x v="4"/>
    <x v="30"/>
    <s v="S12000040"/>
    <n v="11"/>
    <n v="60"/>
    <n v="9"/>
    <m/>
    <n v="15"/>
    <n v="1"/>
    <m/>
    <n v="8"/>
    <n v="8"/>
    <n v="28"/>
    <n v="19"/>
    <n v="17"/>
    <n v="21"/>
    <n v="11"/>
    <n v="5"/>
  </r>
  <r>
    <x v="5"/>
    <x v="15"/>
    <s v="S12000035"/>
    <n v="7"/>
    <n v="28"/>
    <n v="38"/>
    <n v="8"/>
    <n v="107"/>
    <n v="49"/>
    <n v="2"/>
    <n v="3"/>
    <n v="5"/>
    <n v="7"/>
    <n v="8"/>
    <n v="5"/>
    <n v="7"/>
    <n v="6"/>
    <n v="2"/>
  </r>
  <r>
    <x v="5"/>
    <x v="22"/>
    <s v="S12000046"/>
    <n v="25"/>
    <n v="86"/>
    <n v="646"/>
    <n v="6"/>
    <n v="74"/>
    <n v="5"/>
    <n v="4"/>
    <n v="3"/>
    <n v="42"/>
    <n v="17"/>
    <n v="58"/>
    <n v="23"/>
    <n v="10"/>
    <n v="27"/>
    <n v="13"/>
  </r>
  <r>
    <x v="7"/>
    <x v="11"/>
    <s v="S12000017"/>
    <n v="19"/>
    <n v="83"/>
    <n v="27"/>
    <n v="4"/>
    <n v="55"/>
    <n v="5"/>
    <m/>
    <n v="1"/>
    <n v="3"/>
    <n v="3"/>
    <n v="2"/>
    <n v="3"/>
    <n v="2"/>
    <m/>
    <m/>
  </r>
  <r>
    <x v="7"/>
    <x v="12"/>
    <s v="S12000021"/>
    <n v="3"/>
    <n v="64"/>
    <n v="6"/>
    <m/>
    <n v="19"/>
    <n v="14"/>
    <n v="1"/>
    <m/>
    <n v="1"/>
    <n v="2"/>
    <n v="14"/>
    <n v="7"/>
    <n v="10"/>
    <n v="7"/>
    <n v="5"/>
  </r>
  <r>
    <x v="7"/>
    <x v="6"/>
    <s v="S12000044"/>
    <n v="5"/>
    <n v="57"/>
    <n v="18"/>
    <n v="1"/>
    <n v="27"/>
    <m/>
    <m/>
    <n v="1"/>
    <n v="4"/>
    <n v="4"/>
    <n v="16"/>
    <n v="22"/>
    <n v="12"/>
    <n v="9"/>
    <n v="9"/>
  </r>
  <r>
    <x v="7"/>
    <x v="7"/>
    <s v="S12000024"/>
    <n v="32"/>
    <n v="60"/>
    <n v="8"/>
    <n v="2"/>
    <n v="16"/>
    <n v="8"/>
    <m/>
    <m/>
    <n v="1"/>
    <n v="3"/>
    <n v="5"/>
    <n v="4"/>
    <n v="1"/>
    <n v="4"/>
    <n v="2"/>
  </r>
  <r>
    <x v="8"/>
    <x v="27"/>
    <s v="S12000033"/>
    <n v="22"/>
    <n v="102"/>
    <n v="142"/>
    <n v="1"/>
    <n v="48"/>
    <n v="12"/>
    <m/>
    <n v="1"/>
    <n v="4"/>
    <n v="3"/>
    <n v="7"/>
    <n v="5"/>
    <n v="5"/>
    <n v="3"/>
    <n v="2"/>
  </r>
  <r>
    <x v="8"/>
    <x v="14"/>
    <s v="S12000006"/>
    <n v="16"/>
    <n v="72"/>
    <n v="40"/>
    <n v="8"/>
    <n v="99"/>
    <n v="92"/>
    <m/>
    <n v="1"/>
    <n v="2"/>
    <n v="2"/>
    <n v="2"/>
    <n v="12"/>
    <n v="11"/>
    <n v="7"/>
    <n v="1"/>
  </r>
  <r>
    <x v="8"/>
    <x v="0"/>
    <s v="S12000010"/>
    <n v="1"/>
    <n v="27"/>
    <n v="19"/>
    <m/>
    <n v="9"/>
    <n v="9"/>
    <m/>
    <n v="1"/>
    <n v="11"/>
    <n v="18"/>
    <n v="4"/>
    <n v="12"/>
    <n v="4"/>
    <n v="4"/>
    <m/>
  </r>
  <r>
    <x v="8"/>
    <x v="5"/>
    <s v="S12000011"/>
    <m/>
    <n v="13"/>
    <n v="11"/>
    <m/>
    <n v="10"/>
    <n v="2"/>
    <m/>
    <n v="1"/>
    <n v="1"/>
    <n v="5"/>
    <n v="4"/>
    <n v="1"/>
    <n v="1"/>
    <m/>
    <m/>
  </r>
  <r>
    <x v="8"/>
    <x v="11"/>
    <s v="S12000017"/>
    <n v="18"/>
    <n v="90"/>
    <n v="21"/>
    <n v="3"/>
    <n v="87"/>
    <n v="1"/>
    <n v="1"/>
    <m/>
    <n v="5"/>
    <m/>
    <n v="3"/>
    <n v="3"/>
    <n v="7"/>
    <n v="2"/>
    <n v="1"/>
  </r>
  <r>
    <x v="8"/>
    <x v="16"/>
    <s v="S12000019"/>
    <n v="2"/>
    <n v="20"/>
    <n v="8"/>
    <m/>
    <n v="6"/>
    <n v="1"/>
    <m/>
    <m/>
    <n v="9"/>
    <n v="14"/>
    <n v="4"/>
    <n v="1"/>
    <n v="3"/>
    <m/>
    <n v="19"/>
  </r>
  <r>
    <x v="8"/>
    <x v="17"/>
    <s v="S12000027"/>
    <m/>
    <n v="15"/>
    <n v="8"/>
    <n v="7"/>
    <n v="22"/>
    <n v="12"/>
    <m/>
    <m/>
    <m/>
    <m/>
    <m/>
    <n v="1"/>
    <n v="1"/>
    <m/>
    <m/>
  </r>
  <r>
    <x v="9"/>
    <x v="33"/>
    <m/>
    <m/>
    <m/>
    <n v="1"/>
    <n v="1"/>
    <m/>
    <m/>
    <m/>
    <m/>
    <m/>
    <m/>
    <m/>
    <m/>
    <m/>
    <m/>
    <m/>
  </r>
  <r>
    <x v="9"/>
    <x v="28"/>
    <s v="S12000036"/>
    <n v="35"/>
    <n v="113"/>
    <n v="277"/>
    <n v="12"/>
    <n v="84"/>
    <n v="33"/>
    <n v="1"/>
    <n v="1"/>
    <n v="33"/>
    <n v="5"/>
    <n v="24"/>
    <n v="8"/>
    <n v="5"/>
    <n v="11"/>
    <n v="6"/>
  </r>
  <r>
    <x v="9"/>
    <x v="5"/>
    <s v="S12000011"/>
    <m/>
    <n v="11"/>
    <n v="13"/>
    <m/>
    <n v="8"/>
    <n v="5"/>
    <m/>
    <m/>
    <m/>
    <n v="9"/>
    <n v="4"/>
    <n v="4"/>
    <m/>
    <m/>
    <m/>
  </r>
  <r>
    <x v="9"/>
    <x v="24"/>
    <s v="S12000028"/>
    <n v="9"/>
    <n v="52"/>
    <n v="31"/>
    <n v="2"/>
    <n v="49"/>
    <n v="20"/>
    <m/>
    <n v="1"/>
    <n v="8"/>
    <n v="8"/>
    <n v="41"/>
    <n v="6"/>
    <n v="11"/>
    <n v="12"/>
    <n v="5"/>
  </r>
  <r>
    <x v="0"/>
    <x v="2"/>
    <s v="S12000005"/>
    <m/>
    <n v="22"/>
    <n v="2"/>
    <m/>
    <n v="5"/>
    <n v="4"/>
    <m/>
    <m/>
    <n v="1"/>
    <n v="3"/>
    <n v="2"/>
    <n v="1"/>
    <n v="1"/>
    <n v="3"/>
    <m/>
  </r>
  <r>
    <x v="0"/>
    <x v="22"/>
    <s v="S12000046"/>
    <n v="41"/>
    <n v="102"/>
    <n v="475"/>
    <n v="15"/>
    <n v="83"/>
    <n v="1"/>
    <n v="11"/>
    <n v="6"/>
    <n v="98"/>
    <n v="27"/>
    <n v="93"/>
    <n v="31"/>
    <n v="54"/>
    <n v="63"/>
    <n v="22"/>
  </r>
  <r>
    <x v="1"/>
    <x v="31"/>
    <s v="S12000026"/>
    <n v="16"/>
    <n v="39"/>
    <n v="37"/>
    <n v="1"/>
    <n v="55"/>
    <n v="35"/>
    <m/>
    <n v="6"/>
    <n v="20"/>
    <n v="16"/>
    <n v="20"/>
    <n v="12"/>
    <n v="10"/>
    <n v="13"/>
    <n v="10"/>
  </r>
  <r>
    <x v="2"/>
    <x v="9"/>
    <s v="S12000041"/>
    <n v="1"/>
    <n v="35"/>
    <n v="9"/>
    <m/>
    <n v="12"/>
    <n v="11"/>
    <m/>
    <m/>
    <n v="8"/>
    <n v="1"/>
    <n v="6"/>
    <n v="7"/>
    <n v="2"/>
    <n v="2"/>
    <n v="5"/>
  </r>
  <r>
    <x v="2"/>
    <x v="12"/>
    <s v="S12000021"/>
    <n v="5"/>
    <n v="72"/>
    <n v="6"/>
    <n v="3"/>
    <n v="20"/>
    <n v="47"/>
    <m/>
    <n v="1"/>
    <n v="9"/>
    <n v="9"/>
    <n v="11"/>
    <n v="16"/>
    <n v="22"/>
    <n v="5"/>
    <n v="4"/>
  </r>
  <r>
    <x v="2"/>
    <x v="31"/>
    <s v="S12000026"/>
    <n v="18"/>
    <n v="32"/>
    <n v="39"/>
    <m/>
    <n v="53"/>
    <n v="26"/>
    <n v="1"/>
    <n v="6"/>
    <n v="29"/>
    <n v="19"/>
    <n v="31"/>
    <n v="8"/>
    <n v="9"/>
    <n v="11"/>
    <n v="3"/>
  </r>
  <r>
    <x v="3"/>
    <x v="4"/>
    <s v="S12000045"/>
    <n v="1"/>
    <n v="32"/>
    <n v="22"/>
    <m/>
    <n v="7"/>
    <n v="1"/>
    <m/>
    <n v="3"/>
    <n v="4"/>
    <n v="4"/>
    <n v="6"/>
    <n v="5"/>
    <n v="1"/>
    <n v="3"/>
    <n v="3"/>
  </r>
  <r>
    <x v="3"/>
    <x v="5"/>
    <s v="S12000011"/>
    <n v="1"/>
    <n v="16"/>
    <n v="2"/>
    <m/>
    <n v="8"/>
    <m/>
    <m/>
    <m/>
    <m/>
    <n v="1"/>
    <n v="1"/>
    <m/>
    <n v="1"/>
    <m/>
    <m/>
  </r>
  <r>
    <x v="3"/>
    <x v="11"/>
    <s v="S12000017"/>
    <n v="12"/>
    <n v="79"/>
    <n v="60"/>
    <n v="27"/>
    <n v="82"/>
    <n v="10"/>
    <m/>
    <n v="1"/>
    <n v="4"/>
    <n v="2"/>
    <n v="1"/>
    <n v="4"/>
    <n v="2"/>
    <m/>
    <n v="2"/>
  </r>
  <r>
    <x v="3"/>
    <x v="26"/>
    <s v="S12000038"/>
    <n v="3"/>
    <n v="56"/>
    <n v="6"/>
    <m/>
    <n v="16"/>
    <m/>
    <n v="2"/>
    <m/>
    <n v="4"/>
    <n v="1"/>
    <n v="1"/>
    <m/>
    <n v="1"/>
    <n v="1"/>
    <m/>
  </r>
  <r>
    <x v="4"/>
    <x v="28"/>
    <s v="S12000036"/>
    <n v="66"/>
    <n v="120"/>
    <n v="142"/>
    <n v="21"/>
    <n v="112"/>
    <n v="23"/>
    <n v="2"/>
    <n v="5"/>
    <n v="85"/>
    <n v="16"/>
    <n v="26"/>
    <n v="40"/>
    <n v="7"/>
    <n v="41"/>
    <n v="8"/>
  </r>
  <r>
    <x v="4"/>
    <x v="23"/>
    <s v="S12000008"/>
    <n v="3"/>
    <n v="57"/>
    <n v="7"/>
    <m/>
    <n v="24"/>
    <n v="8"/>
    <m/>
    <m/>
    <n v="9"/>
    <n v="8"/>
    <n v="11"/>
    <n v="6"/>
    <n v="7"/>
    <n v="3"/>
    <n v="2"/>
  </r>
  <r>
    <x v="4"/>
    <x v="8"/>
    <s v="S12000029"/>
    <n v="26"/>
    <n v="98"/>
    <n v="52"/>
    <m/>
    <n v="31"/>
    <n v="2"/>
    <m/>
    <m/>
    <n v="5"/>
    <n v="1"/>
    <n v="8"/>
    <n v="10"/>
    <n v="6"/>
    <n v="9"/>
    <n v="4"/>
  </r>
  <r>
    <x v="5"/>
    <x v="27"/>
    <s v="S12000033"/>
    <n v="15"/>
    <n v="70"/>
    <n v="231"/>
    <m/>
    <n v="44"/>
    <n v="17"/>
    <n v="2"/>
    <n v="1"/>
    <n v="7"/>
    <n v="6"/>
    <n v="13"/>
    <n v="9"/>
    <n v="8"/>
    <n v="6"/>
    <n v="4"/>
  </r>
  <r>
    <x v="5"/>
    <x v="9"/>
    <s v="S12000041"/>
    <n v="7"/>
    <n v="38"/>
    <n v="7"/>
    <m/>
    <n v="2"/>
    <n v="6"/>
    <m/>
    <n v="7"/>
    <n v="10"/>
    <n v="8"/>
    <n v="10"/>
    <n v="9"/>
    <n v="8"/>
    <n v="2"/>
    <n v="9"/>
  </r>
  <r>
    <x v="5"/>
    <x v="21"/>
    <s v="S12000039"/>
    <n v="6"/>
    <n v="19"/>
    <n v="21"/>
    <m/>
    <n v="20"/>
    <n v="3"/>
    <m/>
    <n v="2"/>
    <n v="12"/>
    <n v="1"/>
    <n v="13"/>
    <n v="7"/>
    <n v="15"/>
    <n v="5"/>
    <n v="4"/>
  </r>
  <r>
    <x v="6"/>
    <x v="10"/>
    <s v="S12000047"/>
    <n v="2"/>
    <n v="120"/>
    <n v="79"/>
    <n v="2"/>
    <n v="2"/>
    <n v="10"/>
    <m/>
    <n v="1"/>
    <n v="2"/>
    <n v="3"/>
    <n v="7"/>
    <n v="6"/>
    <n v="13"/>
    <n v="3"/>
    <m/>
  </r>
  <r>
    <x v="7"/>
    <x v="14"/>
    <s v="S12000006"/>
    <n v="7"/>
    <n v="35"/>
    <n v="33"/>
    <m/>
    <n v="17"/>
    <n v="20"/>
    <n v="2"/>
    <m/>
    <n v="6"/>
    <m/>
    <n v="3"/>
    <n v="2"/>
    <n v="6"/>
    <n v="7"/>
    <n v="3"/>
  </r>
  <r>
    <x v="7"/>
    <x v="10"/>
    <s v="S12000015"/>
    <n v="1"/>
    <n v="121"/>
    <n v="156"/>
    <m/>
    <n v="11"/>
    <n v="14"/>
    <m/>
    <n v="3"/>
    <n v="3"/>
    <n v="13"/>
    <n v="13"/>
    <n v="5"/>
    <n v="20"/>
    <n v="1"/>
    <n v="9"/>
  </r>
  <r>
    <x v="8"/>
    <x v="2"/>
    <s v="S12000005"/>
    <n v="1"/>
    <n v="15"/>
    <n v="2"/>
    <m/>
    <m/>
    <m/>
    <m/>
    <m/>
    <m/>
    <n v="6"/>
    <n v="1"/>
    <m/>
    <n v="2"/>
    <m/>
    <m/>
  </r>
  <r>
    <x v="8"/>
    <x v="7"/>
    <s v="S12000024"/>
    <n v="24"/>
    <n v="46"/>
    <n v="10"/>
    <n v="1"/>
    <n v="15"/>
    <n v="10"/>
    <m/>
    <n v="1"/>
    <n v="12"/>
    <n v="7"/>
    <n v="3"/>
    <n v="4"/>
    <n v="3"/>
    <n v="1"/>
    <n v="1"/>
  </r>
  <r>
    <x v="8"/>
    <x v="21"/>
    <s v="S12000039"/>
    <m/>
    <n v="14"/>
    <n v="11"/>
    <m/>
    <n v="3"/>
    <m/>
    <m/>
    <n v="1"/>
    <n v="1"/>
    <n v="3"/>
    <n v="3"/>
    <n v="3"/>
    <n v="2"/>
    <n v="1"/>
    <n v="1"/>
  </r>
  <r>
    <x v="9"/>
    <x v="29"/>
    <s v="S12000034"/>
    <n v="8"/>
    <n v="67"/>
    <n v="16"/>
    <n v="2"/>
    <n v="28"/>
    <n v="147"/>
    <m/>
    <n v="5"/>
    <n v="3"/>
    <n v="7"/>
    <n v="11"/>
    <n v="6"/>
    <n v="19"/>
    <n v="4"/>
    <n v="10"/>
  </r>
  <r>
    <x v="9"/>
    <x v="4"/>
    <s v="S12000045"/>
    <n v="4"/>
    <n v="25"/>
    <n v="23"/>
    <m/>
    <n v="2"/>
    <n v="1"/>
    <m/>
    <m/>
    <n v="2"/>
    <n v="3"/>
    <m/>
    <n v="1"/>
    <m/>
    <n v="1"/>
    <n v="1"/>
  </r>
  <r>
    <x v="9"/>
    <x v="34"/>
    <m/>
    <m/>
    <m/>
    <m/>
    <m/>
    <m/>
    <n v="1"/>
    <m/>
    <m/>
    <m/>
    <m/>
    <m/>
    <m/>
    <n v="2"/>
    <n v="2"/>
    <n v="1"/>
  </r>
  <r>
    <x v="9"/>
    <x v="8"/>
    <s v="S12000029"/>
    <n v="23"/>
    <n v="143"/>
    <n v="59"/>
    <m/>
    <n v="59"/>
    <n v="21"/>
    <m/>
    <m/>
    <n v="4"/>
    <n v="7"/>
    <n v="13"/>
    <n v="18"/>
    <n v="6"/>
    <n v="13"/>
    <n v="12"/>
  </r>
  <r>
    <x v="4"/>
    <x v="20"/>
    <s v="S12000030"/>
    <n v="7"/>
    <n v="56"/>
    <n v="37"/>
    <n v="2"/>
    <n v="33"/>
    <n v="4"/>
    <m/>
    <n v="1"/>
    <n v="1"/>
    <n v="36"/>
    <n v="4"/>
    <n v="4"/>
    <n v="3"/>
    <n v="2"/>
    <n v="3"/>
  </r>
  <r>
    <x v="5"/>
    <x v="28"/>
    <s v="S12000036"/>
    <n v="44"/>
    <n v="107"/>
    <n v="91"/>
    <n v="11"/>
    <n v="97"/>
    <n v="84"/>
    <n v="4"/>
    <n v="2"/>
    <n v="52"/>
    <n v="28"/>
    <n v="42"/>
    <n v="31"/>
    <n v="7"/>
    <n v="45"/>
    <n v="3"/>
  </r>
  <r>
    <x v="5"/>
    <x v="23"/>
    <s v="S12000008"/>
    <n v="2"/>
    <n v="54"/>
    <n v="8"/>
    <m/>
    <n v="13"/>
    <n v="11"/>
    <m/>
    <m/>
    <n v="3"/>
    <n v="10"/>
    <n v="6"/>
    <n v="3"/>
    <m/>
    <m/>
    <m/>
  </r>
  <r>
    <x v="5"/>
    <x v="0"/>
    <s v="S12000010"/>
    <n v="5"/>
    <n v="23"/>
    <n v="12"/>
    <m/>
    <n v="4"/>
    <n v="2"/>
    <m/>
    <n v="1"/>
    <n v="10"/>
    <n v="8"/>
    <n v="2"/>
    <n v="7"/>
    <n v="1"/>
    <n v="1"/>
    <n v="2"/>
  </r>
  <r>
    <x v="5"/>
    <x v="18"/>
    <s v="S12000014"/>
    <n v="9"/>
    <n v="41"/>
    <n v="4"/>
    <n v="1"/>
    <n v="19"/>
    <m/>
    <n v="1"/>
    <n v="5"/>
    <n v="22"/>
    <n v="12"/>
    <n v="13"/>
    <n v="14"/>
    <n v="8"/>
    <n v="1"/>
    <m/>
  </r>
  <r>
    <x v="5"/>
    <x v="10"/>
    <s v="S12000015"/>
    <n v="13"/>
    <n v="132"/>
    <n v="156"/>
    <n v="1"/>
    <n v="54"/>
    <n v="17"/>
    <n v="1"/>
    <m/>
    <n v="7"/>
    <n v="10"/>
    <n v="4"/>
    <n v="9"/>
    <n v="7"/>
    <n v="2"/>
    <n v="4"/>
  </r>
  <r>
    <x v="6"/>
    <x v="29"/>
    <s v="S12000034"/>
    <n v="8"/>
    <n v="27"/>
    <n v="6"/>
    <m/>
    <n v="7"/>
    <n v="19"/>
    <m/>
    <m/>
    <n v="4"/>
    <n v="1"/>
    <n v="1"/>
    <n v="3"/>
    <n v="4"/>
    <m/>
    <n v="1"/>
  </r>
  <r>
    <x v="6"/>
    <x v="19"/>
    <s v="S12000013"/>
    <n v="2"/>
    <n v="9"/>
    <m/>
    <m/>
    <m/>
    <m/>
    <m/>
    <m/>
    <m/>
    <m/>
    <m/>
    <m/>
    <m/>
    <m/>
    <m/>
  </r>
  <r>
    <x v="6"/>
    <x v="17"/>
    <s v="S12000027"/>
    <m/>
    <n v="8"/>
    <n v="1"/>
    <m/>
    <n v="1"/>
    <m/>
    <m/>
    <m/>
    <m/>
    <m/>
    <m/>
    <m/>
    <m/>
    <m/>
    <m/>
  </r>
  <r>
    <x v="7"/>
    <x v="28"/>
    <s v="S12000036"/>
    <n v="46"/>
    <n v="107"/>
    <n v="331"/>
    <n v="2"/>
    <n v="73"/>
    <n v="67"/>
    <m/>
    <n v="4"/>
    <n v="26"/>
    <n v="8"/>
    <n v="14"/>
    <n v="11"/>
    <n v="2"/>
    <n v="16"/>
    <n v="3"/>
  </r>
  <r>
    <x v="7"/>
    <x v="21"/>
    <s v="S12000039"/>
    <n v="6"/>
    <n v="16"/>
    <n v="17"/>
    <m/>
    <n v="14"/>
    <n v="3"/>
    <m/>
    <m/>
    <n v="2"/>
    <n v="3"/>
    <n v="1"/>
    <n v="2"/>
    <n v="3"/>
    <n v="2"/>
    <m/>
  </r>
  <r>
    <x v="8"/>
    <x v="15"/>
    <s v="S12000035"/>
    <n v="7"/>
    <n v="41"/>
    <n v="29"/>
    <n v="8"/>
    <n v="125"/>
    <n v="102"/>
    <n v="1"/>
    <n v="1"/>
    <n v="8"/>
    <n v="10"/>
    <n v="3"/>
    <n v="13"/>
    <n v="3"/>
    <n v="9"/>
    <n v="19"/>
  </r>
  <r>
    <x v="8"/>
    <x v="18"/>
    <s v="S12000014"/>
    <n v="6"/>
    <n v="35"/>
    <n v="3"/>
    <n v="1"/>
    <n v="17"/>
    <m/>
    <n v="1"/>
    <n v="1"/>
    <n v="2"/>
    <n v="4"/>
    <n v="6"/>
    <n v="3"/>
    <n v="7"/>
    <n v="4"/>
    <n v="1"/>
  </r>
  <r>
    <x v="9"/>
    <x v="12"/>
    <s v="S12000021"/>
    <n v="3"/>
    <n v="79"/>
    <n v="11"/>
    <m/>
    <n v="30"/>
    <n v="25"/>
    <n v="1"/>
    <n v="1"/>
    <n v="10"/>
    <n v="4"/>
    <n v="16"/>
    <n v="11"/>
    <n v="37"/>
    <n v="9"/>
    <n v="21"/>
  </r>
  <r>
    <x v="9"/>
    <x v="7"/>
    <s v="S12000024"/>
    <n v="25"/>
    <n v="63"/>
    <n v="17"/>
    <m/>
    <n v="64"/>
    <n v="31"/>
    <m/>
    <n v="1"/>
    <n v="6"/>
    <n v="3"/>
    <n v="3"/>
    <n v="3"/>
    <m/>
    <n v="4"/>
    <n v="9"/>
  </r>
  <r>
    <x v="9"/>
    <x v="26"/>
    <s v="S12000038"/>
    <n v="2"/>
    <n v="64"/>
    <n v="22"/>
    <m/>
    <n v="25"/>
    <n v="25"/>
    <m/>
    <n v="1"/>
    <n v="6"/>
    <n v="6"/>
    <n v="15"/>
    <n v="13"/>
    <n v="6"/>
    <n v="8"/>
    <n v="4"/>
  </r>
  <r>
    <x v="9"/>
    <x v="20"/>
    <s v="S12000030"/>
    <n v="1"/>
    <n v="34"/>
    <n v="31"/>
    <m/>
    <n v="19"/>
    <n v="5"/>
    <m/>
    <m/>
    <n v="1"/>
    <m/>
    <n v="1"/>
    <n v="1"/>
    <n v="1"/>
    <m/>
    <n v="1"/>
  </r>
  <r>
    <x v="9"/>
    <x v="30"/>
    <s v="S12000040"/>
    <n v="7"/>
    <n v="49"/>
    <n v="38"/>
    <m/>
    <n v="14"/>
    <n v="10"/>
    <n v="1"/>
    <n v="1"/>
    <n v="8"/>
    <n v="10"/>
    <n v="18"/>
    <n v="15"/>
    <n v="16"/>
    <n v="3"/>
    <n v="4"/>
  </r>
  <r>
    <x v="5"/>
    <x v="16"/>
    <s v="S12000019"/>
    <n v="3"/>
    <n v="18"/>
    <n v="8"/>
    <m/>
    <n v="5"/>
    <n v="1"/>
    <m/>
    <m/>
    <n v="6"/>
    <n v="12"/>
    <n v="5"/>
    <n v="8"/>
    <m/>
    <n v="4"/>
    <m/>
  </r>
  <r>
    <x v="5"/>
    <x v="20"/>
    <s v="S12000030"/>
    <n v="5"/>
    <n v="46"/>
    <n v="87"/>
    <n v="3"/>
    <n v="25"/>
    <n v="6"/>
    <m/>
    <m/>
    <n v="3"/>
    <n v="10"/>
    <n v="6"/>
    <n v="3"/>
    <n v="3"/>
    <n v="4"/>
    <m/>
  </r>
  <r>
    <x v="6"/>
    <x v="3"/>
    <s v="S12000042"/>
    <n v="14"/>
    <n v="34"/>
    <n v="70"/>
    <n v="1"/>
    <n v="16"/>
    <n v="5"/>
    <m/>
    <m/>
    <n v="3"/>
    <n v="4"/>
    <n v="2"/>
    <n v="1"/>
    <n v="2"/>
    <n v="2"/>
    <n v="1"/>
  </r>
  <r>
    <x v="6"/>
    <x v="22"/>
    <s v="S12000049"/>
    <n v="8"/>
    <n v="108"/>
    <n v="227"/>
    <n v="7"/>
    <n v="31"/>
    <n v="4"/>
    <n v="5"/>
    <n v="1"/>
    <n v="10"/>
    <n v="7"/>
    <n v="30"/>
    <n v="13"/>
    <n v="8"/>
    <n v="6"/>
    <n v="14"/>
  </r>
  <r>
    <x v="7"/>
    <x v="2"/>
    <s v="S12000005"/>
    <n v="1"/>
    <n v="19"/>
    <n v="5"/>
    <m/>
    <m/>
    <n v="4"/>
    <m/>
    <m/>
    <n v="2"/>
    <n v="1"/>
    <n v="5"/>
    <n v="1"/>
    <n v="1"/>
    <m/>
    <n v="2"/>
  </r>
  <r>
    <x v="7"/>
    <x v="23"/>
    <s v="S12000008"/>
    <n v="2"/>
    <n v="53"/>
    <n v="4"/>
    <m/>
    <n v="10"/>
    <n v="8"/>
    <m/>
    <n v="1"/>
    <n v="3"/>
    <n v="1"/>
    <n v="5"/>
    <n v="3"/>
    <n v="8"/>
    <n v="7"/>
    <n v="5"/>
  </r>
  <r>
    <x v="7"/>
    <x v="0"/>
    <s v="S12000010"/>
    <n v="2"/>
    <n v="18"/>
    <n v="8"/>
    <m/>
    <n v="14"/>
    <n v="10"/>
    <m/>
    <n v="1"/>
    <n v="11"/>
    <n v="10"/>
    <n v="1"/>
    <n v="13"/>
    <n v="5"/>
    <n v="9"/>
    <n v="4"/>
  </r>
  <r>
    <x v="7"/>
    <x v="18"/>
    <s v="S12000014"/>
    <n v="8"/>
    <n v="38"/>
    <n v="4"/>
    <n v="1"/>
    <n v="17"/>
    <m/>
    <m/>
    <n v="1"/>
    <n v="4"/>
    <n v="8"/>
    <n v="7"/>
    <n v="11"/>
    <n v="9"/>
    <n v="1"/>
    <n v="3"/>
  </r>
  <r>
    <x v="7"/>
    <x v="26"/>
    <s v="S12000038"/>
    <n v="2"/>
    <n v="37"/>
    <n v="5"/>
    <m/>
    <n v="25"/>
    <n v="6"/>
    <m/>
    <m/>
    <n v="2"/>
    <n v="6"/>
    <n v="3"/>
    <n v="2"/>
    <n v="7"/>
    <m/>
    <m/>
  </r>
  <r>
    <x v="8"/>
    <x v="29"/>
    <s v="S12000034"/>
    <n v="20"/>
    <n v="101"/>
    <n v="28"/>
    <n v="1"/>
    <n v="61"/>
    <n v="101"/>
    <n v="1"/>
    <n v="7"/>
    <n v="10"/>
    <n v="21"/>
    <n v="21"/>
    <n v="15"/>
    <n v="15"/>
    <n v="11"/>
    <n v="16"/>
  </r>
  <r>
    <x v="8"/>
    <x v="1"/>
    <s v="S12000018"/>
    <n v="4"/>
    <n v="36"/>
    <n v="9"/>
    <m/>
    <n v="3"/>
    <n v="5"/>
    <m/>
    <m/>
    <n v="1"/>
    <n v="2"/>
    <n v="7"/>
    <n v="5"/>
    <m/>
    <m/>
    <n v="1"/>
  </r>
  <r>
    <x v="8"/>
    <x v="25"/>
    <s v="S12000020"/>
    <n v="6"/>
    <n v="36"/>
    <n v="10"/>
    <n v="2"/>
    <n v="25"/>
    <n v="41"/>
    <m/>
    <m/>
    <n v="2"/>
    <n v="8"/>
    <n v="10"/>
    <n v="1"/>
    <n v="8"/>
    <n v="2"/>
    <m/>
  </r>
  <r>
    <x v="8"/>
    <x v="31"/>
    <s v="S12000026"/>
    <n v="17"/>
    <n v="40"/>
    <n v="30"/>
    <m/>
    <n v="12"/>
    <n v="18"/>
    <m/>
    <m/>
    <n v="3"/>
    <n v="4"/>
    <n v="9"/>
    <n v="7"/>
    <n v="5"/>
    <n v="3"/>
    <n v="1"/>
  </r>
  <r>
    <x v="9"/>
    <x v="2"/>
    <s v="S12000005"/>
    <m/>
    <n v="22"/>
    <m/>
    <m/>
    <n v="1"/>
    <m/>
    <m/>
    <m/>
    <m/>
    <m/>
    <n v="1"/>
    <n v="1"/>
    <m/>
    <m/>
    <m/>
  </r>
  <r>
    <x v="9"/>
    <x v="23"/>
    <s v="S12000008"/>
    <n v="8"/>
    <n v="54"/>
    <n v="21"/>
    <m/>
    <n v="14"/>
    <n v="31"/>
    <m/>
    <m/>
    <n v="3"/>
    <n v="2"/>
    <n v="22"/>
    <n v="1"/>
    <n v="20"/>
    <n v="4"/>
    <n v="3"/>
  </r>
  <r>
    <x v="9"/>
    <x v="10"/>
    <s v="S12000015"/>
    <n v="7"/>
    <n v="113"/>
    <n v="219"/>
    <m/>
    <n v="17"/>
    <n v="12"/>
    <m/>
    <m/>
    <n v="1"/>
    <m/>
    <n v="2"/>
    <n v="2"/>
    <n v="2"/>
    <m/>
    <m/>
  </r>
  <r>
    <x v="9"/>
    <x v="1"/>
    <s v="S12000018"/>
    <n v="9"/>
    <n v="29"/>
    <n v="6"/>
    <m/>
    <n v="6"/>
    <n v="12"/>
    <m/>
    <n v="2"/>
    <n v="2"/>
    <n v="1"/>
    <n v="4"/>
    <n v="6"/>
    <n v="5"/>
    <n v="3"/>
    <n v="5"/>
  </r>
  <r>
    <x v="9"/>
    <x v="21"/>
    <s v="S12000039"/>
    <n v="8"/>
    <n v="17"/>
    <n v="18"/>
    <m/>
    <n v="19"/>
    <n v="40"/>
    <m/>
    <n v="1"/>
    <n v="1"/>
    <n v="1"/>
    <n v="3"/>
    <n v="2"/>
    <n v="14"/>
    <n v="3"/>
    <n v="2"/>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
  <r>
    <x v="0"/>
    <x v="0"/>
    <s v="Other Sleeping Accommodation"/>
    <n v="7"/>
    <n v="86"/>
    <n v="137"/>
    <n v="20"/>
    <n v="1"/>
    <m/>
    <n v="251"/>
  </r>
  <r>
    <x v="1"/>
    <x v="1"/>
    <s v="Hospital / Prison"/>
    <n v="9"/>
    <n v="24"/>
    <n v="255"/>
    <n v="118"/>
    <n v="45"/>
    <m/>
    <n v="451"/>
  </r>
  <r>
    <x v="1"/>
    <x v="2"/>
    <s v="Further Education"/>
    <n v="0"/>
    <n v="0"/>
    <n v="21"/>
    <n v="15"/>
    <n v="0"/>
    <m/>
    <n v="36"/>
  </r>
  <r>
    <x v="2"/>
    <x v="3"/>
    <s v="Care Home"/>
    <n v="67"/>
    <n v="638"/>
    <n v="783"/>
    <n v="219"/>
    <n v="12"/>
    <m/>
    <n v="1719"/>
  </r>
  <r>
    <x v="3"/>
    <x v="3"/>
    <s v="Care Home"/>
    <n v="72"/>
    <n v="580"/>
    <n v="791"/>
    <n v="201"/>
    <n v="9"/>
    <m/>
    <n v="1653"/>
  </r>
  <r>
    <x v="3"/>
    <x v="0"/>
    <s v="Other Sleeping Accommodation"/>
    <n v="1"/>
    <n v="81"/>
    <n v="273"/>
    <n v="53"/>
    <n v="0"/>
    <m/>
    <n v="408"/>
  </r>
  <r>
    <x v="4"/>
    <x v="1"/>
    <s v="Hospital / Prison"/>
    <n v="11"/>
    <n v="19"/>
    <n v="239"/>
    <n v="27"/>
    <n v="2"/>
    <m/>
    <n v="298"/>
  </r>
  <r>
    <x v="4"/>
    <x v="4"/>
    <s v="Shop"/>
    <n v="61"/>
    <n v="72"/>
    <n v="179"/>
    <n v="46"/>
    <n v="0"/>
    <m/>
    <m/>
  </r>
  <r>
    <x v="5"/>
    <x v="2"/>
    <s v="Further Education"/>
    <n v="0"/>
    <n v="3"/>
    <n v="6"/>
    <n v="1"/>
    <n v="0"/>
    <n v="0"/>
    <m/>
  </r>
  <r>
    <x v="5"/>
    <x v="5"/>
    <s v="Licensed Premises"/>
    <n v="3"/>
    <n v="18"/>
    <n v="65"/>
    <n v="40"/>
    <n v="3"/>
    <n v="3"/>
    <n v="129"/>
  </r>
  <r>
    <x v="5"/>
    <x v="6"/>
    <s v="Other Premises Open to Public"/>
    <n v="6"/>
    <n v="10"/>
    <n v="123"/>
    <n v="33"/>
    <n v="1"/>
    <n v="3"/>
    <n v="173"/>
  </r>
  <r>
    <x v="6"/>
    <x v="1"/>
    <s v="Hospital / Prison"/>
    <n v="17"/>
    <n v="24"/>
    <n v="224"/>
    <n v="16"/>
    <n v="4"/>
    <n v="3"/>
    <n v="285"/>
  </r>
  <r>
    <x v="6"/>
    <x v="7"/>
    <s v="School"/>
    <n v="25"/>
    <n v="40"/>
    <n v="116"/>
    <n v="34"/>
    <n v="1"/>
    <n v="3"/>
    <n v="216"/>
  </r>
  <r>
    <x v="7"/>
    <x v="7"/>
    <s v="School"/>
    <n v="18"/>
    <n v="26"/>
    <n v="93"/>
    <n v="18"/>
    <n v="1"/>
    <n v="3"/>
    <n v="156"/>
  </r>
  <r>
    <x v="7"/>
    <x v="6"/>
    <s v="Other Premises Open to Public"/>
    <n v="10"/>
    <n v="13"/>
    <n v="119"/>
    <n v="26"/>
    <n v="0"/>
    <n v="4"/>
    <m/>
  </r>
  <r>
    <x v="7"/>
    <x v="8"/>
    <s v="Other Workplace"/>
    <n v="0"/>
    <n v="49"/>
    <n v="48"/>
    <n v="56"/>
    <n v="12"/>
    <n v="4"/>
    <m/>
  </r>
  <r>
    <x v="0"/>
    <x v="9"/>
    <s v="HMO"/>
    <n v="45"/>
    <n v="247"/>
    <n v="1599"/>
    <n v="55"/>
    <n v="1"/>
    <m/>
    <n v="1947"/>
  </r>
  <r>
    <x v="0"/>
    <x v="10"/>
    <s v="Public Building"/>
    <n v="2"/>
    <n v="2"/>
    <n v="27"/>
    <n v="37"/>
    <n v="0"/>
    <m/>
    <n v="68"/>
  </r>
  <r>
    <x v="0"/>
    <x v="6"/>
    <s v="Other Premises Open to Public"/>
    <n v="3"/>
    <n v="13"/>
    <n v="170"/>
    <n v="165"/>
    <n v="5"/>
    <m/>
    <n v="356"/>
  </r>
  <r>
    <x v="0"/>
    <x v="11"/>
    <s v="Office"/>
    <n v="17"/>
    <n v="49"/>
    <n v="209"/>
    <n v="68"/>
    <n v="1"/>
    <m/>
    <n v="344"/>
  </r>
  <r>
    <x v="1"/>
    <x v="12"/>
    <s v="Hostel"/>
    <n v="1"/>
    <n v="5"/>
    <n v="49"/>
    <n v="43"/>
    <n v="21"/>
    <m/>
    <n v="119"/>
  </r>
  <r>
    <x v="1"/>
    <x v="0"/>
    <s v="Other Sleeping Accommodation"/>
    <n v="29"/>
    <n v="82"/>
    <n v="198"/>
    <n v="41"/>
    <n v="1"/>
    <m/>
    <n v="351"/>
  </r>
  <r>
    <x v="2"/>
    <x v="4"/>
    <s v="Shop"/>
    <n v="77"/>
    <n v="46"/>
    <n v="346"/>
    <n v="52"/>
    <n v="2"/>
    <m/>
    <n v="523"/>
  </r>
  <r>
    <x v="2"/>
    <x v="6"/>
    <s v="Other Premises Open to Public"/>
    <n v="6"/>
    <n v="8"/>
    <n v="160"/>
    <n v="59"/>
    <n v="2"/>
    <m/>
    <n v="235"/>
  </r>
  <r>
    <x v="3"/>
    <x v="13"/>
    <s v="Factory or Warehouse"/>
    <n v="2"/>
    <n v="32"/>
    <n v="150"/>
    <n v="44"/>
    <n v="0"/>
    <m/>
    <n v="228"/>
  </r>
  <r>
    <x v="3"/>
    <x v="8"/>
    <s v="Other Workplace"/>
    <n v="1"/>
    <n v="19"/>
    <n v="72"/>
    <n v="17"/>
    <n v="4"/>
    <m/>
    <n v="113"/>
  </r>
  <r>
    <x v="8"/>
    <x v="6"/>
    <s v="Other Premises Open to Public"/>
    <n v="2"/>
    <n v="20"/>
    <n v="196"/>
    <n v="59"/>
    <n v="6"/>
    <m/>
    <n v="283"/>
  </r>
  <r>
    <x v="8"/>
    <x v="11"/>
    <s v="Office"/>
    <n v="2"/>
    <n v="29"/>
    <n v="170"/>
    <n v="62"/>
    <n v="4"/>
    <m/>
    <n v="267"/>
  </r>
  <r>
    <x v="4"/>
    <x v="14"/>
    <s v="Hotel"/>
    <n v="1"/>
    <n v="131"/>
    <n v="746"/>
    <n v="191"/>
    <n v="12"/>
    <m/>
    <n v="1081"/>
  </r>
  <r>
    <x v="4"/>
    <x v="2"/>
    <s v="Further Education"/>
    <n v="0"/>
    <n v="5"/>
    <n v="18"/>
    <n v="2"/>
    <n v="0"/>
    <m/>
    <m/>
  </r>
  <r>
    <x v="4"/>
    <x v="7"/>
    <s v="School"/>
    <n v="23"/>
    <n v="30"/>
    <n v="170"/>
    <n v="44"/>
    <n v="4"/>
    <m/>
    <n v="271"/>
  </r>
  <r>
    <x v="5"/>
    <x v="3"/>
    <s v="Care Home"/>
    <n v="99"/>
    <n v="623"/>
    <n v="490"/>
    <n v="183"/>
    <n v="9"/>
    <n v="5"/>
    <n v="1404"/>
  </r>
  <r>
    <x v="5"/>
    <x v="13"/>
    <s v="Factory or Warehouse"/>
    <n v="2"/>
    <n v="27"/>
    <n v="104"/>
    <n v="25"/>
    <n v="2"/>
    <n v="6"/>
    <n v="160"/>
  </r>
  <r>
    <x v="6"/>
    <x v="5"/>
    <s v="Licensed Premises"/>
    <n v="3"/>
    <n v="22"/>
    <n v="115"/>
    <n v="51"/>
    <n v="2"/>
    <n v="2"/>
    <n v="193"/>
  </r>
  <r>
    <x v="6"/>
    <x v="8"/>
    <s v="Other Workplace"/>
    <n v="0"/>
    <n v="16"/>
    <n v="50"/>
    <n v="34"/>
    <n v="4"/>
    <m/>
    <m/>
  </r>
  <r>
    <x v="7"/>
    <x v="13"/>
    <s v="Factory or Warehouse"/>
    <n v="1"/>
    <n v="71"/>
    <n v="120"/>
    <n v="28"/>
    <n v="0"/>
    <n v="2"/>
    <m/>
  </r>
  <r>
    <x v="0"/>
    <x v="5"/>
    <s v="Licensed Premises"/>
    <n v="14"/>
    <n v="165"/>
    <n v="331"/>
    <n v="83"/>
    <n v="3"/>
    <m/>
    <n v="596"/>
  </r>
  <r>
    <x v="0"/>
    <x v="8"/>
    <s v="Other Workplace"/>
    <n v="0"/>
    <n v="10"/>
    <n v="127"/>
    <n v="32"/>
    <n v="5"/>
    <m/>
    <n v="174"/>
  </r>
  <r>
    <x v="1"/>
    <x v="4"/>
    <s v="Shop"/>
    <n v="36"/>
    <n v="197"/>
    <n v="228"/>
    <n v="172"/>
    <n v="6"/>
    <m/>
    <n v="639"/>
  </r>
  <r>
    <x v="1"/>
    <x v="8"/>
    <s v="Other Workplace"/>
    <n v="0"/>
    <n v="39"/>
    <n v="128"/>
    <n v="26"/>
    <n v="5"/>
    <m/>
    <n v="198"/>
  </r>
  <r>
    <x v="3"/>
    <x v="11"/>
    <s v="Office"/>
    <n v="4"/>
    <n v="18"/>
    <n v="140"/>
    <n v="55"/>
    <n v="3"/>
    <m/>
    <n v="220"/>
  </r>
  <r>
    <x v="8"/>
    <x v="0"/>
    <s v="Other Sleeping Accommodation"/>
    <n v="4"/>
    <n v="92"/>
    <n v="199"/>
    <n v="28"/>
    <n v="0"/>
    <m/>
    <n v="323"/>
  </r>
  <r>
    <x v="8"/>
    <x v="10"/>
    <s v="Public Building"/>
    <n v="1"/>
    <n v="2"/>
    <n v="43"/>
    <n v="14"/>
    <n v="0"/>
    <m/>
    <n v="60"/>
  </r>
  <r>
    <x v="4"/>
    <x v="10"/>
    <s v="Public Building"/>
    <n v="0"/>
    <n v="3"/>
    <n v="24"/>
    <n v="12"/>
    <n v="0"/>
    <m/>
    <m/>
  </r>
  <r>
    <x v="9"/>
    <x v="4"/>
    <s v="Shop"/>
    <n v="14"/>
    <n v="48"/>
    <n v="44"/>
    <n v="15"/>
    <n v="1"/>
    <n v="4"/>
    <n v="122"/>
  </r>
  <r>
    <x v="9"/>
    <x v="13"/>
    <s v="Factory or Warehouse"/>
    <n v="1"/>
    <n v="17"/>
    <n v="45"/>
    <n v="21"/>
    <n v="0"/>
    <n v="2"/>
    <m/>
  </r>
  <r>
    <x v="5"/>
    <x v="9"/>
    <s v="HMO"/>
    <n v="150"/>
    <n v="163"/>
    <n v="1567"/>
    <n v="87"/>
    <n v="2"/>
    <n v="15"/>
    <n v="1969"/>
  </r>
  <r>
    <x v="5"/>
    <x v="12"/>
    <s v="Hostel"/>
    <n v="2"/>
    <n v="5"/>
    <n v="11"/>
    <n v="6"/>
    <n v="0"/>
    <n v="0"/>
    <m/>
  </r>
  <r>
    <x v="7"/>
    <x v="3"/>
    <s v="Care Home"/>
    <n v="130"/>
    <n v="722"/>
    <n v="549"/>
    <n v="192"/>
    <n v="12"/>
    <n v="5"/>
    <n v="1605"/>
  </r>
  <r>
    <x v="7"/>
    <x v="4"/>
    <s v="Shop"/>
    <n v="37"/>
    <n v="69"/>
    <n v="136"/>
    <n v="51"/>
    <n v="3"/>
    <n v="5"/>
    <n v="296"/>
  </r>
  <r>
    <x v="0"/>
    <x v="1"/>
    <s v="Hospital / Prison"/>
    <n v="3"/>
    <n v="14"/>
    <n v="164"/>
    <n v="93"/>
    <n v="60"/>
    <m/>
    <n v="334"/>
  </r>
  <r>
    <x v="0"/>
    <x v="14"/>
    <s v="Hotel"/>
    <n v="1"/>
    <n v="18"/>
    <n v="517"/>
    <n v="487"/>
    <n v="86"/>
    <m/>
    <n v="1109"/>
  </r>
  <r>
    <x v="0"/>
    <x v="7"/>
    <s v="School"/>
    <n v="8"/>
    <n v="113"/>
    <n v="114"/>
    <n v="23"/>
    <n v="2"/>
    <m/>
    <n v="260"/>
  </r>
  <r>
    <x v="1"/>
    <x v="5"/>
    <s v="Licensed Premises"/>
    <n v="17"/>
    <n v="148"/>
    <n v="250"/>
    <n v="74"/>
    <n v="5"/>
    <m/>
    <n v="494"/>
  </r>
  <r>
    <x v="2"/>
    <x v="11"/>
    <s v="Office"/>
    <n v="5"/>
    <n v="25"/>
    <n v="191"/>
    <n v="46"/>
    <n v="8"/>
    <m/>
    <n v="275"/>
  </r>
  <r>
    <x v="8"/>
    <x v="1"/>
    <s v="Hospital / Prison"/>
    <n v="7"/>
    <n v="36"/>
    <n v="353"/>
    <n v="70"/>
    <n v="5"/>
    <m/>
    <n v="471"/>
  </r>
  <r>
    <x v="8"/>
    <x v="9"/>
    <s v="HMO"/>
    <n v="81"/>
    <n v="263"/>
    <n v="1407"/>
    <n v="109"/>
    <n v="2"/>
    <m/>
    <n v="1862"/>
  </r>
  <r>
    <x v="8"/>
    <x v="5"/>
    <s v="Licensed Premises"/>
    <n v="6"/>
    <n v="36"/>
    <n v="247"/>
    <n v="84"/>
    <n v="1"/>
    <m/>
    <n v="374"/>
  </r>
  <r>
    <x v="8"/>
    <x v="7"/>
    <s v="School"/>
    <n v="35"/>
    <n v="41"/>
    <n v="325"/>
    <n v="66"/>
    <n v="3"/>
    <m/>
    <n v="470"/>
  </r>
  <r>
    <x v="4"/>
    <x v="0"/>
    <s v="Other Sleeping Accommodation"/>
    <n v="15"/>
    <n v="92"/>
    <n v="335"/>
    <n v="28"/>
    <n v="0"/>
    <m/>
    <m/>
  </r>
  <r>
    <x v="9"/>
    <x v="12"/>
    <s v="Hostel"/>
    <n v="2"/>
    <n v="10"/>
    <n v="16"/>
    <n v="9"/>
    <n v="2"/>
    <m/>
    <n v="39"/>
  </r>
  <r>
    <x v="9"/>
    <x v="10"/>
    <s v="Public Building"/>
    <n v="0"/>
    <n v="0"/>
    <n v="6"/>
    <n v="0"/>
    <n v="0"/>
    <m/>
    <m/>
  </r>
  <r>
    <x v="9"/>
    <x v="7"/>
    <s v="School"/>
    <n v="3"/>
    <n v="14"/>
    <n v="30"/>
    <n v="18"/>
    <n v="3"/>
    <n v="1"/>
    <n v="68"/>
  </r>
  <r>
    <x v="9"/>
    <x v="8"/>
    <s v="Other Workplace"/>
    <n v="1"/>
    <n v="3"/>
    <n v="19"/>
    <n v="16"/>
    <n v="8"/>
    <n v="3"/>
    <n v="47"/>
  </r>
  <r>
    <x v="5"/>
    <x v="10"/>
    <s v="Public Building"/>
    <n v="1"/>
    <n v="2"/>
    <n v="13"/>
    <n v="5"/>
    <n v="0"/>
    <n v="0"/>
    <m/>
  </r>
  <r>
    <x v="6"/>
    <x v="12"/>
    <s v="Hostel"/>
    <n v="7"/>
    <n v="8"/>
    <n v="31"/>
    <n v="13"/>
    <n v="0"/>
    <n v="1"/>
    <m/>
  </r>
  <r>
    <x v="6"/>
    <x v="13"/>
    <s v="Factory or Warehouse"/>
    <n v="0"/>
    <n v="48"/>
    <n v="92"/>
    <n v="30"/>
    <n v="2"/>
    <m/>
    <m/>
  </r>
  <r>
    <x v="6"/>
    <x v="11"/>
    <s v="Office"/>
    <n v="0"/>
    <n v="22"/>
    <n v="59"/>
    <n v="25"/>
    <n v="3"/>
    <n v="1"/>
    <m/>
  </r>
  <r>
    <x v="7"/>
    <x v="12"/>
    <s v="Hostel"/>
    <n v="2"/>
    <n v="5"/>
    <n v="24"/>
    <n v="17"/>
    <n v="2"/>
    <n v="1"/>
    <n v="50"/>
  </r>
  <r>
    <x v="0"/>
    <x v="12"/>
    <s v="Hostel"/>
    <n v="0"/>
    <n v="6"/>
    <n v="37"/>
    <n v="83"/>
    <n v="12"/>
    <m/>
    <n v="138"/>
  </r>
  <r>
    <x v="1"/>
    <x v="7"/>
    <s v="School"/>
    <n v="9"/>
    <n v="53"/>
    <n v="125"/>
    <n v="41"/>
    <n v="0"/>
    <m/>
    <n v="228"/>
  </r>
  <r>
    <x v="1"/>
    <x v="11"/>
    <s v="Office"/>
    <n v="15"/>
    <n v="35"/>
    <n v="240"/>
    <n v="84"/>
    <n v="5"/>
    <m/>
    <n v="379"/>
  </r>
  <r>
    <x v="2"/>
    <x v="12"/>
    <s v="Hostel"/>
    <n v="5"/>
    <n v="10"/>
    <n v="83"/>
    <n v="27"/>
    <n v="3"/>
    <m/>
    <n v="128"/>
  </r>
  <r>
    <x v="2"/>
    <x v="10"/>
    <s v="Public Building"/>
    <n v="0"/>
    <n v="1"/>
    <n v="55"/>
    <n v="10"/>
    <n v="0"/>
    <m/>
    <n v="66"/>
  </r>
  <r>
    <x v="2"/>
    <x v="7"/>
    <s v="School"/>
    <n v="19"/>
    <n v="38"/>
    <n v="241"/>
    <n v="55"/>
    <n v="10"/>
    <m/>
    <n v="363"/>
  </r>
  <r>
    <x v="3"/>
    <x v="14"/>
    <s v="Hotel"/>
    <n v="2"/>
    <n v="73"/>
    <n v="819"/>
    <n v="256"/>
    <n v="17"/>
    <m/>
    <n v="1167"/>
  </r>
  <r>
    <x v="3"/>
    <x v="10"/>
    <s v="Public Building"/>
    <n v="1"/>
    <n v="2"/>
    <n v="42"/>
    <n v="12"/>
    <n v="2"/>
    <m/>
    <n v="59"/>
  </r>
  <r>
    <x v="3"/>
    <x v="7"/>
    <s v="School"/>
    <n v="24"/>
    <n v="35"/>
    <n v="178"/>
    <n v="29"/>
    <n v="2"/>
    <m/>
    <n v="268"/>
  </r>
  <r>
    <x v="3"/>
    <x v="6"/>
    <s v="Other Premises Open to Public"/>
    <n v="4"/>
    <n v="6"/>
    <n v="166"/>
    <n v="62"/>
    <n v="2"/>
    <m/>
    <n v="240"/>
  </r>
  <r>
    <x v="8"/>
    <x v="4"/>
    <s v="Shop"/>
    <n v="18"/>
    <n v="49"/>
    <n v="267"/>
    <n v="45"/>
    <n v="3"/>
    <m/>
    <n v="382"/>
  </r>
  <r>
    <x v="4"/>
    <x v="9"/>
    <s v="HMO"/>
    <n v="69"/>
    <n v="218"/>
    <n v="1510"/>
    <n v="154"/>
    <n v="0"/>
    <m/>
    <m/>
  </r>
  <r>
    <x v="4"/>
    <x v="13"/>
    <s v="Factory or Warehouse"/>
    <n v="3"/>
    <n v="46"/>
    <n v="137"/>
    <n v="53"/>
    <n v="2"/>
    <m/>
    <n v="241"/>
  </r>
  <r>
    <x v="9"/>
    <x v="0"/>
    <s v="Other Sleeping Accommodation"/>
    <n v="6"/>
    <n v="24"/>
    <n v="76"/>
    <n v="13"/>
    <n v="0"/>
    <m/>
    <m/>
  </r>
  <r>
    <x v="9"/>
    <x v="11"/>
    <s v="Office"/>
    <n v="4"/>
    <n v="9"/>
    <n v="25"/>
    <n v="25"/>
    <n v="0"/>
    <m/>
    <m/>
  </r>
  <r>
    <x v="6"/>
    <x v="14"/>
    <s v="Hotel"/>
    <n v="0"/>
    <n v="93"/>
    <n v="606"/>
    <n v="172"/>
    <n v="21"/>
    <n v="6"/>
    <m/>
  </r>
  <r>
    <x v="7"/>
    <x v="9"/>
    <s v="HMO"/>
    <n v="69"/>
    <n v="119"/>
    <n v="1519"/>
    <n v="101"/>
    <n v="2"/>
    <n v="17"/>
    <n v="1810"/>
  </r>
  <r>
    <x v="7"/>
    <x v="14"/>
    <s v="Hotel"/>
    <n v="2"/>
    <n v="186"/>
    <n v="705"/>
    <n v="189"/>
    <n v="16"/>
    <n v="12"/>
    <n v="1098"/>
  </r>
  <r>
    <x v="7"/>
    <x v="2"/>
    <s v="Further Education"/>
    <n v="0"/>
    <n v="3"/>
    <n v="6"/>
    <n v="2"/>
    <n v="0"/>
    <m/>
    <m/>
  </r>
  <r>
    <x v="7"/>
    <x v="5"/>
    <s v="Licensed Premises"/>
    <n v="12"/>
    <n v="37"/>
    <n v="95"/>
    <n v="54"/>
    <n v="4"/>
    <n v="3"/>
    <n v="202"/>
  </r>
  <r>
    <x v="0"/>
    <x v="4"/>
    <s v="Shop"/>
    <n v="27"/>
    <n v="259"/>
    <n v="173"/>
    <n v="222"/>
    <n v="2"/>
    <m/>
    <n v="683"/>
  </r>
  <r>
    <x v="1"/>
    <x v="9"/>
    <s v="HMO"/>
    <n v="141"/>
    <n v="272"/>
    <n v="2548"/>
    <n v="91"/>
    <n v="10"/>
    <m/>
    <n v="3062"/>
  </r>
  <r>
    <x v="2"/>
    <x v="13"/>
    <s v="Factory or Warehouse"/>
    <n v="0"/>
    <n v="49"/>
    <n v="225"/>
    <n v="52"/>
    <n v="3"/>
    <m/>
    <n v="329"/>
  </r>
  <r>
    <x v="2"/>
    <x v="8"/>
    <s v="Other Workplace"/>
    <n v="0"/>
    <n v="38"/>
    <n v="145"/>
    <n v="56"/>
    <n v="4"/>
    <m/>
    <n v="243"/>
  </r>
  <r>
    <x v="3"/>
    <x v="12"/>
    <s v="Hostel"/>
    <n v="6"/>
    <n v="12"/>
    <n v="63"/>
    <n v="21"/>
    <n v="2"/>
    <m/>
    <n v="104"/>
  </r>
  <r>
    <x v="3"/>
    <x v="5"/>
    <s v="Licensed Premises"/>
    <n v="5"/>
    <n v="35"/>
    <n v="219"/>
    <n v="70"/>
    <n v="3"/>
    <m/>
    <n v="332"/>
  </r>
  <r>
    <x v="8"/>
    <x v="14"/>
    <s v="Hotel"/>
    <n v="0"/>
    <n v="70"/>
    <n v="734"/>
    <n v="209"/>
    <n v="17"/>
    <m/>
    <n v="1030"/>
  </r>
  <r>
    <x v="8"/>
    <x v="2"/>
    <s v="Further Education"/>
    <n v="1"/>
    <n v="2"/>
    <n v="23"/>
    <n v="5"/>
    <n v="0"/>
    <m/>
    <n v="31"/>
  </r>
  <r>
    <x v="4"/>
    <x v="12"/>
    <s v="Hostel"/>
    <n v="6"/>
    <n v="8"/>
    <n v="42"/>
    <n v="13"/>
    <n v="2"/>
    <m/>
    <n v="71"/>
  </r>
  <r>
    <x v="4"/>
    <x v="8"/>
    <s v="Other Workplace"/>
    <n v="0"/>
    <n v="23"/>
    <n v="51"/>
    <n v="41"/>
    <n v="2"/>
    <m/>
    <m/>
  </r>
  <r>
    <x v="9"/>
    <x v="1"/>
    <s v="Hospital / Prison"/>
    <n v="6"/>
    <n v="22"/>
    <n v="174"/>
    <n v="12"/>
    <n v="3"/>
    <n v="1"/>
    <n v="217"/>
  </r>
  <r>
    <x v="9"/>
    <x v="2"/>
    <s v="Further Education"/>
    <n v="1"/>
    <n v="2"/>
    <n v="6"/>
    <n v="1"/>
    <n v="0"/>
    <m/>
    <m/>
  </r>
  <r>
    <x v="5"/>
    <x v="1"/>
    <s v="Hospital / Prison"/>
    <n v="4"/>
    <n v="23"/>
    <n v="193"/>
    <n v="16"/>
    <n v="1"/>
    <n v="1"/>
    <n v="237"/>
  </r>
  <r>
    <x v="5"/>
    <x v="0"/>
    <s v="Other Sleeping Accommodation"/>
    <n v="7"/>
    <n v="80"/>
    <n v="173"/>
    <n v="28"/>
    <n v="0"/>
    <n v="2"/>
    <m/>
  </r>
  <r>
    <x v="5"/>
    <x v="4"/>
    <s v="Shop"/>
    <n v="26"/>
    <n v="60"/>
    <n v="77"/>
    <n v="24"/>
    <n v="3"/>
    <n v="3"/>
    <n v="190"/>
  </r>
  <r>
    <x v="5"/>
    <x v="8"/>
    <s v="Other Workplace"/>
    <n v="0"/>
    <n v="20"/>
    <n v="45"/>
    <n v="30"/>
    <n v="5"/>
    <n v="0"/>
    <m/>
  </r>
  <r>
    <x v="6"/>
    <x v="10"/>
    <s v="Public Building"/>
    <n v="0"/>
    <n v="2"/>
    <n v="10"/>
    <n v="8"/>
    <n v="0"/>
    <m/>
    <m/>
  </r>
  <r>
    <x v="7"/>
    <x v="11"/>
    <s v="Office"/>
    <n v="8"/>
    <n v="39"/>
    <n v="111"/>
    <n v="85"/>
    <n v="6"/>
    <m/>
    <n v="249"/>
  </r>
  <r>
    <x v="0"/>
    <x v="3"/>
    <s v="Care Home"/>
    <n v="51"/>
    <n v="538"/>
    <n v="711"/>
    <n v="191"/>
    <n v="15"/>
    <m/>
    <n v="1506"/>
  </r>
  <r>
    <x v="0"/>
    <x v="13"/>
    <s v="Factory or Warehouse"/>
    <n v="2"/>
    <n v="113"/>
    <n v="243"/>
    <n v="50"/>
    <n v="4"/>
    <m/>
    <n v="412"/>
  </r>
  <r>
    <x v="1"/>
    <x v="14"/>
    <s v="Hotel"/>
    <n v="1"/>
    <n v="53"/>
    <n v="815"/>
    <n v="329"/>
    <n v="65"/>
    <m/>
    <n v="1263"/>
  </r>
  <r>
    <x v="1"/>
    <x v="13"/>
    <s v="Factory or Warehouse"/>
    <n v="1"/>
    <n v="170"/>
    <n v="267"/>
    <n v="44"/>
    <n v="3"/>
    <m/>
    <n v="485"/>
  </r>
  <r>
    <x v="2"/>
    <x v="1"/>
    <s v="Hospital / Prison"/>
    <n v="8"/>
    <n v="17"/>
    <n v="314"/>
    <n v="51"/>
    <n v="6"/>
    <m/>
    <n v="396"/>
  </r>
  <r>
    <x v="2"/>
    <x v="9"/>
    <s v="HMO"/>
    <n v="69"/>
    <n v="343"/>
    <n v="2130"/>
    <n v="106"/>
    <n v="2"/>
    <m/>
    <n v="2650"/>
  </r>
  <r>
    <x v="2"/>
    <x v="14"/>
    <s v="Hotel"/>
    <n v="0"/>
    <n v="57"/>
    <n v="800"/>
    <n v="248"/>
    <n v="33"/>
    <m/>
    <n v="1138"/>
  </r>
  <r>
    <x v="2"/>
    <x v="0"/>
    <s v="Other Sleeping Accommodation"/>
    <n v="7"/>
    <n v="84"/>
    <n v="245"/>
    <n v="35"/>
    <n v="0"/>
    <m/>
    <n v="371"/>
  </r>
  <r>
    <x v="3"/>
    <x v="1"/>
    <s v="Hospital / Prison"/>
    <n v="5"/>
    <n v="25"/>
    <n v="262"/>
    <n v="71"/>
    <n v="4"/>
    <m/>
    <n v="367"/>
  </r>
  <r>
    <x v="3"/>
    <x v="9"/>
    <s v="HMO"/>
    <n v="69"/>
    <n v="246"/>
    <n v="1559"/>
    <n v="203"/>
    <n v="0"/>
    <m/>
    <n v="2077"/>
  </r>
  <r>
    <x v="3"/>
    <x v="4"/>
    <s v="Shop"/>
    <n v="27"/>
    <n v="48"/>
    <n v="231"/>
    <n v="55"/>
    <n v="1"/>
    <m/>
    <n v="362"/>
  </r>
  <r>
    <x v="8"/>
    <x v="13"/>
    <s v="Factory or Warehouse"/>
    <n v="0"/>
    <n v="42"/>
    <n v="173"/>
    <n v="51"/>
    <n v="1"/>
    <m/>
    <n v="267"/>
  </r>
  <r>
    <x v="4"/>
    <x v="11"/>
    <s v="Office"/>
    <n v="4"/>
    <n v="19"/>
    <n v="168"/>
    <n v="90"/>
    <n v="4"/>
    <m/>
    <n v="285"/>
  </r>
  <r>
    <x v="9"/>
    <x v="3"/>
    <s v="Care Home"/>
    <n v="87"/>
    <n v="611"/>
    <n v="462"/>
    <n v="163"/>
    <n v="6"/>
    <n v="12"/>
    <n v="1329"/>
  </r>
  <r>
    <x v="9"/>
    <x v="5"/>
    <s v="Licensed Premises"/>
    <n v="0"/>
    <n v="10"/>
    <n v="43"/>
    <n v="17"/>
    <n v="1"/>
    <n v="2"/>
    <m/>
  </r>
  <r>
    <x v="9"/>
    <x v="6"/>
    <s v="Other Premises Open to Public"/>
    <n v="2"/>
    <n v="3"/>
    <n v="46"/>
    <n v="12"/>
    <n v="2"/>
    <n v="1"/>
    <n v="65"/>
  </r>
  <r>
    <x v="5"/>
    <x v="11"/>
    <s v="Office"/>
    <n v="1"/>
    <n v="14"/>
    <n v="72"/>
    <n v="19"/>
    <n v="2"/>
    <n v="2"/>
    <n v="108"/>
  </r>
  <r>
    <x v="6"/>
    <x v="3"/>
    <s v="Care Home"/>
    <n v="116"/>
    <n v="734"/>
    <n v="553"/>
    <n v="181"/>
    <n v="18"/>
    <n v="4"/>
    <n v="1602"/>
  </r>
  <r>
    <x v="6"/>
    <x v="0"/>
    <s v="Other Sleeping Accommodation"/>
    <n v="9"/>
    <n v="203"/>
    <n v="287"/>
    <n v="41"/>
    <n v="0"/>
    <n v="7"/>
    <m/>
  </r>
  <r>
    <x v="6"/>
    <x v="4"/>
    <s v="Shop"/>
    <n v="41"/>
    <n v="67"/>
    <n v="183"/>
    <n v="49"/>
    <n v="1"/>
    <n v="1"/>
    <n v="341"/>
  </r>
  <r>
    <x v="7"/>
    <x v="0"/>
    <s v="Other Sleeping Accommodation"/>
    <n v="15"/>
    <n v="503"/>
    <n v="649"/>
    <n v="75"/>
    <n v="0"/>
    <n v="14"/>
    <m/>
  </r>
  <r>
    <x v="7"/>
    <x v="10"/>
    <s v="Public Building"/>
    <n v="0"/>
    <n v="0"/>
    <n v="18"/>
    <n v="7"/>
    <n v="0"/>
    <m/>
    <m/>
  </r>
  <r>
    <x v="0"/>
    <x v="2"/>
    <s v="Further Education"/>
    <n v="0"/>
    <n v="0"/>
    <n v="9"/>
    <n v="18"/>
    <n v="1"/>
    <m/>
    <n v="28"/>
  </r>
  <r>
    <x v="1"/>
    <x v="3"/>
    <s v="Care Home"/>
    <n v="75"/>
    <n v="598"/>
    <n v="822"/>
    <n v="241"/>
    <n v="24"/>
    <m/>
    <n v="1760"/>
  </r>
  <r>
    <x v="1"/>
    <x v="10"/>
    <s v="Public Building"/>
    <n v="0"/>
    <n v="3"/>
    <n v="22"/>
    <n v="24"/>
    <n v="0"/>
    <m/>
    <n v="49"/>
  </r>
  <r>
    <x v="1"/>
    <x v="6"/>
    <s v="Other Premises Open to Public"/>
    <n v="4"/>
    <n v="8"/>
    <n v="217"/>
    <n v="84"/>
    <n v="7"/>
    <m/>
    <n v="320"/>
  </r>
  <r>
    <x v="2"/>
    <x v="2"/>
    <s v="Further Education"/>
    <n v="1"/>
    <n v="0"/>
    <n v="16"/>
    <n v="3"/>
    <n v="1"/>
    <m/>
    <n v="21"/>
  </r>
  <r>
    <x v="2"/>
    <x v="5"/>
    <s v="Licensed Premises"/>
    <n v="7"/>
    <n v="55"/>
    <n v="327"/>
    <n v="85"/>
    <n v="8"/>
    <m/>
    <n v="482"/>
  </r>
  <r>
    <x v="3"/>
    <x v="2"/>
    <s v="Further Education"/>
    <n v="1"/>
    <n v="0"/>
    <n v="21"/>
    <n v="14"/>
    <n v="1"/>
    <m/>
    <n v="37"/>
  </r>
  <r>
    <x v="8"/>
    <x v="3"/>
    <s v="Care Home"/>
    <n v="92"/>
    <n v="668"/>
    <n v="807"/>
    <n v="201"/>
    <n v="7"/>
    <m/>
    <n v="1775"/>
  </r>
  <r>
    <x v="8"/>
    <x v="12"/>
    <s v="Hostel"/>
    <n v="5"/>
    <n v="10"/>
    <n v="59"/>
    <n v="12"/>
    <n v="2"/>
    <m/>
    <n v="88"/>
  </r>
  <r>
    <x v="8"/>
    <x v="8"/>
    <s v="Other Workplace"/>
    <n v="0"/>
    <n v="34"/>
    <n v="121"/>
    <n v="33"/>
    <n v="1"/>
    <m/>
    <n v="189"/>
  </r>
  <r>
    <x v="4"/>
    <x v="3"/>
    <s v="Care Home"/>
    <n v="95"/>
    <n v="634"/>
    <n v="562"/>
    <n v="187"/>
    <n v="8"/>
    <m/>
    <n v="1486"/>
  </r>
  <r>
    <x v="4"/>
    <x v="5"/>
    <s v="Licensed Premises"/>
    <n v="9"/>
    <n v="38"/>
    <n v="167"/>
    <n v="73"/>
    <n v="2"/>
    <m/>
    <n v="289"/>
  </r>
  <r>
    <x v="4"/>
    <x v="6"/>
    <s v="Other Premises Open to Public"/>
    <n v="2"/>
    <n v="8"/>
    <n v="202"/>
    <n v="66"/>
    <n v="1"/>
    <m/>
    <n v="279"/>
  </r>
  <r>
    <x v="9"/>
    <x v="9"/>
    <s v="HMO"/>
    <n v="42"/>
    <n v="127"/>
    <n v="582"/>
    <n v="56"/>
    <n v="1"/>
    <n v="7"/>
    <n v="808"/>
  </r>
  <r>
    <x v="9"/>
    <x v="14"/>
    <s v="Hotel"/>
    <n v="1"/>
    <n v="33"/>
    <n v="157"/>
    <n v="39"/>
    <n v="5"/>
    <n v="3"/>
    <n v="235"/>
  </r>
  <r>
    <x v="5"/>
    <x v="14"/>
    <s v="Hotel"/>
    <n v="1"/>
    <n v="76"/>
    <n v="378"/>
    <n v="165"/>
    <n v="27"/>
    <n v="9"/>
    <n v="647"/>
  </r>
  <r>
    <x v="5"/>
    <x v="7"/>
    <s v="School"/>
    <n v="19"/>
    <n v="21"/>
    <n v="108"/>
    <n v="29"/>
    <n v="0"/>
    <n v="2"/>
    <m/>
  </r>
  <r>
    <x v="6"/>
    <x v="9"/>
    <s v="HMO"/>
    <n v="173"/>
    <n v="101"/>
    <n v="1493"/>
    <n v="151"/>
    <n v="0"/>
    <n v="40"/>
    <m/>
  </r>
  <r>
    <x v="6"/>
    <x v="2"/>
    <s v="Further Education"/>
    <n v="2"/>
    <n v="4"/>
    <n v="15"/>
    <n v="4"/>
    <n v="0"/>
    <m/>
    <m/>
  </r>
  <r>
    <x v="6"/>
    <x v="6"/>
    <s v="Other Premises Open to Public"/>
    <n v="7"/>
    <n v="15"/>
    <n v="116"/>
    <n v="26"/>
    <n v="0"/>
    <n v="4"/>
    <m/>
  </r>
  <r>
    <x v="7"/>
    <x v="1"/>
    <s v="Hospital / Prison"/>
    <n v="14"/>
    <n v="25"/>
    <n v="216"/>
    <n v="23"/>
    <n v="4"/>
    <n v="5"/>
    <n v="282"/>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
  <r>
    <x v="0"/>
    <x v="0"/>
    <x v="0"/>
    <n v="4"/>
  </r>
  <r>
    <x v="0"/>
    <x v="1"/>
    <x v="1"/>
    <n v="8"/>
  </r>
  <r>
    <x v="0"/>
    <x v="1"/>
    <x v="2"/>
    <n v="4"/>
  </r>
  <r>
    <x v="0"/>
    <x v="1"/>
    <x v="3"/>
    <n v="78"/>
  </r>
  <r>
    <x v="0"/>
    <x v="1"/>
    <x v="4"/>
    <n v="1"/>
  </r>
  <r>
    <x v="0"/>
    <x v="1"/>
    <x v="5"/>
    <n v="4"/>
  </r>
  <r>
    <x v="0"/>
    <x v="1"/>
    <x v="6"/>
    <n v="5"/>
  </r>
  <r>
    <x v="0"/>
    <x v="1"/>
    <x v="7"/>
    <n v="3"/>
  </r>
  <r>
    <x v="0"/>
    <x v="1"/>
    <x v="8"/>
    <n v="20"/>
  </r>
  <r>
    <x v="0"/>
    <x v="1"/>
    <x v="9"/>
    <n v="10"/>
  </r>
  <r>
    <x v="0"/>
    <x v="2"/>
    <x v="10"/>
    <n v="5"/>
  </r>
  <r>
    <x v="0"/>
    <x v="2"/>
    <x v="11"/>
    <n v="25"/>
  </r>
  <r>
    <x v="0"/>
    <x v="2"/>
    <x v="12"/>
    <n v="8"/>
  </r>
  <r>
    <x v="0"/>
    <x v="2"/>
    <x v="13"/>
    <n v="17"/>
  </r>
  <r>
    <x v="0"/>
    <x v="2"/>
    <x v="14"/>
    <n v="3"/>
  </r>
  <r>
    <x v="0"/>
    <x v="2"/>
    <x v="15"/>
    <n v="7"/>
  </r>
  <r>
    <x v="0"/>
    <x v="3"/>
    <x v="16"/>
    <n v="6"/>
  </r>
  <r>
    <x v="0"/>
    <x v="3"/>
    <x v="17"/>
    <n v="21"/>
  </r>
  <r>
    <x v="0"/>
    <x v="3"/>
    <x v="18"/>
    <n v="35"/>
  </r>
  <r>
    <x v="0"/>
    <x v="3"/>
    <x v="19"/>
    <n v="5"/>
  </r>
  <r>
    <x v="0"/>
    <x v="3"/>
    <x v="20"/>
    <n v="19"/>
  </r>
  <r>
    <x v="0"/>
    <x v="4"/>
    <x v="21"/>
    <n v="238"/>
  </r>
  <r>
    <x v="0"/>
    <x v="4"/>
    <x v="22"/>
    <n v="6"/>
  </r>
  <r>
    <x v="0"/>
    <x v="4"/>
    <x v="23"/>
    <n v="101"/>
  </r>
  <r>
    <x v="1"/>
    <x v="0"/>
    <x v="0"/>
    <n v="4"/>
  </r>
  <r>
    <x v="1"/>
    <x v="1"/>
    <x v="1"/>
    <n v="8"/>
  </r>
  <r>
    <x v="1"/>
    <x v="1"/>
    <x v="2"/>
    <n v="4"/>
  </r>
  <r>
    <x v="1"/>
    <x v="1"/>
    <x v="3"/>
    <n v="78"/>
  </r>
  <r>
    <x v="1"/>
    <x v="1"/>
    <x v="4"/>
    <n v="1"/>
  </r>
  <r>
    <x v="1"/>
    <x v="1"/>
    <x v="5"/>
    <n v="4"/>
  </r>
  <r>
    <x v="1"/>
    <x v="1"/>
    <x v="6"/>
    <n v="5"/>
  </r>
  <r>
    <x v="1"/>
    <x v="1"/>
    <x v="7"/>
    <n v="3"/>
  </r>
  <r>
    <x v="1"/>
    <x v="1"/>
    <x v="8"/>
    <n v="20"/>
  </r>
  <r>
    <x v="1"/>
    <x v="1"/>
    <x v="9"/>
    <n v="10"/>
  </r>
  <r>
    <x v="1"/>
    <x v="2"/>
    <x v="10"/>
    <n v="5"/>
  </r>
  <r>
    <x v="1"/>
    <x v="2"/>
    <x v="11"/>
    <n v="25"/>
  </r>
  <r>
    <x v="1"/>
    <x v="2"/>
    <x v="12"/>
    <n v="8"/>
  </r>
  <r>
    <x v="1"/>
    <x v="2"/>
    <x v="13"/>
    <n v="17"/>
  </r>
  <r>
    <x v="1"/>
    <x v="2"/>
    <x v="14"/>
    <n v="3"/>
  </r>
  <r>
    <x v="1"/>
    <x v="2"/>
    <x v="15"/>
    <n v="7"/>
  </r>
  <r>
    <x v="1"/>
    <x v="3"/>
    <x v="16"/>
    <n v="6"/>
  </r>
  <r>
    <x v="1"/>
    <x v="3"/>
    <x v="17"/>
    <n v="21"/>
  </r>
  <r>
    <x v="1"/>
    <x v="3"/>
    <x v="18"/>
    <n v="35"/>
  </r>
  <r>
    <x v="1"/>
    <x v="3"/>
    <x v="19"/>
    <n v="5"/>
  </r>
  <r>
    <x v="1"/>
    <x v="3"/>
    <x v="20"/>
    <n v="19"/>
  </r>
  <r>
    <x v="1"/>
    <x v="4"/>
    <x v="21"/>
    <n v="238"/>
  </r>
  <r>
    <x v="1"/>
    <x v="4"/>
    <x v="22"/>
    <n v="6"/>
  </r>
  <r>
    <x v="1"/>
    <x v="4"/>
    <x v="23"/>
    <n v="101"/>
  </r>
  <r>
    <x v="2"/>
    <x v="1"/>
    <x v="1"/>
    <n v="8"/>
  </r>
  <r>
    <x v="2"/>
    <x v="1"/>
    <x v="2"/>
    <n v="4"/>
  </r>
  <r>
    <x v="2"/>
    <x v="1"/>
    <x v="3"/>
    <n v="83"/>
  </r>
  <r>
    <x v="2"/>
    <x v="1"/>
    <x v="4"/>
    <n v="1"/>
  </r>
  <r>
    <x v="2"/>
    <x v="1"/>
    <x v="5"/>
    <n v="4"/>
  </r>
  <r>
    <x v="2"/>
    <x v="1"/>
    <x v="6"/>
    <n v="8"/>
  </r>
  <r>
    <x v="2"/>
    <x v="1"/>
    <x v="7"/>
    <n v="4"/>
  </r>
  <r>
    <x v="2"/>
    <x v="1"/>
    <x v="8"/>
    <n v="20"/>
  </r>
  <r>
    <x v="2"/>
    <x v="1"/>
    <x v="9"/>
    <n v="7"/>
  </r>
  <r>
    <x v="2"/>
    <x v="2"/>
    <x v="10"/>
    <n v="5"/>
  </r>
  <r>
    <x v="2"/>
    <x v="2"/>
    <x v="11"/>
    <n v="25"/>
  </r>
  <r>
    <x v="2"/>
    <x v="2"/>
    <x v="12"/>
    <n v="7"/>
  </r>
  <r>
    <x v="2"/>
    <x v="2"/>
    <x v="14"/>
    <n v="4"/>
  </r>
  <r>
    <x v="2"/>
    <x v="2"/>
    <x v="15"/>
    <n v="7"/>
  </r>
  <r>
    <x v="2"/>
    <x v="3"/>
    <x v="18"/>
    <n v="34"/>
  </r>
  <r>
    <x v="2"/>
    <x v="3"/>
    <x v="19"/>
    <n v="5"/>
  </r>
  <r>
    <x v="2"/>
    <x v="3"/>
    <x v="20"/>
    <n v="18"/>
  </r>
  <r>
    <x v="2"/>
    <x v="4"/>
    <x v="21"/>
    <n v="237"/>
  </r>
  <r>
    <x v="2"/>
    <x v="4"/>
    <x v="24"/>
    <n v="1"/>
  </r>
  <r>
    <x v="2"/>
    <x v="4"/>
    <x v="22"/>
    <n v="6"/>
  </r>
  <r>
    <x v="2"/>
    <x v="4"/>
    <x v="23"/>
    <n v="102"/>
  </r>
  <r>
    <x v="3"/>
    <x v="1"/>
    <x v="1"/>
    <n v="8"/>
  </r>
  <r>
    <x v="3"/>
    <x v="1"/>
    <x v="2"/>
    <n v="4"/>
  </r>
  <r>
    <x v="3"/>
    <x v="1"/>
    <x v="3"/>
    <n v="91"/>
  </r>
  <r>
    <x v="3"/>
    <x v="1"/>
    <x v="4"/>
    <n v="1"/>
  </r>
  <r>
    <x v="3"/>
    <x v="1"/>
    <x v="5"/>
    <n v="4"/>
  </r>
  <r>
    <x v="3"/>
    <x v="1"/>
    <x v="6"/>
    <n v="7"/>
  </r>
  <r>
    <x v="3"/>
    <x v="1"/>
    <x v="7"/>
    <n v="3"/>
  </r>
  <r>
    <x v="3"/>
    <x v="1"/>
    <x v="8"/>
    <n v="20"/>
  </r>
  <r>
    <x v="3"/>
    <x v="1"/>
    <x v="9"/>
    <n v="6"/>
  </r>
  <r>
    <x v="3"/>
    <x v="2"/>
    <x v="10"/>
    <n v="5"/>
  </r>
  <r>
    <x v="3"/>
    <x v="2"/>
    <x v="11"/>
    <n v="25"/>
  </r>
  <r>
    <x v="3"/>
    <x v="2"/>
    <x v="12"/>
    <n v="7"/>
  </r>
  <r>
    <x v="3"/>
    <x v="2"/>
    <x v="14"/>
    <n v="4"/>
  </r>
  <r>
    <x v="3"/>
    <x v="2"/>
    <x v="15"/>
    <n v="8"/>
  </r>
  <r>
    <x v="3"/>
    <x v="3"/>
    <x v="18"/>
    <n v="33"/>
  </r>
  <r>
    <x v="3"/>
    <x v="3"/>
    <x v="19"/>
    <n v="5"/>
  </r>
  <r>
    <x v="3"/>
    <x v="3"/>
    <x v="20"/>
    <n v="18"/>
  </r>
  <r>
    <x v="3"/>
    <x v="4"/>
    <x v="21"/>
    <n v="238"/>
  </r>
  <r>
    <x v="3"/>
    <x v="4"/>
    <x v="22"/>
    <n v="6"/>
  </r>
  <r>
    <x v="3"/>
    <x v="4"/>
    <x v="23"/>
    <n v="101"/>
  </r>
  <r>
    <x v="4"/>
    <x v="1"/>
    <x v="1"/>
    <n v="8"/>
  </r>
  <r>
    <x v="4"/>
    <x v="1"/>
    <x v="2"/>
    <n v="4"/>
  </r>
  <r>
    <x v="4"/>
    <x v="1"/>
    <x v="3"/>
    <n v="91"/>
  </r>
  <r>
    <x v="4"/>
    <x v="1"/>
    <x v="4"/>
    <n v="1"/>
  </r>
  <r>
    <x v="4"/>
    <x v="1"/>
    <x v="5"/>
    <n v="4"/>
  </r>
  <r>
    <x v="4"/>
    <x v="1"/>
    <x v="6"/>
    <n v="7"/>
  </r>
  <r>
    <x v="4"/>
    <x v="1"/>
    <x v="7"/>
    <n v="4"/>
  </r>
  <r>
    <x v="4"/>
    <x v="1"/>
    <x v="8"/>
    <n v="20"/>
  </r>
  <r>
    <x v="4"/>
    <x v="1"/>
    <x v="9"/>
    <n v="7"/>
  </r>
  <r>
    <x v="4"/>
    <x v="2"/>
    <x v="10"/>
    <n v="5"/>
  </r>
  <r>
    <x v="4"/>
    <x v="2"/>
    <x v="11"/>
    <n v="16"/>
  </r>
  <r>
    <x v="4"/>
    <x v="2"/>
    <x v="12"/>
    <n v="5"/>
  </r>
  <r>
    <x v="4"/>
    <x v="2"/>
    <x v="14"/>
    <n v="4"/>
  </r>
  <r>
    <x v="4"/>
    <x v="2"/>
    <x v="15"/>
    <n v="7"/>
  </r>
  <r>
    <x v="4"/>
    <x v="3"/>
    <x v="18"/>
    <n v="34"/>
  </r>
  <r>
    <x v="4"/>
    <x v="3"/>
    <x v="19"/>
    <n v="5"/>
  </r>
  <r>
    <x v="4"/>
    <x v="3"/>
    <x v="20"/>
    <n v="18"/>
  </r>
  <r>
    <x v="4"/>
    <x v="4"/>
    <x v="21"/>
    <n v="245"/>
  </r>
  <r>
    <x v="4"/>
    <x v="4"/>
    <x v="22"/>
    <n v="6"/>
  </r>
  <r>
    <x v="4"/>
    <x v="4"/>
    <x v="23"/>
    <n v="94"/>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
  <r>
    <x v="0"/>
    <x v="0"/>
    <n v="95"/>
  </r>
  <r>
    <x v="0"/>
    <x v="1"/>
    <n v="37"/>
  </r>
  <r>
    <x v="0"/>
    <x v="2"/>
    <n v="54"/>
  </r>
  <r>
    <x v="1"/>
    <x v="0"/>
    <n v="95"/>
  </r>
  <r>
    <x v="1"/>
    <x v="1"/>
    <n v="37"/>
  </r>
  <r>
    <x v="1"/>
    <x v="2"/>
    <n v="54"/>
  </r>
  <r>
    <x v="2"/>
    <x v="0"/>
    <n v="101"/>
  </r>
  <r>
    <x v="2"/>
    <x v="1"/>
    <n v="36"/>
  </r>
  <r>
    <x v="2"/>
    <x v="2"/>
    <n v="55"/>
  </r>
  <r>
    <x v="3"/>
    <x v="0"/>
    <n v="104"/>
  </r>
  <r>
    <x v="3"/>
    <x v="1"/>
    <n v="35"/>
  </r>
  <r>
    <x v="3"/>
    <x v="2"/>
    <n v="55"/>
  </r>
  <r>
    <x v="4"/>
    <x v="0"/>
    <n v="105"/>
  </r>
  <r>
    <x v="4"/>
    <x v="1"/>
    <n v="26"/>
  </r>
  <r>
    <x v="4"/>
    <x v="2"/>
    <n v="56"/>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n v="33998"/>
    <n v="18732"/>
    <n v="52730"/>
    <m/>
    <m/>
    <m/>
  </r>
  <r>
    <x v="1"/>
    <n v="28846"/>
    <n v="27699"/>
    <n v="56545"/>
    <n v="46395"/>
    <m/>
    <m/>
  </r>
  <r>
    <x v="2"/>
    <n v="26013"/>
    <n v="30238"/>
    <n v="56251"/>
    <n v="44122"/>
    <m/>
    <m/>
  </r>
  <r>
    <x v="3"/>
    <n v="29576"/>
    <n v="41472"/>
    <n v="71048"/>
    <n v="46164"/>
    <n v="30359"/>
    <n v="15805"/>
  </r>
  <r>
    <x v="4"/>
    <n v="26986"/>
    <n v="38729"/>
    <n v="65715"/>
    <n v="41832"/>
    <n v="28032"/>
    <n v="13800"/>
  </r>
  <r>
    <x v="5"/>
    <n v="28338"/>
    <n v="43379"/>
    <n v="71717"/>
    <n v="43710"/>
    <n v="28897"/>
    <n v="14813"/>
  </r>
  <r>
    <x v="6"/>
    <n v="29016"/>
    <n v="41785"/>
    <n v="70801"/>
    <n v="44321"/>
    <n v="27955"/>
    <n v="16366"/>
  </r>
  <r>
    <x v="7"/>
    <n v="27754"/>
    <n v="42077"/>
    <n v="69831"/>
    <n v="42385"/>
    <n v="28114"/>
    <n v="14271"/>
  </r>
  <r>
    <x v="8"/>
    <n v="24462"/>
    <n v="44740"/>
    <n v="69202"/>
    <n v="37549"/>
    <n v="25645"/>
    <n v="11904"/>
  </r>
  <r>
    <x v="9"/>
    <n v="22292"/>
    <n v="46945"/>
    <n v="69237"/>
    <n v="34610"/>
    <n v="24016"/>
    <n v="10594"/>
  </r>
  <r>
    <x v="10"/>
    <n v="7679"/>
    <n v="12319"/>
    <n v="19998"/>
    <n v="12535"/>
    <n v="8696"/>
    <n v="3839"/>
  </r>
  <r>
    <x v="11"/>
    <n v="16504"/>
    <n v="27692"/>
    <n v="44196"/>
    <n v="45586"/>
    <m/>
    <m/>
  </r>
  <r>
    <x v="12"/>
    <n v="6764"/>
    <n v="31935"/>
    <n v="38699"/>
    <n v="15690"/>
    <m/>
    <m/>
  </r>
  <r>
    <x v="13"/>
    <n v="5922"/>
    <n v="30816"/>
    <n v="36738"/>
    <n v="15749"/>
    <n v="11441"/>
    <n v="4308"/>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
  <r>
    <x v="0"/>
    <n v="8020"/>
    <n v="7446"/>
    <n v="7740"/>
    <n v="9727"/>
    <n v="10040"/>
    <n v="2387"/>
    <n v="4431"/>
    <n v="5557"/>
    <n v="5572"/>
  </r>
  <r>
    <x v="1"/>
    <n v="15848"/>
    <n v="15100"/>
    <n v="14796"/>
    <n v="15332"/>
    <n v="15696"/>
    <n v="4624"/>
    <n v="7561"/>
    <n v="8820"/>
    <n v="8575"/>
  </r>
  <r>
    <x v="2"/>
    <n v="101"/>
    <n v="103"/>
    <n v="107"/>
    <n v="622"/>
    <n v="641"/>
    <n v="102"/>
    <n v="322"/>
    <n v="367"/>
    <n v="443"/>
  </r>
  <r>
    <x v="3"/>
    <n v="5400"/>
    <n v="4535"/>
    <n v="5072"/>
    <n v="4289"/>
    <n v="4004"/>
    <n v="1093"/>
    <n v="2279"/>
    <n v="1875"/>
    <n v="1781"/>
  </r>
  <r>
    <x v="4"/>
    <n v="37461"/>
    <n v="39725"/>
    <n v="38343"/>
    <n v="35339"/>
    <n v="34631"/>
    <n v="10815"/>
    <n v="27519"/>
    <n v="19831"/>
    <n v="17804"/>
  </r>
  <r>
    <x v="5"/>
    <n v="4886"/>
    <n v="3888"/>
    <n v="3767"/>
    <n v="3893"/>
    <n v="4225"/>
    <n v="977"/>
    <n v="2084"/>
    <n v="2249"/>
    <n v="2563"/>
  </r>
</pivotCacheRecords>
</file>

<file path=xl/pivotCache/pivotCacheRecords4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9522"/>
    <n v="8378"/>
    <n v="6148"/>
    <n v="21422"/>
    <n v="45974"/>
    <n v="43449"/>
    <n v="134893"/>
  </r>
  <r>
    <x v="1"/>
    <n v="9301"/>
    <n v="8100"/>
    <n v="5611"/>
    <n v="17596"/>
    <n v="41757"/>
    <n v="43048"/>
    <n v="125413"/>
  </r>
  <r>
    <x v="2"/>
    <n v="9270"/>
    <n v="8385"/>
    <n v="5779"/>
    <n v="17567"/>
    <n v="43991"/>
    <n v="49733"/>
    <n v="134725"/>
  </r>
  <r>
    <x v="3"/>
    <n v="7684"/>
    <n v="7945"/>
    <n v="5617"/>
    <n v="13019"/>
    <n v="42665"/>
    <n v="52260"/>
    <n v="129190"/>
  </r>
  <r>
    <x v="4"/>
    <n v="7694"/>
    <n v="7954"/>
    <n v="5364"/>
    <n v="13881"/>
    <n v="42205"/>
    <n v="50848"/>
    <n v="127946"/>
  </r>
  <r>
    <x v="5"/>
    <n v="7266"/>
    <n v="7987"/>
    <n v="5517"/>
    <n v="13947"/>
    <n v="41141"/>
    <n v="48727"/>
    <n v="124585"/>
  </r>
  <r>
    <x v="6"/>
    <n v="7040"/>
    <n v="7889"/>
    <n v="5512"/>
    <n v="13665"/>
    <n v="40173"/>
    <n v="48769"/>
    <n v="123048"/>
  </r>
  <r>
    <x v="7"/>
    <n v="1270"/>
    <n v="1639"/>
    <n v="1291"/>
    <n v="2992"/>
    <n v="9416"/>
    <n v="16017"/>
    <n v="32625"/>
  </r>
  <r>
    <x v="8"/>
    <n v="2198"/>
    <n v="2826"/>
    <n v="2403"/>
    <n v="5628"/>
    <n v="18596"/>
    <n v="39107"/>
    <n v="70758"/>
  </r>
  <r>
    <x v="9"/>
    <n v="2300"/>
    <n v="3133"/>
    <n v="2463"/>
    <n v="5787"/>
    <n v="18149"/>
    <n v="30792"/>
    <n v="62624"/>
  </r>
  <r>
    <x v="10"/>
    <n v="2410"/>
    <n v="3147"/>
    <n v="2485"/>
    <n v="6086"/>
    <n v="18425"/>
    <n v="28177"/>
    <n v="60730"/>
  </r>
</pivotCacheRecords>
</file>

<file path=xl/pivotCache/pivotCacheRecords4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3.2383018810173998"/>
    <n v="2.4963871217651699"/>
    <n v="1.7888109120957101"/>
    <n v="2.17919399729813"/>
    <n v="2.1170750711117798"/>
    <n v="3.6214893874166001"/>
    <n v="2.53191808848096"/>
  </r>
  <r>
    <x v="1"/>
    <n v="3.1868346484751102"/>
    <n v="2.3587378131879699"/>
    <n v="1.6718611261747101"/>
    <n v="1.78860036633983"/>
    <n v="1.9208273399"/>
    <n v="3.5313264951207199"/>
    <n v="2.3452202857356599"/>
  </r>
  <r>
    <x v="2"/>
    <n v="3.1836633765377398"/>
    <n v="2.4072968224256099"/>
    <n v="1.7431198195046"/>
    <n v="1.77315129774044"/>
    <n v="2.02073514685482"/>
    <n v="4.0293256937670296"/>
    <n v="2.5074446305602098"/>
  </r>
  <r>
    <x v="3"/>
    <n v="2.6751335129753002"/>
    <n v="2.23490559668745"/>
    <n v="1.7018839798088801"/>
    <n v="1.3071088286823001"/>
    <n v="1.9537466004626001"/>
    <n v="4.1736147049239998"/>
    <n v="2.3903269376653702"/>
  </r>
  <r>
    <x v="4"/>
    <n v="2.7273436226099399"/>
    <n v="2.2093953467700702"/>
    <n v="1.6209257770713299"/>
    <n v="1.39846824355774"/>
    <n v="1.92917123571634"/>
    <n v="3.99921035100841"/>
    <n v="2.35853856363368"/>
  </r>
  <r>
    <x v="5"/>
    <n v="2.6244121620157301"/>
    <n v="2.2083850613962599"/>
    <n v="1.6496084534584401"/>
    <n v="1.4152106479203099"/>
    <n v="1.87941605212535"/>
    <n v="3.77556001518685"/>
    <n v="2.2909655946010599"/>
  </r>
  <r>
    <x v="6"/>
    <n v="2.5909500763667817"/>
    <n v="2.1887441563666123"/>
    <n v="1.6055974529491785"/>
    <n v="1.3978495723593021"/>
    <n v="1.8302517057382788"/>
    <n v="3.7077274669399558"/>
    <n v="2.2522651144912418"/>
  </r>
  <r>
    <x v="7"/>
    <n v="0.48141437268295645"/>
    <n v="0.45840896568505429"/>
    <n v="0.36746497554977431"/>
    <n v="0.31022444614256844"/>
    <n v="0.42915501219418262"/>
    <n v="1.1999685342583262"/>
    <n v="0.59687156970362243"/>
  </r>
  <r>
    <x v="8"/>
    <n v="0.86048614726918959"/>
    <n v="0.79249568838598416"/>
    <n v="0.67354317907895844"/>
    <n v="0.59173152968067744"/>
    <n v="0.8446089414273964"/>
    <n v="2.8791941466373943"/>
    <n v="1.291227942115732"/>
  </r>
  <r>
    <x v="9"/>
    <n v="0.92840391221335528"/>
    <n v="0.91604169407774516"/>
    <n v="0.68323291501614458"/>
    <n v="0.62138478503866068"/>
    <n v="0.83499267558356105"/>
    <n v="2.2111206616127999"/>
    <n v="1.1495493511023001"/>
  </r>
  <r>
    <x v="10"/>
    <n v="0.97280583844964619"/>
    <n v="0.92013508179465808"/>
    <n v="0.68933568567402326"/>
    <n v="0.65349020247888179"/>
    <n v="0.8476907844854874"/>
    <n v="2.0233420005931366"/>
    <n v="1.1147823852267928"/>
  </r>
</pivotCacheRecords>
</file>

<file path=xl/pivotCache/pivotCacheRecords4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n v="5909"/>
    <n v="6233"/>
    <n v="5321"/>
    <n v="4898"/>
    <n v="4568"/>
    <n v="26929"/>
  </r>
  <r>
    <x v="1"/>
    <n v="5967"/>
    <n v="6495"/>
    <n v="5828"/>
    <n v="5327"/>
    <n v="4664"/>
    <n v="28281"/>
  </r>
  <r>
    <x v="2"/>
    <n v="5798"/>
    <n v="6551"/>
    <n v="5947"/>
    <n v="5619"/>
    <n v="5063"/>
    <n v="28978"/>
  </r>
  <r>
    <x v="3"/>
    <n v="5574"/>
    <n v="6271"/>
    <n v="5690"/>
    <n v="5360"/>
    <n v="4821"/>
    <n v="27716"/>
  </r>
  <r>
    <x v="4"/>
    <n v="5160"/>
    <n v="5587"/>
    <n v="5019"/>
    <n v="4481"/>
    <n v="4189"/>
    <n v="24436"/>
  </r>
  <r>
    <x v="5"/>
    <n v="4664"/>
    <n v="5068"/>
    <n v="4517"/>
    <n v="4207"/>
    <n v="3805"/>
    <n v="22261"/>
  </r>
  <r>
    <x v="6"/>
    <n v="1688"/>
    <n v="1696"/>
    <n v="1487"/>
    <n v="1482"/>
    <n v="1317"/>
    <n v="7670"/>
  </r>
  <r>
    <x v="7"/>
    <m/>
    <m/>
    <m/>
    <m/>
    <m/>
    <m/>
  </r>
  <r>
    <x v="8"/>
    <m/>
    <m/>
    <m/>
    <m/>
    <m/>
    <m/>
  </r>
  <r>
    <x v="9"/>
    <n v="1322"/>
    <n v="1478"/>
    <n v="1162"/>
    <n v="1004"/>
    <n v="944"/>
    <n v="5910"/>
  </r>
</pivotCacheRecords>
</file>

<file path=xl/pivotCache/pivotCacheRecords4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n v="1.1000000000000001"/>
    <n v="1.2"/>
    <n v="1.1000000000000001"/>
    <n v="1"/>
    <n v="1"/>
    <n v="1.1000000000000001"/>
  </r>
  <r>
    <x v="1"/>
    <n v="1.1000000000000001"/>
    <n v="1.3"/>
    <n v="1.2"/>
    <n v="1.1000000000000001"/>
    <n v="1"/>
    <n v="1.2"/>
  </r>
  <r>
    <x v="2"/>
    <n v="1.1000000000000001"/>
    <n v="1.3"/>
    <n v="1.2"/>
    <n v="1.2"/>
    <n v="1.1000000000000001"/>
    <n v="1.2"/>
  </r>
  <r>
    <x v="3"/>
    <n v="1"/>
    <n v="1.2"/>
    <n v="1.1000000000000001"/>
    <n v="1.1000000000000001"/>
    <n v="1"/>
    <n v="1.1000000000000001"/>
  </r>
  <r>
    <x v="4"/>
    <n v="1"/>
    <n v="1.1000000000000001"/>
    <n v="1"/>
    <n v="0.9"/>
    <n v="0.9"/>
    <n v="1"/>
  </r>
  <r>
    <x v="5"/>
    <n v="0.9"/>
    <n v="1"/>
    <n v="0.9"/>
    <n v="0.8"/>
    <n v="0.8"/>
    <n v="0.9"/>
  </r>
  <r>
    <x v="6"/>
    <n v="0.3"/>
    <n v="0.3"/>
    <n v="0.3"/>
    <n v="0.3"/>
    <n v="0.3"/>
    <n v="0.3"/>
  </r>
  <r>
    <x v="7"/>
    <m/>
    <m/>
    <m/>
    <m/>
    <m/>
    <m/>
  </r>
  <r>
    <x v="8"/>
    <m/>
    <m/>
    <m/>
    <m/>
    <m/>
    <m/>
  </r>
  <r>
    <x v="9"/>
    <n v="0.24299999999999999"/>
    <n v="0.28000000000000003"/>
    <n v="0.222"/>
    <n v="0.189"/>
    <n v="0.19700000000000001"/>
    <n v="1.131"/>
  </r>
</pivotCacheRecords>
</file>

<file path=xl/pivotCache/pivotCacheRecords4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2">
  <r>
    <x v="0"/>
    <x v="0"/>
    <s v="S12000033"/>
    <n v="492"/>
    <n v="1898"/>
    <n v="2390"/>
    <n v="419"/>
    <n v="245"/>
    <n v="664"/>
    <n v="112713"/>
    <n v="2.12"/>
    <n v="0.58899999999999997"/>
    <n v="105047"/>
    <n v="2.2749999999999999"/>
    <n v="0.63200000000000001"/>
  </r>
  <r>
    <x v="0"/>
    <x v="1"/>
    <s v="S12000034"/>
    <n v="567"/>
    <n v="789"/>
    <n v="1356"/>
    <n v="497"/>
    <n v="391"/>
    <n v="888"/>
    <n v="112867"/>
    <n v="1.2010000000000001"/>
    <n v="0.78700000000000003"/>
    <n v="107128"/>
    <n v="1.266"/>
    <n v="0.82899999999999996"/>
  </r>
  <r>
    <x v="0"/>
    <x v="2"/>
    <s v="S12000041"/>
    <n v="829"/>
    <n v="2850"/>
    <n v="3679"/>
    <n v="723"/>
    <n v="504"/>
    <n v="1227"/>
    <n v="54872"/>
    <n v="6.7050000000000001"/>
    <n v="2.2359999999999998"/>
    <n v="52413"/>
    <n v="7.0190000000000001"/>
    <n v="2.3410000000000002"/>
  </r>
  <r>
    <x v="0"/>
    <x v="3"/>
    <s v="S12000035"/>
    <n v="529"/>
    <n v="457"/>
    <n v="986"/>
    <n v="539"/>
    <n v="425"/>
    <n v="964"/>
    <n v="47336"/>
    <n v="2.0830000000000002"/>
    <n v="2.0369999999999999"/>
    <n v="40934"/>
    <n v="2.4089999999999998"/>
    <n v="2.355"/>
  </r>
  <r>
    <x v="0"/>
    <x v="4"/>
    <s v="S12000036"/>
    <n v="2962"/>
    <n v="2362"/>
    <n v="5324"/>
    <n v="2668"/>
    <n v="1393"/>
    <n v="4061"/>
    <n v="237524"/>
    <n v="2.2410000000000001"/>
    <n v="1.71"/>
    <n v="227222"/>
    <n v="2.343"/>
    <n v="1.7869999999999999"/>
  </r>
  <r>
    <x v="0"/>
    <x v="5"/>
    <s v="S12000005"/>
    <n v="354"/>
    <n v="518"/>
    <n v="872"/>
    <n v="391"/>
    <n v="151"/>
    <n v="542"/>
    <n v="23894"/>
    <n v="3.649"/>
    <n v="2.2679999999999998"/>
    <n v="22978"/>
    <n v="3.7949999999999999"/>
    <n v="2.359"/>
  </r>
  <r>
    <x v="0"/>
    <x v="6"/>
    <s v="S12000006"/>
    <n v="1064"/>
    <n v="392"/>
    <n v="1456"/>
    <n v="882"/>
    <n v="540"/>
    <n v="1422"/>
    <n v="73555"/>
    <n v="1.9790000000000001"/>
    <n v="1.9330000000000001"/>
    <n v="68682"/>
    <n v="2.12"/>
    <n v="2.0699999999999998"/>
  </r>
  <r>
    <x v="0"/>
    <x v="7"/>
    <s v="S12000042"/>
    <n v="1038"/>
    <n v="6335"/>
    <n v="7373"/>
    <n v="936"/>
    <n v="496"/>
    <n v="1432"/>
    <n v="73560"/>
    <n v="10.023"/>
    <n v="1.9470000000000001"/>
    <n v="69500"/>
    <n v="10.609"/>
    <n v="2.06"/>
  </r>
  <r>
    <x v="0"/>
    <x v="8"/>
    <s v="S12000008"/>
    <n v="582"/>
    <n v="1242"/>
    <n v="1824"/>
    <n v="662"/>
    <n v="298"/>
    <n v="960"/>
    <n v="57172"/>
    <n v="3.19"/>
    <n v="1.679"/>
    <n v="54453"/>
    <n v="3.35"/>
    <n v="1.7629999999999999"/>
  </r>
  <r>
    <x v="0"/>
    <x v="9"/>
    <s v="S12000045"/>
    <n v="554"/>
    <n v="307"/>
    <n v="861"/>
    <n v="757"/>
    <n v="209"/>
    <n v="966"/>
    <n v="44864"/>
    <n v="1.919"/>
    <n v="2.153"/>
    <n v="44102"/>
    <n v="1.952"/>
    <n v="2.19"/>
  </r>
  <r>
    <x v="0"/>
    <x v="10"/>
    <s v="S12000010"/>
    <n v="649"/>
    <n v="366"/>
    <n v="1015"/>
    <n v="611"/>
    <n v="496"/>
    <n v="1107"/>
    <n v="45613"/>
    <n v="2.2250000000000001"/>
    <n v="2.427"/>
    <n v="43682"/>
    <n v="2.3239999999999998"/>
    <n v="2.5339999999999998"/>
  </r>
  <r>
    <x v="0"/>
    <x v="11"/>
    <s v="S12000011"/>
    <n v="492"/>
    <n v="448"/>
    <n v="940"/>
    <n v="603"/>
    <n v="198"/>
    <n v="801"/>
    <n v="37639"/>
    <n v="2.4969999999999999"/>
    <n v="2.1280000000000001"/>
    <n v="37804"/>
    <n v="2.4870000000000001"/>
    <n v="2.1189999999999998"/>
  </r>
  <r>
    <x v="0"/>
    <x v="12"/>
    <s v="S12000014"/>
    <n v="552"/>
    <n v="1169"/>
    <n v="1721"/>
    <n v="614"/>
    <n v="186"/>
    <n v="800"/>
    <n v="72128"/>
    <n v="2.3860000000000001"/>
    <n v="1.109"/>
    <n v="69443"/>
    <n v="2.4779999999999998"/>
    <n v="1.1519999999999999"/>
  </r>
  <r>
    <x v="0"/>
    <x v="13"/>
    <s v="S12000015"/>
    <n v="3531"/>
    <n v="3068"/>
    <n v="6599"/>
    <n v="3943"/>
    <n v="1691"/>
    <n v="5634"/>
    <n v="171560"/>
    <n v="3.8460000000000001"/>
    <n v="3.2839999999999998"/>
    <n v="162200"/>
    <n v="4.0679999999999996"/>
    <n v="3.4729999999999999"/>
  </r>
  <r>
    <x v="0"/>
    <x v="14"/>
    <s v="S12000046"/>
    <n v="2763"/>
    <n v="3336"/>
    <n v="6099"/>
    <n v="3186"/>
    <n v="954"/>
    <n v="4140"/>
    <n v="301633"/>
    <n v="2.0219999999999998"/>
    <n v="1.373"/>
    <n v="285346"/>
    <n v="2.137"/>
    <n v="1.4510000000000001"/>
  </r>
  <r>
    <x v="0"/>
    <x v="15"/>
    <s v="S12000017"/>
    <n v="1287"/>
    <n v="2547"/>
    <n v="3834"/>
    <n v="1317"/>
    <n v="724"/>
    <n v="2041"/>
    <n v="113703"/>
    <n v="3.3719999999999999"/>
    <n v="1.7949999999999999"/>
    <n v="104445"/>
    <n v="3.6710000000000003"/>
    <n v="1.954"/>
  </r>
  <r>
    <x v="0"/>
    <x v="16"/>
    <s v="S12000018"/>
    <n v="649"/>
    <n v="595"/>
    <n v="1244"/>
    <n v="626"/>
    <n v="354"/>
    <n v="980"/>
    <n v="38791"/>
    <n v="3.2069999999999999"/>
    <n v="2.5259999999999998"/>
    <n v="37337"/>
    <n v="3.3319999999999999"/>
    <n v="2.625"/>
  </r>
  <r>
    <x v="0"/>
    <x v="17"/>
    <s v="S12000019"/>
    <n v="569"/>
    <n v="411"/>
    <n v="980"/>
    <n v="405"/>
    <n v="452"/>
    <n v="857"/>
    <n v="37503"/>
    <n v="2.613"/>
    <n v="2.2850000000000001"/>
    <n v="36009"/>
    <n v="2.722"/>
    <n v="2.38"/>
  </r>
  <r>
    <x v="0"/>
    <x v="18"/>
    <s v="S12000020"/>
    <n v="332"/>
    <n v="299"/>
    <n v="631"/>
    <n v="317"/>
    <n v="264"/>
    <n v="581"/>
    <n v="43495"/>
    <n v="1.4510000000000001"/>
    <n v="1.3360000000000001"/>
    <n v="40839"/>
    <n v="1.5449999999999999"/>
    <n v="1.423"/>
  </r>
  <r>
    <x v="0"/>
    <x v="19"/>
    <s v="S12000013"/>
    <n v="123"/>
    <n v="226"/>
    <n v="349"/>
    <n v="181"/>
    <n v="15"/>
    <n v="196"/>
    <n v="14490"/>
    <n v="2.4089999999999998"/>
    <n v="1.353"/>
    <n v="12924"/>
    <n v="2.7"/>
    <n v="1.5169999999999999"/>
  </r>
  <r>
    <x v="0"/>
    <x v="20"/>
    <s v="S12000021"/>
    <n v="958"/>
    <n v="660"/>
    <n v="1618"/>
    <n v="972"/>
    <n v="661"/>
    <n v="1633"/>
    <n v="67082"/>
    <n v="2.4119999999999999"/>
    <n v="2.4340000000000002"/>
    <n v="62613"/>
    <n v="2.5840000000000001"/>
    <n v="2.6080000000000001"/>
  </r>
  <r>
    <x v="0"/>
    <x v="21"/>
    <s v="S12000044"/>
    <n v="1381"/>
    <n v="1452"/>
    <n v="2833"/>
    <n v="1819"/>
    <n v="538"/>
    <n v="2357"/>
    <n v="150541"/>
    <n v="1.8820000000000001"/>
    <n v="1.5659999999999998"/>
    <n v="147554"/>
    <n v="1.92"/>
    <n v="1.597"/>
  </r>
  <r>
    <x v="0"/>
    <x v="22"/>
    <s v="S12000023"/>
    <n v="115"/>
    <n v="150"/>
    <n v="265"/>
    <n v="183"/>
    <n v="64"/>
    <n v="247"/>
    <n v="10717"/>
    <n v="2.4729999999999999"/>
    <n v="2.3050000000000002"/>
    <n v="9945"/>
    <n v="2.665"/>
    <n v="2.484"/>
  </r>
  <r>
    <x v="0"/>
    <x v="23"/>
    <s v="S12000024"/>
    <n v="922"/>
    <n v="3441"/>
    <n v="4363"/>
    <n v="890"/>
    <n v="524"/>
    <n v="1414"/>
    <n v="69923"/>
    <n v="6.24"/>
    <n v="2.0219999999999998"/>
    <n v="65616"/>
    <n v="6.649"/>
    <n v="2.1549999999999998"/>
  </r>
  <r>
    <x v="0"/>
    <x v="24"/>
    <s v="S12000038"/>
    <n v="1045"/>
    <n v="832"/>
    <n v="1877"/>
    <n v="1240"/>
    <n v="486"/>
    <n v="1726"/>
    <n v="83933"/>
    <n v="2.2359999999999998"/>
    <n v="2.056"/>
    <n v="81787"/>
    <n v="2.2949999999999999"/>
    <n v="2.11"/>
  </r>
  <r>
    <x v="0"/>
    <x v="25"/>
    <s v="S12000026"/>
    <n v="1252"/>
    <n v="1347"/>
    <n v="2599"/>
    <n v="948"/>
    <n v="1046"/>
    <n v="1994"/>
    <n v="57097"/>
    <n v="4.5519999999999996"/>
    <n v="3.492"/>
    <n v="52934"/>
    <n v="4.91"/>
    <n v="3.7669999999999999"/>
  </r>
  <r>
    <x v="0"/>
    <x v="26"/>
    <s v="S12000027"/>
    <n v="73"/>
    <n v="218"/>
    <n v="291"/>
    <n v="69"/>
    <n v="56"/>
    <n v="125"/>
    <n v="10852"/>
    <n v="2.6819999999999999"/>
    <n v="1.1519999999999999"/>
    <n v="10135"/>
    <n v="2.871"/>
    <n v="1.2330000000000001"/>
  </r>
  <r>
    <x v="0"/>
    <x v="27"/>
    <s v="S12000028"/>
    <n v="601"/>
    <n v="462"/>
    <n v="1063"/>
    <n v="577"/>
    <n v="430"/>
    <n v="1007"/>
    <n v="54385"/>
    <n v="1.9550000000000001"/>
    <n v="1.8519999999999999"/>
    <n v="51654"/>
    <n v="2.0579999999999998"/>
    <n v="1.95"/>
  </r>
  <r>
    <x v="0"/>
    <x v="28"/>
    <s v="S12000029"/>
    <n v="1230"/>
    <n v="1647"/>
    <n v="2877"/>
    <n v="1474"/>
    <n v="585"/>
    <n v="2059"/>
    <n v="146110"/>
    <n v="1.9689999999999999"/>
    <n v="1.409"/>
    <n v="141129"/>
    <n v="2.0390000000000001"/>
    <n v="1.4590000000000001"/>
  </r>
  <r>
    <x v="0"/>
    <x v="29"/>
    <s v="S12000030"/>
    <n v="265"/>
    <n v="607"/>
    <n v="872"/>
    <n v="297"/>
    <n v="113"/>
    <n v="410"/>
    <n v="39965"/>
    <n v="2.1819999999999999"/>
    <n v="1.026"/>
    <n v="38056"/>
    <n v="2.2909999999999999"/>
    <n v="1.077"/>
  </r>
  <r>
    <x v="0"/>
    <x v="30"/>
    <s v="S12000039"/>
    <n v="436"/>
    <n v="496"/>
    <n v="932"/>
    <n v="473"/>
    <n v="195"/>
    <n v="668"/>
    <n v="44880"/>
    <n v="2.077"/>
    <n v="1.488"/>
    <n v="42097"/>
    <n v="2.214"/>
    <n v="1.587"/>
  </r>
  <r>
    <x v="0"/>
    <x v="31"/>
    <s v="S12000040"/>
    <n v="1381"/>
    <n v="546"/>
    <n v="1927"/>
    <n v="1141"/>
    <n v="1121"/>
    <n v="2262"/>
    <n v="76473"/>
    <n v="2.52"/>
    <n v="2.9580000000000002"/>
    <n v="74335"/>
    <n v="2.5920000000000001"/>
    <n v="3.0430000000000001"/>
  </r>
  <r>
    <x v="1"/>
    <x v="0"/>
    <s v="S12000033"/>
    <n v="524"/>
    <n v="1951"/>
    <n v="2475"/>
    <n v="469"/>
    <n v="283"/>
    <n v="752"/>
    <n v="113508"/>
    <n v="2.1800000000000002"/>
    <n v="0.66300000000000003"/>
    <n v="105287"/>
    <n v="2.351"/>
    <n v="0.71399999999999997"/>
  </r>
  <r>
    <x v="1"/>
    <x v="1"/>
    <s v="S12000034"/>
    <n v="617"/>
    <n v="831"/>
    <n v="1448"/>
    <n v="609"/>
    <n v="394"/>
    <n v="1003"/>
    <n v="114086"/>
    <n v="1.2690000000000001"/>
    <n v="0.879"/>
    <n v="108381"/>
    <n v="1.3360000000000001"/>
    <n v="0.92500000000000004"/>
  </r>
  <r>
    <x v="1"/>
    <x v="2"/>
    <s v="S12000041"/>
    <n v="486"/>
    <n v="1357"/>
    <n v="1843"/>
    <n v="498"/>
    <n v="226"/>
    <n v="724"/>
    <n v="55267"/>
    <n v="3.335"/>
    <n v="1.31"/>
    <n v="52692"/>
    <n v="3.4980000000000002"/>
    <n v="1.3740000000000001"/>
  </r>
  <r>
    <x v="1"/>
    <x v="3"/>
    <s v="S12000035"/>
    <n v="498"/>
    <n v="680"/>
    <n v="1178"/>
    <n v="412"/>
    <n v="414"/>
    <n v="826"/>
    <n v="47500"/>
    <n v="2.48"/>
    <n v="1.7389999999999999"/>
    <n v="40857"/>
    <n v="2.883"/>
    <n v="2.0219999999999998"/>
  </r>
  <r>
    <x v="1"/>
    <x v="4"/>
    <s v="S12000036"/>
    <n v="2833"/>
    <n v="2754"/>
    <n v="5587"/>
    <n v="2716"/>
    <n v="1169"/>
    <n v="3885"/>
    <n v="239525"/>
    <n v="2.3330000000000002"/>
    <n v="1.6219999999999999"/>
    <n v="229231"/>
    <n v="2.4369999999999998"/>
    <n v="1.6949999999999998"/>
  </r>
  <r>
    <x v="1"/>
    <x v="5"/>
    <s v="S12000005"/>
    <n v="273"/>
    <n v="511"/>
    <n v="784"/>
    <n v="314"/>
    <n v="87"/>
    <n v="401"/>
    <n v="23995"/>
    <n v="3.2669999999999999"/>
    <n v="1.671"/>
    <n v="23217"/>
    <n v="3.3769999999999998"/>
    <n v="1.7269999999999999"/>
  </r>
  <r>
    <x v="1"/>
    <x v="6"/>
    <s v="S12000006"/>
    <n v="897"/>
    <n v="629"/>
    <n v="1526"/>
    <n v="765"/>
    <n v="450"/>
    <n v="1215"/>
    <n v="73895"/>
    <n v="2.0649999999999999"/>
    <n v="1.6440000000000001"/>
    <n v="68818"/>
    <n v="2.2170000000000001"/>
    <n v="1.766"/>
  </r>
  <r>
    <x v="1"/>
    <x v="7"/>
    <s v="S12000042"/>
    <n v="698"/>
    <n v="3024"/>
    <n v="3722"/>
    <n v="677"/>
    <n v="308"/>
    <n v="985"/>
    <n v="73575"/>
    <n v="5.0590000000000002"/>
    <n v="1.339"/>
    <n v="69610"/>
    <n v="5.3469999999999995"/>
    <n v="1.415"/>
  </r>
  <r>
    <x v="1"/>
    <x v="8"/>
    <s v="S12000008"/>
    <n v="467"/>
    <n v="836"/>
    <n v="1303"/>
    <n v="506"/>
    <n v="256"/>
    <n v="762"/>
    <n v="57324"/>
    <n v="2.2730000000000001"/>
    <n v="1.329"/>
    <n v="54401"/>
    <n v="2.395"/>
    <n v="1.401"/>
  </r>
  <r>
    <x v="1"/>
    <x v="9"/>
    <s v="S12000045"/>
    <n v="562"/>
    <n v="539"/>
    <n v="1101"/>
    <n v="734"/>
    <n v="214"/>
    <n v="948"/>
    <n v="45281"/>
    <n v="2.431"/>
    <n v="2.0939999999999999"/>
    <n v="44504"/>
    <n v="2.4740000000000002"/>
    <n v="2.13"/>
  </r>
  <r>
    <x v="1"/>
    <x v="10"/>
    <s v="S12000010"/>
    <n v="737"/>
    <n v="511"/>
    <n v="1248"/>
    <n v="708"/>
    <n v="526"/>
    <n v="1234"/>
    <n v="45968"/>
    <n v="2.7149999999999999"/>
    <n v="2.6840000000000002"/>
    <n v="43981"/>
    <n v="2.8380000000000001"/>
    <n v="2.806"/>
  </r>
  <r>
    <x v="1"/>
    <x v="11"/>
    <s v="S12000011"/>
    <n v="546"/>
    <n v="689"/>
    <n v="1235"/>
    <n v="549"/>
    <n v="267"/>
    <n v="816"/>
    <n v="37852"/>
    <n v="3.2629999999999999"/>
    <n v="2.1560000000000001"/>
    <n v="38048"/>
    <n v="3.246"/>
    <n v="2.145"/>
  </r>
  <r>
    <x v="1"/>
    <x v="12"/>
    <s v="S12000014"/>
    <n v="533"/>
    <n v="1084"/>
    <n v="1617"/>
    <n v="573"/>
    <n v="201"/>
    <n v="774"/>
    <n v="72624"/>
    <n v="2.2269999999999999"/>
    <n v="1.0660000000000001"/>
    <n v="69693"/>
    <n v="2.3199999999999998"/>
    <n v="1.111"/>
  </r>
  <r>
    <x v="1"/>
    <x v="13"/>
    <s v="S12000015"/>
    <n v="3404"/>
    <n v="3462"/>
    <n v="6866"/>
    <n v="3640"/>
    <n v="1737"/>
    <n v="5377"/>
    <n v="172425"/>
    <n v="3.9820000000000002"/>
    <n v="3.1179999999999999"/>
    <n v="163958"/>
    <n v="4.1879999999999997"/>
    <n v="3.2789999999999999"/>
  </r>
  <r>
    <x v="1"/>
    <x v="14"/>
    <s v="S12000046"/>
    <n v="2493"/>
    <n v="3638"/>
    <n v="6131"/>
    <n v="2836"/>
    <n v="867"/>
    <n v="3703"/>
    <n v="301891"/>
    <n v="2.0310000000000001"/>
    <n v="1.2270000000000001"/>
    <n v="286377"/>
    <n v="2.141"/>
    <n v="1.2929999999999999"/>
  </r>
  <r>
    <x v="1"/>
    <x v="15"/>
    <s v="S12000017"/>
    <n v="962"/>
    <n v="2623"/>
    <n v="3585"/>
    <n v="1042"/>
    <n v="500"/>
    <n v="1542"/>
    <n v="114603"/>
    <n v="3.1280000000000001"/>
    <n v="1.3460000000000001"/>
    <n v="105711"/>
    <n v="3.391"/>
    <n v="1.4590000000000001"/>
  </r>
  <r>
    <x v="1"/>
    <x v="16"/>
    <s v="S12000018"/>
    <n v="673"/>
    <n v="631"/>
    <n v="1304"/>
    <n v="636"/>
    <n v="386"/>
    <n v="1022"/>
    <n v="38699"/>
    <n v="3.37"/>
    <n v="2.641"/>
    <n v="37384"/>
    <n v="3.488"/>
    <n v="2.734"/>
  </r>
  <r>
    <x v="1"/>
    <x v="17"/>
    <s v="S12000019"/>
    <n v="479"/>
    <n v="491"/>
    <n v="970"/>
    <n v="465"/>
    <n v="272"/>
    <n v="737"/>
    <n v="38159"/>
    <n v="2.5419999999999998"/>
    <n v="1.931"/>
    <n v="36602"/>
    <n v="2.65"/>
    <n v="2.0139999999999998"/>
  </r>
  <r>
    <x v="1"/>
    <x v="18"/>
    <s v="S12000020"/>
    <n v="372"/>
    <n v="356"/>
    <n v="728"/>
    <n v="336"/>
    <n v="293"/>
    <n v="629"/>
    <n v="43788"/>
    <n v="1.663"/>
    <n v="1.4359999999999999"/>
    <n v="41288"/>
    <n v="1.7629999999999999"/>
    <n v="1.5230000000000001"/>
  </r>
  <r>
    <x v="1"/>
    <x v="19"/>
    <s v="S12000013"/>
    <n v="93"/>
    <n v="199"/>
    <n v="292"/>
    <n v="116"/>
    <n v="30"/>
    <n v="146"/>
    <n v="14520"/>
    <n v="2.0110000000000001"/>
    <n v="1.006"/>
    <n v="12920"/>
    <n v="2.2599999999999998"/>
    <n v="1.1299999999999999"/>
  </r>
  <r>
    <x v="1"/>
    <x v="20"/>
    <s v="S12000021"/>
    <n v="901"/>
    <n v="964"/>
    <n v="1865"/>
    <n v="932"/>
    <n v="551"/>
    <n v="1483"/>
    <n v="67204"/>
    <n v="2.7749999999999999"/>
    <n v="2.2069999999999999"/>
    <n v="62802"/>
    <n v="2.9699999999999998"/>
    <n v="2.3609999999999998"/>
  </r>
  <r>
    <x v="1"/>
    <x v="21"/>
    <s v="S12000044"/>
    <n v="1427"/>
    <n v="2067"/>
    <n v="3494"/>
    <n v="1929"/>
    <n v="499"/>
    <n v="2428"/>
    <n v="151424"/>
    <n v="2.3069999999999999"/>
    <n v="1.603"/>
    <n v="148610"/>
    <n v="2.351"/>
    <n v="1.6339999999999999"/>
  </r>
  <r>
    <x v="1"/>
    <x v="22"/>
    <s v="S12000023"/>
    <n v="87"/>
    <n v="161"/>
    <n v="248"/>
    <n v="64"/>
    <n v="81"/>
    <n v="145"/>
    <n v="10816"/>
    <n v="2.2930000000000001"/>
    <n v="1.341"/>
    <n v="10042"/>
    <n v="2.4699999999999998"/>
    <n v="1.444"/>
  </r>
  <r>
    <x v="1"/>
    <x v="23"/>
    <s v="S12000024"/>
    <n v="635"/>
    <n v="1787"/>
    <n v="2422"/>
    <n v="628"/>
    <n v="319"/>
    <n v="947"/>
    <n v="70312"/>
    <n v="3.4449999999999998"/>
    <n v="1.347"/>
    <n v="66035"/>
    <n v="3.6680000000000001"/>
    <n v="1.4339999999999999"/>
  </r>
  <r>
    <x v="1"/>
    <x v="24"/>
    <s v="S12000038"/>
    <n v="884"/>
    <n v="1268"/>
    <n v="2152"/>
    <n v="1019"/>
    <n v="425"/>
    <n v="1444"/>
    <n v="84442"/>
    <n v="2.548"/>
    <n v="1.71"/>
    <n v="82385"/>
    <n v="2.6120000000000001"/>
    <n v="1.7530000000000001"/>
  </r>
  <r>
    <x v="1"/>
    <x v="25"/>
    <s v="S12000026"/>
    <n v="1229"/>
    <n v="1194"/>
    <n v="2423"/>
    <n v="844"/>
    <n v="1072"/>
    <n v="1916"/>
    <n v="57274"/>
    <n v="4.2309999999999999"/>
    <n v="3.3449999999999998"/>
    <n v="53157"/>
    <n v="4.5579999999999998"/>
    <n v="3.6040000000000001"/>
  </r>
  <r>
    <x v="1"/>
    <x v="26"/>
    <s v="S12000027"/>
    <n v="55"/>
    <n v="168"/>
    <n v="223"/>
    <n v="60"/>
    <n v="42"/>
    <n v="102"/>
    <n v="10950"/>
    <n v="2.0369999999999999"/>
    <n v="0.93200000000000005"/>
    <n v="10166"/>
    <n v="2.194"/>
    <n v="1.0029999999999999"/>
  </r>
  <r>
    <x v="1"/>
    <x v="27"/>
    <s v="S12000028"/>
    <n v="608"/>
    <n v="517"/>
    <n v="1125"/>
    <n v="715"/>
    <n v="318"/>
    <n v="1033"/>
    <n v="54489"/>
    <n v="2.0649999999999999"/>
    <n v="1.8959999999999999"/>
    <n v="51874"/>
    <n v="2.169"/>
    <n v="1.9910000000000001"/>
  </r>
  <r>
    <x v="1"/>
    <x v="28"/>
    <s v="S12000029"/>
    <n v="1155"/>
    <n v="1979"/>
    <n v="3134"/>
    <n v="1410"/>
    <n v="474"/>
    <n v="1884"/>
    <n v="146925"/>
    <n v="2.133"/>
    <n v="1.282"/>
    <n v="142286"/>
    <n v="2.2029999999999998"/>
    <n v="1.3240000000000001"/>
  </r>
  <r>
    <x v="1"/>
    <x v="29"/>
    <s v="S12000030"/>
    <n v="352"/>
    <n v="667"/>
    <n v="1019"/>
    <n v="391"/>
    <n v="166"/>
    <n v="557"/>
    <n v="40320"/>
    <n v="2.5270000000000001"/>
    <n v="1.381"/>
    <n v="38310"/>
    <n v="2.66"/>
    <n v="1.454"/>
  </r>
  <r>
    <x v="1"/>
    <x v="30"/>
    <s v="S12000039"/>
    <n v="402"/>
    <n v="519"/>
    <n v="921"/>
    <n v="471"/>
    <n v="160"/>
    <n v="631"/>
    <n v="44734"/>
    <n v="2.0590000000000002"/>
    <n v="1.411"/>
    <n v="42353"/>
    <n v="2.1749999999999998"/>
    <n v="1.49"/>
  </r>
  <r>
    <x v="1"/>
    <x v="31"/>
    <s v="S12000040"/>
    <n v="1103"/>
    <n v="638"/>
    <n v="1741"/>
    <n v="967"/>
    <n v="813"/>
    <n v="1780"/>
    <n v="77186"/>
    <n v="2.2560000000000002"/>
    <n v="2.306"/>
    <n v="75035"/>
    <n v="2.3199999999999998"/>
    <n v="2.3719999999999999"/>
  </r>
  <r>
    <x v="2"/>
    <x v="0"/>
    <s v="S12000033"/>
    <n v="572"/>
    <n v="2074"/>
    <n v="2646"/>
    <n v="538"/>
    <n v="281"/>
    <n v="819"/>
    <n v="114234"/>
    <n v="2.3159999999999998"/>
    <n v="0.71699999999999997"/>
    <n v="105311"/>
    <n v="2.5129999999999999"/>
    <n v="0.77800000000000002"/>
  </r>
  <r>
    <x v="2"/>
    <x v="1"/>
    <s v="S12000034"/>
    <n v="683"/>
    <n v="1249"/>
    <n v="1932"/>
    <n v="648"/>
    <n v="431"/>
    <n v="1079"/>
    <n v="115223"/>
    <n v="1.677"/>
    <n v="0.93600000000000005"/>
    <n v="109631"/>
    <n v="1.762"/>
    <n v="0.98399999999999999"/>
  </r>
  <r>
    <x v="2"/>
    <x v="2"/>
    <s v="S12000041"/>
    <n v="485"/>
    <n v="1685"/>
    <n v="2170"/>
    <n v="462"/>
    <n v="262"/>
    <n v="724"/>
    <n v="55619"/>
    <n v="3.9020000000000001"/>
    <n v="1.302"/>
    <n v="53142"/>
    <n v="4.0830000000000002"/>
    <n v="1.3620000000000001"/>
  </r>
  <r>
    <x v="2"/>
    <x v="3"/>
    <s v="S12000035"/>
    <n v="667"/>
    <n v="980"/>
    <n v="1647"/>
    <n v="562"/>
    <n v="512"/>
    <n v="1074"/>
    <n v="47712"/>
    <n v="3.452"/>
    <n v="2.2509999999999999"/>
    <n v="40938"/>
    <n v="4.0229999999999997"/>
    <n v="2.6230000000000002"/>
  </r>
  <r>
    <x v="2"/>
    <x v="4"/>
    <s v="S12000036"/>
    <n v="2759"/>
    <n v="2546"/>
    <n v="5305"/>
    <n v="2752"/>
    <n v="1091"/>
    <n v="3843"/>
    <n v="241433"/>
    <n v="2.1970000000000001"/>
    <n v="1.5920000000000001"/>
    <n v="229650"/>
    <n v="2.31"/>
    <n v="1.673"/>
  </r>
  <r>
    <x v="2"/>
    <x v="5"/>
    <s v="S12000005"/>
    <n v="243"/>
    <n v="382"/>
    <n v="625"/>
    <n v="229"/>
    <n v="130"/>
    <n v="359"/>
    <n v="24114"/>
    <n v="2.5920000000000001"/>
    <n v="1.4889999999999999"/>
    <n v="23333"/>
    <n v="2.6790000000000003"/>
    <n v="1.5390000000000001"/>
  </r>
  <r>
    <x v="2"/>
    <x v="6"/>
    <s v="S12000006"/>
    <n v="1086"/>
    <n v="1068"/>
    <n v="2154"/>
    <n v="923"/>
    <n v="558"/>
    <n v="1481"/>
    <n v="74190"/>
    <n v="2.903"/>
    <n v="1.996"/>
    <n v="68999"/>
    <n v="3.1219999999999999"/>
    <n v="2.1459999999999999"/>
  </r>
  <r>
    <x v="2"/>
    <x v="7"/>
    <s v="S12000042"/>
    <n v="849"/>
    <n v="3502"/>
    <n v="4351"/>
    <n v="818"/>
    <n v="370"/>
    <n v="1188"/>
    <n v="73689"/>
    <n v="5.9050000000000002"/>
    <n v="1.6120000000000001"/>
    <n v="69534"/>
    <n v="6.2569999999999997"/>
    <n v="1.7090000000000001"/>
  </r>
  <r>
    <x v="2"/>
    <x v="8"/>
    <s v="S12000008"/>
    <n v="509"/>
    <n v="828"/>
    <n v="1337"/>
    <n v="543"/>
    <n v="320"/>
    <n v="863"/>
    <n v="57654"/>
    <n v="2.319"/>
    <n v="1.4969999999999999"/>
    <n v="54570"/>
    <n v="2.4500000000000002"/>
    <n v="1.581"/>
  </r>
  <r>
    <x v="2"/>
    <x v="9"/>
    <s v="S12000045"/>
    <n v="662"/>
    <n v="793"/>
    <n v="1455"/>
    <n v="844"/>
    <n v="248"/>
    <n v="1092"/>
    <n v="45678"/>
    <n v="3.1850000000000001"/>
    <n v="2.391"/>
    <n v="45008"/>
    <n v="3.2330000000000001"/>
    <n v="2.4260000000000002"/>
  </r>
  <r>
    <x v="2"/>
    <x v="10"/>
    <s v="S12000010"/>
    <n v="716"/>
    <n v="704"/>
    <n v="1420"/>
    <n v="715"/>
    <n v="505"/>
    <n v="1220"/>
    <n v="46332"/>
    <n v="3.0649999999999999"/>
    <n v="2.633"/>
    <n v="44384"/>
    <n v="3.1989999999999998"/>
    <n v="2.7490000000000001"/>
  </r>
  <r>
    <x v="2"/>
    <x v="11"/>
    <s v="S12000011"/>
    <n v="587"/>
    <n v="1106"/>
    <n v="1693"/>
    <n v="640"/>
    <n v="250"/>
    <n v="890"/>
    <n v="38061"/>
    <n v="4.4480000000000004"/>
    <n v="2.3380000000000001"/>
    <n v="38270"/>
    <n v="4.4240000000000004"/>
    <n v="2.3260000000000001"/>
  </r>
  <r>
    <x v="2"/>
    <x v="12"/>
    <s v="S12000014"/>
    <n v="552"/>
    <n v="1153"/>
    <n v="1705"/>
    <n v="631"/>
    <n v="207"/>
    <n v="838"/>
    <n v="73290"/>
    <n v="2.3260000000000001"/>
    <n v="1.143"/>
    <n v="70431"/>
    <n v="2.4209999999999998"/>
    <n v="1.19"/>
  </r>
  <r>
    <x v="2"/>
    <x v="13"/>
    <s v="S12000015"/>
    <n v="3204"/>
    <n v="3874"/>
    <n v="7078"/>
    <n v="3231"/>
    <n v="1803"/>
    <n v="5034"/>
    <n v="173366"/>
    <n v="4.0830000000000002"/>
    <n v="2.9039999999999999"/>
    <n v="164705"/>
    <n v="4.2969999999999997"/>
    <n v="3.056"/>
  </r>
  <r>
    <x v="2"/>
    <x v="14"/>
    <s v="S12000046"/>
    <n v="2649"/>
    <n v="3737"/>
    <n v="6386"/>
    <n v="2864"/>
    <n v="956"/>
    <n v="3820"/>
    <n v="304013"/>
    <n v="2.101"/>
    <n v="1.2570000000000001"/>
    <n v="287862"/>
    <n v="2.218"/>
    <n v="1.327"/>
  </r>
  <r>
    <x v="2"/>
    <x v="15"/>
    <s v="S12000017"/>
    <n v="1073"/>
    <n v="2605"/>
    <n v="3678"/>
    <n v="1225"/>
    <n v="526"/>
    <n v="1751"/>
    <n v="115538"/>
    <n v="3.1829999999999998"/>
    <n v="1.516"/>
    <n v="106834"/>
    <n v="3.4430000000000001"/>
    <n v="1.639"/>
  </r>
  <r>
    <x v="2"/>
    <x v="16"/>
    <s v="S12000018"/>
    <n v="758"/>
    <n v="936"/>
    <n v="1694"/>
    <n v="685"/>
    <n v="396"/>
    <n v="1081"/>
    <n v="38787"/>
    <n v="4.367"/>
    <n v="2.7869999999999999"/>
    <n v="37426"/>
    <n v="4.5259999999999998"/>
    <n v="2.8879999999999999"/>
  </r>
  <r>
    <x v="2"/>
    <x v="17"/>
    <s v="S12000019"/>
    <n v="574"/>
    <n v="527"/>
    <n v="1101"/>
    <n v="474"/>
    <n v="435"/>
    <n v="909"/>
    <n v="38675"/>
    <n v="2.847"/>
    <n v="2.35"/>
    <n v="37069"/>
    <n v="2.9699999999999998"/>
    <n v="2.452"/>
  </r>
  <r>
    <x v="2"/>
    <x v="18"/>
    <s v="S12000020"/>
    <n v="426"/>
    <n v="479"/>
    <n v="905"/>
    <n v="383"/>
    <n v="384"/>
    <n v="767"/>
    <n v="44096"/>
    <n v="2.052"/>
    <n v="1.7389999999999999"/>
    <n v="41641"/>
    <n v="2.173"/>
    <n v="1.8420000000000001"/>
  </r>
  <r>
    <x v="2"/>
    <x v="19"/>
    <s v="S12000013"/>
    <n v="114"/>
    <n v="205"/>
    <n v="319"/>
    <n v="144"/>
    <n v="41"/>
    <n v="185"/>
    <n v="14577"/>
    <n v="2.1880000000000002"/>
    <n v="1.2690000000000001"/>
    <n v="12968"/>
    <n v="2.46"/>
    <n v="1.427"/>
  </r>
  <r>
    <x v="2"/>
    <x v="20"/>
    <s v="S12000021"/>
    <n v="932"/>
    <n v="1137"/>
    <n v="2069"/>
    <n v="954"/>
    <n v="531"/>
    <n v="1485"/>
    <n v="67590"/>
    <n v="3.0609999999999999"/>
    <n v="2.1970000000000001"/>
    <n v="63189"/>
    <n v="3.274"/>
    <n v="2.35"/>
  </r>
  <r>
    <x v="2"/>
    <x v="21"/>
    <s v="S12000044"/>
    <n v="1654"/>
    <n v="2505"/>
    <n v="4159"/>
    <n v="2213"/>
    <n v="542"/>
    <n v="2755"/>
    <n v="152293"/>
    <n v="2.7309999999999999"/>
    <n v="1.8090000000000002"/>
    <n v="149282"/>
    <n v="2.786"/>
    <n v="1.8460000000000001"/>
  </r>
  <r>
    <x v="2"/>
    <x v="22"/>
    <s v="S12000023"/>
    <n v="134"/>
    <n v="192"/>
    <n v="326"/>
    <n v="109"/>
    <n v="92"/>
    <n v="201"/>
    <n v="10924"/>
    <n v="2.984"/>
    <n v="1.8399999999999999"/>
    <n v="10146"/>
    <n v="3.2130000000000001"/>
    <n v="1.9809999999999999"/>
  </r>
  <r>
    <x v="2"/>
    <x v="23"/>
    <s v="S12000024"/>
    <n v="443"/>
    <n v="1554"/>
    <n v="1997"/>
    <n v="437"/>
    <n v="234"/>
    <n v="671"/>
    <n v="70828"/>
    <n v="2.82"/>
    <n v="0.94699999999999995"/>
    <n v="66545"/>
    <n v="3.0009999999999999"/>
    <n v="1.008"/>
  </r>
  <r>
    <x v="2"/>
    <x v="24"/>
    <s v="S12000038"/>
    <n v="794"/>
    <n v="944"/>
    <n v="1738"/>
    <n v="865"/>
    <n v="399"/>
    <n v="1264"/>
    <n v="84997"/>
    <n v="2.0449999999999999"/>
    <n v="1.4870000000000001"/>
    <n v="83245"/>
    <n v="2.0880000000000001"/>
    <n v="1.518"/>
  </r>
  <r>
    <x v="2"/>
    <x v="25"/>
    <s v="S12000026"/>
    <n v="1347"/>
    <n v="1196"/>
    <n v="2543"/>
    <n v="802"/>
    <n v="1330"/>
    <n v="2132"/>
    <n v="57628"/>
    <n v="4.4130000000000003"/>
    <n v="3.7"/>
    <n v="53351"/>
    <n v="4.7670000000000003"/>
    <n v="3.996"/>
  </r>
  <r>
    <x v="2"/>
    <x v="26"/>
    <s v="S12000027"/>
    <n v="100"/>
    <n v="177"/>
    <n v="277"/>
    <n v="101"/>
    <n v="94"/>
    <n v="195"/>
    <n v="11021"/>
    <n v="2.5129999999999999"/>
    <n v="1.7690000000000001"/>
    <n v="10235"/>
    <n v="2.706"/>
    <n v="1.905"/>
  </r>
  <r>
    <x v="2"/>
    <x v="27"/>
    <s v="S12000028"/>
    <n v="657"/>
    <n v="731"/>
    <n v="1388"/>
    <n v="688"/>
    <n v="380"/>
    <n v="1068"/>
    <n v="54635"/>
    <n v="2.54"/>
    <n v="1.9550000000000001"/>
    <n v="51912"/>
    <n v="2.6739999999999999"/>
    <n v="2.0569999999999999"/>
  </r>
  <r>
    <x v="2"/>
    <x v="28"/>
    <s v="S12000029"/>
    <n v="1189"/>
    <n v="2143"/>
    <n v="3332"/>
    <n v="1396"/>
    <n v="511"/>
    <n v="1907"/>
    <n v="147849"/>
    <n v="2.254"/>
    <n v="1.29"/>
    <n v="143313"/>
    <n v="2.3250000000000002"/>
    <n v="1.331"/>
  </r>
  <r>
    <x v="2"/>
    <x v="29"/>
    <s v="S12000030"/>
    <n v="358"/>
    <n v="653"/>
    <n v="1011"/>
    <n v="384"/>
    <n v="181"/>
    <n v="565"/>
    <n v="40646"/>
    <n v="2.4870000000000001"/>
    <n v="1.3900000000000001"/>
    <n v="38665"/>
    <n v="2.6150000000000002"/>
    <n v="1.4610000000000001"/>
  </r>
  <r>
    <x v="2"/>
    <x v="30"/>
    <s v="S12000039"/>
    <n v="470"/>
    <n v="934"/>
    <n v="1404"/>
    <n v="586"/>
    <n v="154"/>
    <n v="740"/>
    <n v="45056"/>
    <n v="3.1160000000000001"/>
    <n v="1.6419999999999999"/>
    <n v="42571"/>
    <n v="3.298"/>
    <n v="1.738"/>
  </r>
  <r>
    <x v="2"/>
    <x v="31"/>
    <s v="S12000040"/>
    <n v="1092"/>
    <n v="779"/>
    <n v="1871"/>
    <n v="1051"/>
    <n v="659"/>
    <n v="1710"/>
    <n v="77834"/>
    <n v="2.4039999999999999"/>
    <n v="2.1970000000000001"/>
    <n v="75782"/>
    <n v="2.4689999999999999"/>
    <n v="2.2560000000000002"/>
  </r>
  <r>
    <x v="3"/>
    <x v="0"/>
    <s v="S12000033"/>
    <n v="466"/>
    <n v="1427"/>
    <n v="1893"/>
    <n v="374"/>
    <n v="299"/>
    <n v="673"/>
    <n v="115080"/>
    <n v="1.645"/>
    <n v="0.58499999999999996"/>
    <n v="106749"/>
    <n v="1.7730000000000001"/>
    <n v="0.63"/>
  </r>
  <r>
    <x v="3"/>
    <x v="1"/>
    <s v="S12000034"/>
    <n v="739"/>
    <n v="1595"/>
    <n v="2334"/>
    <n v="712"/>
    <n v="510"/>
    <n v="1222"/>
    <n v="116421"/>
    <n v="2.0049999999999999"/>
    <n v="1.05"/>
    <n v="110296"/>
    <n v="2.1160000000000001"/>
    <n v="1.1080000000000001"/>
  </r>
  <r>
    <x v="3"/>
    <x v="2"/>
    <s v="S12000041"/>
    <n v="499"/>
    <n v="1528"/>
    <n v="2027"/>
    <n v="450"/>
    <n v="277"/>
    <n v="727"/>
    <n v="55872"/>
    <n v="3.6280000000000001"/>
    <n v="1.3009999999999999"/>
    <n v="53333"/>
    <n v="3.8010000000000002"/>
    <n v="1.363"/>
  </r>
  <r>
    <x v="3"/>
    <x v="3"/>
    <s v="S12000035"/>
    <n v="630"/>
    <n v="925"/>
    <n v="1555"/>
    <n v="481"/>
    <n v="497"/>
    <n v="978"/>
    <n v="47780"/>
    <n v="3.254"/>
    <n v="2.0470000000000002"/>
    <n v="41040"/>
    <n v="3.7890000000000001"/>
    <n v="2.383"/>
  </r>
  <r>
    <x v="3"/>
    <x v="4"/>
    <s v="S12000036"/>
    <n v="2671"/>
    <n v="2368"/>
    <n v="5039"/>
    <n v="2446"/>
    <n v="1264"/>
    <n v="3710"/>
    <n v="244131"/>
    <n v="2.0640000000000001"/>
    <n v="1.52"/>
    <n v="231383"/>
    <n v="2.1779999999999999"/>
    <n v="1.603"/>
  </r>
  <r>
    <x v="3"/>
    <x v="5"/>
    <s v="S12000005"/>
    <n v="270"/>
    <n v="361"/>
    <n v="631"/>
    <n v="281"/>
    <n v="120"/>
    <n v="401"/>
    <n v="24221"/>
    <n v="2.605"/>
    <n v="1.6560000000000001"/>
    <n v="23401"/>
    <n v="2.6959999999999997"/>
    <n v="1.714"/>
  </r>
  <r>
    <x v="3"/>
    <x v="6"/>
    <s v="S12000006"/>
    <n v="1262"/>
    <n v="848"/>
    <n v="2110"/>
    <n v="1150"/>
    <n v="642"/>
    <n v="1792"/>
    <n v="74453"/>
    <n v="2.8340000000000001"/>
    <n v="2.407"/>
    <n v="69202"/>
    <n v="3.0489999999999999"/>
    <n v="2.59"/>
  </r>
  <r>
    <x v="3"/>
    <x v="7"/>
    <s v="S12000042"/>
    <n v="870"/>
    <n v="3053"/>
    <n v="3923"/>
    <n v="823"/>
    <n v="377"/>
    <n v="1200"/>
    <n v="74026"/>
    <n v="5.2990000000000004"/>
    <n v="1.621"/>
    <n v="69635"/>
    <n v="5.6340000000000003"/>
    <n v="1.7229999999999999"/>
  </r>
  <r>
    <x v="3"/>
    <x v="8"/>
    <s v="S12000008"/>
    <n v="574"/>
    <n v="681"/>
    <n v="1255"/>
    <n v="584"/>
    <n v="364"/>
    <n v="948"/>
    <n v="57873"/>
    <n v="2.169"/>
    <n v="1.6379999999999999"/>
    <n v="54748"/>
    <n v="2.2919999999999998"/>
    <n v="1.732"/>
  </r>
  <r>
    <x v="3"/>
    <x v="9"/>
    <s v="S12000045"/>
    <n v="720"/>
    <n v="659"/>
    <n v="1379"/>
    <n v="857"/>
    <n v="291"/>
    <n v="1148"/>
    <n v="46026"/>
    <n v="2.996"/>
    <n v="2.4939999999999998"/>
    <n v="45350"/>
    <n v="3.0409999999999999"/>
    <n v="2.5310000000000001"/>
  </r>
  <r>
    <x v="3"/>
    <x v="10"/>
    <s v="S12000010"/>
    <n v="596"/>
    <n v="578"/>
    <n v="1174"/>
    <n v="608"/>
    <n v="364"/>
    <n v="972"/>
    <n v="46672"/>
    <n v="2.5150000000000001"/>
    <n v="2.0830000000000002"/>
    <n v="44749"/>
    <n v="2.6240000000000001"/>
    <n v="2.1720000000000002"/>
  </r>
  <r>
    <x v="3"/>
    <x v="11"/>
    <s v="S12000011"/>
    <n v="644"/>
    <n v="916"/>
    <n v="1560"/>
    <n v="686"/>
    <n v="274"/>
    <n v="960"/>
    <n v="38389"/>
    <n v="4.0640000000000001"/>
    <n v="2.5009999999999999"/>
    <n v="38581"/>
    <n v="4.0430000000000001"/>
    <n v="2.488"/>
  </r>
  <r>
    <x v="3"/>
    <x v="12"/>
    <s v="S12000014"/>
    <n v="570"/>
    <n v="980"/>
    <n v="1550"/>
    <n v="612"/>
    <n v="266"/>
    <n v="878"/>
    <n v="73767"/>
    <n v="2.101"/>
    <n v="1.19"/>
    <n v="71072"/>
    <n v="2.181"/>
    <n v="1.2349999999999999"/>
  </r>
  <r>
    <x v="3"/>
    <x v="13"/>
    <s v="S12000015"/>
    <n v="3392"/>
    <n v="3061"/>
    <n v="6453"/>
    <n v="3462"/>
    <n v="1853"/>
    <n v="5315"/>
    <n v="174528"/>
    <n v="3.6970000000000001"/>
    <n v="3.0449999999999999"/>
    <n v="165833"/>
    <n v="3.891"/>
    <n v="3.2050000000000001"/>
  </r>
  <r>
    <x v="3"/>
    <x v="14"/>
    <s v="S12000046"/>
    <n v="2485"/>
    <n v="3499"/>
    <n v="5984"/>
    <n v="2530"/>
    <n v="949"/>
    <n v="3479"/>
    <n v="306000"/>
    <n v="1.956"/>
    <n v="1.137"/>
    <n v="289399"/>
    <n v="2.0680000000000001"/>
    <n v="1.202"/>
  </r>
  <r>
    <x v="3"/>
    <x v="15"/>
    <s v="S12000017"/>
    <n v="1215"/>
    <n v="3439"/>
    <n v="4654"/>
    <n v="1204"/>
    <n v="702"/>
    <n v="1906"/>
    <n v="116453"/>
    <n v="3.996"/>
    <n v="1.637"/>
    <n v="107573"/>
    <n v="4.3259999999999996"/>
    <n v="1.772"/>
  </r>
  <r>
    <x v="3"/>
    <x v="16"/>
    <s v="S12000018"/>
    <n v="797"/>
    <n v="1003"/>
    <n v="1800"/>
    <n v="621"/>
    <n v="567"/>
    <n v="1188"/>
    <n v="38835"/>
    <n v="4.6349999999999998"/>
    <n v="3.0590000000000002"/>
    <n v="37586"/>
    <n v="4.7889999999999997"/>
    <n v="3.161"/>
  </r>
  <r>
    <x v="3"/>
    <x v="17"/>
    <s v="S12000019"/>
    <n v="528"/>
    <n v="438"/>
    <n v="966"/>
    <n v="416"/>
    <n v="424"/>
    <n v="840"/>
    <n v="39297"/>
    <n v="2.4580000000000002"/>
    <n v="2.1379999999999999"/>
    <n v="37766"/>
    <n v="2.5579999999999998"/>
    <n v="2.2240000000000002"/>
  </r>
  <r>
    <x v="3"/>
    <x v="18"/>
    <s v="S12000020"/>
    <n v="768"/>
    <n v="1016"/>
    <n v="1784"/>
    <n v="709"/>
    <n v="647"/>
    <n v="1356"/>
    <n v="44454"/>
    <n v="4.0129999999999999"/>
    <n v="3.05"/>
    <n v="41961"/>
    <n v="4.2519999999999998"/>
    <n v="3.2320000000000002"/>
  </r>
  <r>
    <x v="3"/>
    <x v="19"/>
    <s v="S12000013"/>
    <n v="94"/>
    <n v="249"/>
    <n v="343"/>
    <n v="95"/>
    <n v="46"/>
    <n v="141"/>
    <n v="14599"/>
    <n v="2.3490000000000002"/>
    <n v="0.96599999999999997"/>
    <n v="12951"/>
    <n v="2.6480000000000001"/>
    <n v="1.089"/>
  </r>
  <r>
    <x v="3"/>
    <x v="20"/>
    <s v="S12000021"/>
    <n v="905"/>
    <n v="1053"/>
    <n v="1958"/>
    <n v="831"/>
    <n v="575"/>
    <n v="1406"/>
    <n v="67800"/>
    <n v="2.8879999999999999"/>
    <n v="2.0739999999999998"/>
    <n v="63440"/>
    <n v="3.0859999999999999"/>
    <n v="2.2160000000000002"/>
  </r>
  <r>
    <x v="3"/>
    <x v="21"/>
    <s v="S12000044"/>
    <n v="1400"/>
    <n v="2084"/>
    <n v="3484"/>
    <n v="1722"/>
    <n v="548"/>
    <n v="2270"/>
    <n v="153388"/>
    <n v="2.2709999999999999"/>
    <n v="1.48"/>
    <n v="150364"/>
    <n v="2.3170000000000002"/>
    <n v="1.51"/>
  </r>
  <r>
    <x v="3"/>
    <x v="22"/>
    <s v="S12000023"/>
    <n v="116"/>
    <n v="272"/>
    <n v="388"/>
    <n v="90"/>
    <n v="90"/>
    <n v="180"/>
    <n v="11063"/>
    <n v="3.5070000000000001"/>
    <n v="1.627"/>
    <n v="10256"/>
    <n v="3.7829999999999999"/>
    <n v="1.7549999999999999"/>
  </r>
  <r>
    <x v="3"/>
    <x v="23"/>
    <s v="S12000024"/>
    <n v="466"/>
    <n v="1489"/>
    <n v="1955"/>
    <n v="375"/>
    <n v="285"/>
    <n v="660"/>
    <n v="71347"/>
    <n v="2.74"/>
    <n v="0.92500000000000004"/>
    <n v="67101"/>
    <n v="2.9140000000000001"/>
    <n v="0.98399999999999999"/>
  </r>
  <r>
    <x v="3"/>
    <x v="24"/>
    <s v="S12000038"/>
    <n v="1030"/>
    <n v="1105"/>
    <n v="2135"/>
    <n v="905"/>
    <n v="674"/>
    <n v="1579"/>
    <n v="85724"/>
    <n v="2.4910000000000001"/>
    <n v="1.8420000000000001"/>
    <n v="84025"/>
    <n v="2.5409999999999999"/>
    <n v="1.879"/>
  </r>
  <r>
    <x v="3"/>
    <x v="25"/>
    <s v="S12000026"/>
    <n v="1359"/>
    <n v="1477"/>
    <n v="2836"/>
    <n v="832"/>
    <n v="1288"/>
    <n v="2120"/>
    <n v="57940"/>
    <n v="4.8949999999999996"/>
    <n v="3.6589999999999998"/>
    <n v="53787"/>
    <n v="5.2729999999999997"/>
    <n v="3.9409999999999998"/>
  </r>
  <r>
    <x v="3"/>
    <x v="26"/>
    <s v="S12000027"/>
    <n v="86"/>
    <n v="283"/>
    <n v="369"/>
    <n v="90"/>
    <n v="70"/>
    <n v="160"/>
    <n v="11109"/>
    <n v="3.3220000000000001"/>
    <n v="1.44"/>
    <n v="10283"/>
    <n v="3.5880000000000001"/>
    <n v="1.556"/>
  </r>
  <r>
    <x v="3"/>
    <x v="27"/>
    <s v="S12000028"/>
    <n v="691"/>
    <n v="784"/>
    <n v="1475"/>
    <n v="697"/>
    <n v="405"/>
    <n v="1102"/>
    <n v="54942"/>
    <n v="2.6850000000000001"/>
    <n v="2.0059999999999998"/>
    <n v="51923"/>
    <n v="2.8410000000000002"/>
    <n v="2.1219999999999999"/>
  </r>
  <r>
    <x v="3"/>
    <x v="28"/>
    <s v="S12000029"/>
    <n v="1304"/>
    <n v="2091"/>
    <n v="3395"/>
    <n v="1516"/>
    <n v="593"/>
    <n v="2109"/>
    <n v="148771"/>
    <n v="2.282"/>
    <n v="1.4179999999999999"/>
    <n v="144148"/>
    <n v="2.355"/>
    <n v="1.4630000000000001"/>
  </r>
  <r>
    <x v="3"/>
    <x v="29"/>
    <s v="S12000030"/>
    <n v="336"/>
    <n v="720"/>
    <n v="1056"/>
    <n v="334"/>
    <n v="201"/>
    <n v="535"/>
    <n v="40998"/>
    <n v="2.5760000000000001"/>
    <n v="1.3049999999999999"/>
    <n v="38951"/>
    <n v="2.7109999999999999"/>
    <n v="1.3740000000000001"/>
  </r>
  <r>
    <x v="3"/>
    <x v="30"/>
    <s v="S12000039"/>
    <n v="558"/>
    <n v="1036"/>
    <n v="1594"/>
    <n v="620"/>
    <n v="238"/>
    <n v="858"/>
    <n v="45104"/>
    <n v="3.5339999999999998"/>
    <n v="1.9020000000000001"/>
    <n v="42657"/>
    <n v="3.7370000000000001"/>
    <n v="2.0110000000000001"/>
  </r>
  <r>
    <x v="3"/>
    <x v="31"/>
    <s v="S12000040"/>
    <n v="972"/>
    <n v="766"/>
    <n v="1738"/>
    <n v="837"/>
    <n v="665"/>
    <n v="1502"/>
    <n v="78604"/>
    <n v="2.2109999999999999"/>
    <n v="1.911"/>
    <n v="76630"/>
    <n v="2.2679999999999998"/>
    <n v="1.96"/>
  </r>
  <r>
    <x v="4"/>
    <x v="0"/>
    <s v="S12000033"/>
    <n v="478"/>
    <n v="1669"/>
    <n v="2147"/>
    <n v="432"/>
    <n v="260"/>
    <n v="692"/>
    <n v="116821"/>
    <n v="1.8380000000000001"/>
    <n v="0.59199999999999997"/>
    <n v="106802"/>
    <n v="2.0099999999999998"/>
    <n v="0.64800000000000002"/>
  </r>
  <r>
    <x v="4"/>
    <x v="1"/>
    <s v="S12000034"/>
    <n v="735"/>
    <n v="1405"/>
    <n v="2140"/>
    <n v="828"/>
    <n v="451"/>
    <n v="1279"/>
    <n v="117363"/>
    <n v="1.823"/>
    <n v="1.0900000000000001"/>
    <n v="110941"/>
    <n v="1.929"/>
    <n v="1.153"/>
  </r>
  <r>
    <x v="4"/>
    <x v="2"/>
    <s v="S12000041"/>
    <n v="469"/>
    <n v="1121"/>
    <n v="1590"/>
    <n v="434"/>
    <n v="216"/>
    <n v="650"/>
    <n v="56135"/>
    <n v="2.8319999999999999"/>
    <n v="1.1579999999999999"/>
    <n v="53627"/>
    <n v="2.9649999999999999"/>
    <n v="1.212"/>
  </r>
  <r>
    <x v="4"/>
    <x v="3"/>
    <s v="S12000035"/>
    <n v="650"/>
    <n v="1030"/>
    <n v="1680"/>
    <n v="503"/>
    <n v="462"/>
    <n v="965"/>
    <n v="47884"/>
    <n v="3.508"/>
    <n v="2.0150000000000001"/>
    <n v="41455"/>
    <n v="4.0529999999999999"/>
    <n v="2.3279999999999998"/>
  </r>
  <r>
    <x v="4"/>
    <x v="4"/>
    <s v="S12000036"/>
    <n v="2302"/>
    <n v="2297"/>
    <n v="4599"/>
    <n v="2309"/>
    <n v="888"/>
    <n v="3197"/>
    <n v="246818"/>
    <n v="1.863"/>
    <n v="1.2949999999999999"/>
    <n v="233369"/>
    <n v="1.9710000000000001"/>
    <n v="1.37"/>
  </r>
  <r>
    <x v="4"/>
    <x v="5"/>
    <s v="S12000005"/>
    <n v="205"/>
    <n v="360"/>
    <n v="565"/>
    <n v="233"/>
    <n v="85"/>
    <n v="318"/>
    <n v="24377"/>
    <n v="2.3180000000000001"/>
    <n v="1.3049999999999999"/>
    <n v="23563"/>
    <n v="2.3980000000000001"/>
    <n v="1.35"/>
  </r>
  <r>
    <x v="4"/>
    <x v="6"/>
    <s v="S12000006"/>
    <n v="1115"/>
    <n v="835"/>
    <n v="1950"/>
    <n v="1083"/>
    <n v="534"/>
    <n v="1617"/>
    <n v="74687"/>
    <n v="2.6109999999999998"/>
    <n v="2.165"/>
    <n v="69503"/>
    <n v="2.806"/>
    <n v="2.327"/>
  </r>
  <r>
    <x v="4"/>
    <x v="7"/>
    <s v="S12000042"/>
    <n v="661"/>
    <n v="2303"/>
    <n v="2964"/>
    <n v="624"/>
    <n v="289"/>
    <n v="913"/>
    <n v="74354"/>
    <n v="3.9859999999999998"/>
    <n v="1.228"/>
    <n v="70049"/>
    <n v="4.2309999999999999"/>
    <n v="1.3029999999999999"/>
  </r>
  <r>
    <x v="4"/>
    <x v="8"/>
    <s v="S12000008"/>
    <n v="485"/>
    <n v="664"/>
    <n v="1149"/>
    <n v="538"/>
    <n v="276"/>
    <n v="814"/>
    <n v="58158"/>
    <n v="1.976"/>
    <n v="1.4"/>
    <n v="54873"/>
    <n v="2.0939999999999999"/>
    <n v="1.4830000000000001"/>
  </r>
  <r>
    <x v="4"/>
    <x v="9"/>
    <s v="S12000045"/>
    <n v="721"/>
    <n v="684"/>
    <n v="1405"/>
    <n v="764"/>
    <n v="348"/>
    <n v="1112"/>
    <n v="46430"/>
    <n v="3.0259999999999998"/>
    <n v="2.395"/>
    <n v="45690"/>
    <n v="3.0750000000000002"/>
    <n v="2.4340000000000002"/>
  </r>
  <r>
    <x v="4"/>
    <x v="10"/>
    <s v="S12000010"/>
    <n v="540"/>
    <n v="494"/>
    <n v="1034"/>
    <n v="544"/>
    <n v="339"/>
    <n v="883"/>
    <n v="47407"/>
    <n v="2.181"/>
    <n v="1.863"/>
    <n v="45301"/>
    <n v="2.2829999999999999"/>
    <n v="1.9489999999999998"/>
  </r>
  <r>
    <x v="4"/>
    <x v="11"/>
    <s v="S12000011"/>
    <n v="604"/>
    <n v="662"/>
    <n v="1266"/>
    <n v="700"/>
    <n v="194"/>
    <n v="894"/>
    <n v="38677"/>
    <n v="3.2730000000000001"/>
    <n v="2.3109999999999999"/>
    <n v="38899"/>
    <n v="3.2549999999999999"/>
    <n v="2.298"/>
  </r>
  <r>
    <x v="4"/>
    <x v="12"/>
    <s v="S12000014"/>
    <n v="512"/>
    <n v="1083"/>
    <n v="1595"/>
    <n v="530"/>
    <n v="280"/>
    <n v="810"/>
    <n v="74361"/>
    <n v="2.145"/>
    <n v="1.089"/>
    <n v="71800"/>
    <n v="2.2210000000000001"/>
    <n v="1.1280000000000001"/>
  </r>
  <r>
    <x v="4"/>
    <x v="13"/>
    <s v="S12000015"/>
    <n v="3137"/>
    <n v="3401"/>
    <n v="6538"/>
    <n v="3292"/>
    <n v="1655"/>
    <n v="4947"/>
    <n v="175915"/>
    <n v="3.7170000000000001"/>
    <n v="2.8120000000000003"/>
    <n v="166960"/>
    <n v="3.9159999999999999"/>
    <n v="2.9630000000000001"/>
  </r>
  <r>
    <x v="4"/>
    <x v="14"/>
    <s v="S12000046"/>
    <n v="2973"/>
    <n v="5059"/>
    <n v="8032"/>
    <n v="3089"/>
    <n v="982"/>
    <n v="4071"/>
    <n v="308293"/>
    <n v="2.605"/>
    <n v="1.32"/>
    <n v="291115"/>
    <n v="2.7589999999999999"/>
    <n v="1.3980000000000001"/>
  </r>
  <r>
    <x v="4"/>
    <x v="15"/>
    <s v="S12000017"/>
    <n v="1288"/>
    <n v="3927"/>
    <n v="5215"/>
    <n v="1385"/>
    <n v="742"/>
    <n v="2127"/>
    <n v="117291"/>
    <n v="4.4459999999999997"/>
    <n v="1.8129999999999999"/>
    <n v="108319"/>
    <n v="4.8140000000000001"/>
    <n v="1.964"/>
  </r>
  <r>
    <x v="4"/>
    <x v="16"/>
    <s v="S12000018"/>
    <n v="712"/>
    <n v="762"/>
    <n v="1474"/>
    <n v="621"/>
    <n v="402"/>
    <n v="1023"/>
    <n v="38848"/>
    <n v="3.794"/>
    <n v="2.633"/>
    <n v="37651"/>
    <n v="3.915"/>
    <n v="2.7170000000000001"/>
  </r>
  <r>
    <x v="4"/>
    <x v="17"/>
    <s v="S12000019"/>
    <n v="489"/>
    <n v="509"/>
    <n v="998"/>
    <n v="349"/>
    <n v="448"/>
    <n v="797"/>
    <n v="39937"/>
    <n v="2.4990000000000001"/>
    <n v="1.996"/>
    <n v="38557"/>
    <n v="2.5880000000000001"/>
    <n v="2.0670000000000002"/>
  </r>
  <r>
    <x v="4"/>
    <x v="18"/>
    <s v="S12000020"/>
    <n v="609"/>
    <n v="826"/>
    <n v="1435"/>
    <n v="554"/>
    <n v="522"/>
    <n v="1076"/>
    <n v="44838"/>
    <n v="3.2"/>
    <n v="2.4"/>
    <n v="42269"/>
    <n v="3.395"/>
    <n v="2.5460000000000003"/>
  </r>
  <r>
    <x v="4"/>
    <x v="19"/>
    <s v="S12000013"/>
    <n v="125"/>
    <n v="223"/>
    <n v="348"/>
    <n v="171"/>
    <n v="11"/>
    <n v="182"/>
    <n v="14714"/>
    <n v="2.3650000000000002"/>
    <n v="1.2370000000000001"/>
    <n v="12805"/>
    <n v="2.718"/>
    <n v="1.421"/>
  </r>
  <r>
    <x v="4"/>
    <x v="20"/>
    <s v="S12000021"/>
    <n v="805"/>
    <n v="932"/>
    <n v="1737"/>
    <n v="822"/>
    <n v="457"/>
    <n v="1279"/>
    <n v="67960"/>
    <n v="2.556"/>
    <n v="1.8820000000000001"/>
    <n v="63756"/>
    <n v="2.7240000000000002"/>
    <n v="2.0059999999999998"/>
  </r>
  <r>
    <x v="4"/>
    <x v="21"/>
    <s v="S12000044"/>
    <n v="1327"/>
    <n v="1990"/>
    <n v="3317"/>
    <n v="1744"/>
    <n v="446"/>
    <n v="2190"/>
    <n v="154286"/>
    <n v="2.15"/>
    <n v="1.419"/>
    <n v="151155"/>
    <n v="2.194"/>
    <n v="1.4490000000000001"/>
  </r>
  <r>
    <x v="4"/>
    <x v="22"/>
    <s v="S12000023"/>
    <n v="126"/>
    <n v="250"/>
    <n v="376"/>
    <n v="88"/>
    <n v="105"/>
    <n v="193"/>
    <n v="11192"/>
    <n v="3.36"/>
    <n v="1.724"/>
    <n v="10385"/>
    <n v="3.621"/>
    <n v="1.8580000000000001"/>
  </r>
  <r>
    <x v="4"/>
    <x v="23"/>
    <s v="S12000024"/>
    <n v="484"/>
    <n v="1014"/>
    <n v="1498"/>
    <n v="451"/>
    <n v="265"/>
    <n v="716"/>
    <n v="71810"/>
    <n v="2.0859999999999999"/>
    <n v="0.997"/>
    <n v="67618"/>
    <n v="2.2149999999999999"/>
    <n v="1.0589999999999999"/>
  </r>
  <r>
    <x v="4"/>
    <x v="24"/>
    <s v="S12000038"/>
    <n v="1137"/>
    <n v="1411"/>
    <n v="2548"/>
    <n v="1077"/>
    <n v="656"/>
    <n v="1733"/>
    <n v="86449"/>
    <n v="2.9470000000000001"/>
    <n v="2.0049999999999999"/>
    <n v="84938"/>
    <n v="3"/>
    <n v="2.04"/>
  </r>
  <r>
    <x v="4"/>
    <x v="25"/>
    <s v="S12000026"/>
    <n v="1121"/>
    <n v="1263"/>
    <n v="2384"/>
    <n v="779"/>
    <n v="941"/>
    <n v="1720"/>
    <n v="58167"/>
    <n v="4.0990000000000002"/>
    <n v="2.9569999999999999"/>
    <n v="54306"/>
    <n v="4.3899999999999997"/>
    <n v="3.1669999999999998"/>
  </r>
  <r>
    <x v="4"/>
    <x v="26"/>
    <s v="S12000027"/>
    <n v="113"/>
    <n v="212"/>
    <n v="325"/>
    <n v="128"/>
    <n v="76"/>
    <n v="204"/>
    <n v="11180"/>
    <n v="2.907"/>
    <n v="1.825"/>
    <n v="10341"/>
    <n v="3.1429999999999998"/>
    <n v="1.9729999999999999"/>
  </r>
  <r>
    <x v="4"/>
    <x v="27"/>
    <s v="S12000028"/>
    <n v="543"/>
    <n v="765"/>
    <n v="1308"/>
    <n v="559"/>
    <n v="334"/>
    <n v="893"/>
    <n v="55252"/>
    <n v="2.367"/>
    <n v="1.6160000000000001"/>
    <n v="52104"/>
    <n v="2.5099999999999998"/>
    <n v="1.714"/>
  </r>
  <r>
    <x v="4"/>
    <x v="28"/>
    <s v="S12000029"/>
    <n v="1336"/>
    <n v="2180"/>
    <n v="3516"/>
    <n v="1607"/>
    <n v="503"/>
    <n v="2110"/>
    <n v="149972"/>
    <n v="2.3439999999999999"/>
    <n v="1.407"/>
    <n v="145182"/>
    <n v="2.4220000000000002"/>
    <n v="1.4530000000000001"/>
  </r>
  <r>
    <x v="4"/>
    <x v="29"/>
    <s v="S12000030"/>
    <n v="335"/>
    <n v="625"/>
    <n v="960"/>
    <n v="315"/>
    <n v="213"/>
    <n v="528"/>
    <n v="41250"/>
    <n v="2.327"/>
    <n v="1.28"/>
    <n v="39285"/>
    <n v="2.444"/>
    <n v="1.3439999999999999"/>
  </r>
  <r>
    <x v="4"/>
    <x v="30"/>
    <s v="S12000039"/>
    <n v="654"/>
    <n v="1023"/>
    <n v="1677"/>
    <n v="714"/>
    <n v="285"/>
    <n v="999"/>
    <n v="45093"/>
    <n v="3.7189999999999999"/>
    <n v="2.2149999999999999"/>
    <n v="42746"/>
    <n v="3.923"/>
    <n v="2.3370000000000002"/>
  </r>
  <r>
    <x v="4"/>
    <x v="31"/>
    <s v="S12000040"/>
    <n v="963"/>
    <n v="1092"/>
    <n v="2055"/>
    <n v="850"/>
    <n v="604"/>
    <n v="1454"/>
    <n v="79112"/>
    <n v="2.5979999999999999"/>
    <n v="1.8380000000000001"/>
    <n v="77369"/>
    <n v="2.6560000000000001"/>
    <n v="1.879"/>
  </r>
  <r>
    <x v="5"/>
    <x v="0"/>
    <s v="S12000033"/>
    <n v="569"/>
    <n v="2176"/>
    <n v="2745"/>
    <n v="546"/>
    <n v="278"/>
    <n v="824"/>
    <n v="118131"/>
    <n v="2.3239999999999998"/>
    <n v="0.69799999999999995"/>
    <n v="107586"/>
    <n v="2.5510000000000002"/>
    <n v="0.76600000000000001"/>
  </r>
  <r>
    <x v="5"/>
    <x v="1"/>
    <s v="S12000034"/>
    <n v="564"/>
    <n v="1206"/>
    <n v="1770"/>
    <n v="618"/>
    <n v="336"/>
    <n v="954"/>
    <n v="118197"/>
    <n v="1.4969999999999999"/>
    <n v="0.80700000000000005"/>
    <n v="111156"/>
    <n v="1.5920000000000001"/>
    <n v="0.85799999999999998"/>
  </r>
  <r>
    <x v="5"/>
    <x v="2"/>
    <s v="S12000041"/>
    <n v="429"/>
    <n v="1339"/>
    <n v="1768"/>
    <n v="450"/>
    <n v="177"/>
    <n v="627"/>
    <n v="56485"/>
    <n v="3.13"/>
    <n v="1.1100000000000001"/>
    <n v="53888"/>
    <n v="3.2810000000000001"/>
    <n v="1.1639999999999999"/>
  </r>
  <r>
    <x v="5"/>
    <x v="3"/>
    <s v="S12000035"/>
    <n v="531"/>
    <n v="939"/>
    <n v="1470"/>
    <n v="480"/>
    <n v="351"/>
    <n v="831"/>
    <n v="48020"/>
    <n v="3.0609999999999999"/>
    <n v="1.7309999999999999"/>
    <n v="41630"/>
    <n v="3.5310000000000001"/>
    <n v="1.996"/>
  </r>
  <r>
    <x v="5"/>
    <x v="4"/>
    <s v="S12000036"/>
    <n v="1893"/>
    <n v="2567"/>
    <n v="4460"/>
    <n v="1882"/>
    <n v="776"/>
    <n v="2658"/>
    <n v="249810"/>
    <n v="1.7850000000000001"/>
    <n v="1.0640000000000001"/>
    <n v="235771"/>
    <n v="1.8919999999999999"/>
    <n v="1.127"/>
  </r>
  <r>
    <x v="5"/>
    <x v="5"/>
    <s v="S12000005"/>
    <n v="219"/>
    <n v="372"/>
    <n v="591"/>
    <n v="235"/>
    <n v="82"/>
    <n v="317"/>
    <n v="24524"/>
    <n v="2.41"/>
    <n v="1.2929999999999999"/>
    <n v="23674"/>
    <n v="2.496"/>
    <n v="1.339"/>
  </r>
  <r>
    <x v="5"/>
    <x v="6"/>
    <s v="S12000006"/>
    <n v="1028"/>
    <n v="721"/>
    <n v="1749"/>
    <n v="1107"/>
    <n v="447"/>
    <n v="1554"/>
    <n v="74823"/>
    <n v="2.3380000000000001"/>
    <n v="2.077"/>
    <n v="69586"/>
    <n v="2.5129999999999999"/>
    <n v="2.2330000000000001"/>
  </r>
  <r>
    <x v="5"/>
    <x v="7"/>
    <s v="S12000042"/>
    <n v="692"/>
    <n v="2702"/>
    <n v="3394"/>
    <n v="680"/>
    <n v="318"/>
    <n v="998"/>
    <n v="74531"/>
    <n v="4.5540000000000003"/>
    <n v="1.339"/>
    <n v="70337"/>
    <n v="4.8250000000000002"/>
    <n v="1.419"/>
  </r>
  <r>
    <x v="5"/>
    <x v="8"/>
    <s v="S12000008"/>
    <n v="421"/>
    <n v="656"/>
    <n v="1077"/>
    <n v="446"/>
    <n v="251"/>
    <n v="697"/>
    <n v="58453"/>
    <n v="1.843"/>
    <n v="1.1919999999999999"/>
    <n v="55107"/>
    <n v="1.954"/>
    <n v="1.2650000000000001"/>
  </r>
  <r>
    <x v="5"/>
    <x v="9"/>
    <s v="S12000045"/>
    <n v="653"/>
    <n v="579"/>
    <n v="1232"/>
    <n v="755"/>
    <n v="285"/>
    <n v="1040"/>
    <n v="46721"/>
    <n v="2.637"/>
    <n v="2.226"/>
    <n v="46023"/>
    <n v="2.677"/>
    <n v="2.2599999999999998"/>
  </r>
  <r>
    <x v="5"/>
    <x v="10"/>
    <s v="S12000010"/>
    <n v="440"/>
    <n v="524"/>
    <n v="964"/>
    <n v="530"/>
    <n v="193"/>
    <n v="723"/>
    <n v="48055"/>
    <n v="2.0059999999999998"/>
    <n v="1.5049999999999999"/>
    <n v="45975"/>
    <n v="2.097"/>
    <n v="1.573"/>
  </r>
  <r>
    <x v="5"/>
    <x v="11"/>
    <s v="S12000011"/>
    <n v="445"/>
    <n v="651"/>
    <n v="1096"/>
    <n v="492"/>
    <n v="194"/>
    <n v="686"/>
    <n v="38902"/>
    <n v="2.8170000000000002"/>
    <n v="1.7629999999999999"/>
    <n v="39108"/>
    <n v="2.802"/>
    <n v="1.754"/>
  </r>
  <r>
    <x v="5"/>
    <x v="12"/>
    <s v="S12000014"/>
    <n v="533"/>
    <n v="1326"/>
    <n v="1859"/>
    <n v="606"/>
    <n v="192"/>
    <n v="798"/>
    <n v="74826"/>
    <n v="2.484"/>
    <n v="1.0660000000000001"/>
    <n v="72267"/>
    <n v="2.5720000000000001"/>
    <n v="1.1040000000000001"/>
  </r>
  <r>
    <x v="5"/>
    <x v="13"/>
    <s v="S12000015"/>
    <n v="2778"/>
    <n v="3429"/>
    <n v="6207"/>
    <n v="2925"/>
    <n v="1478"/>
    <n v="4403"/>
    <n v="177084"/>
    <n v="3.5049999999999999"/>
    <n v="2.4859999999999998"/>
    <n v="167944"/>
    <n v="3.6959999999999997"/>
    <n v="2.6219999999999999"/>
  </r>
  <r>
    <x v="5"/>
    <x v="14"/>
    <s v="S12000046"/>
    <n v="2993"/>
    <n v="7060"/>
    <n v="10053"/>
    <n v="3265"/>
    <n v="886"/>
    <n v="4151"/>
    <n v="311447"/>
    <n v="3.2280000000000002"/>
    <n v="1.333"/>
    <n v="292619"/>
    <n v="3.4359999999999999"/>
    <n v="1.419"/>
  </r>
  <r>
    <x v="5"/>
    <x v="15"/>
    <s v="S12000017"/>
    <n v="813"/>
    <n v="2969"/>
    <n v="3782"/>
    <n v="818"/>
    <n v="537"/>
    <n v="1355"/>
    <n v="118117"/>
    <n v="3.202"/>
    <n v="1.147"/>
    <n v="108878"/>
    <n v="3.4740000000000002"/>
    <n v="1.2450000000000001"/>
  </r>
  <r>
    <x v="5"/>
    <x v="16"/>
    <s v="S12000018"/>
    <n v="635"/>
    <n v="894"/>
    <n v="1529"/>
    <n v="575"/>
    <n v="360"/>
    <n v="935"/>
    <n v="38985"/>
    <n v="3.9220000000000002"/>
    <n v="2.3980000000000001"/>
    <n v="37640"/>
    <n v="4.0620000000000003"/>
    <n v="2.484"/>
  </r>
  <r>
    <x v="5"/>
    <x v="17"/>
    <s v="S12000019"/>
    <n v="394"/>
    <n v="606"/>
    <n v="1000"/>
    <n v="353"/>
    <n v="267"/>
    <n v="620"/>
    <n v="40612"/>
    <n v="2.4620000000000002"/>
    <n v="1.5270000000000001"/>
    <n v="39122"/>
    <n v="2.556"/>
    <n v="1.585"/>
  </r>
  <r>
    <x v="5"/>
    <x v="18"/>
    <s v="S12000020"/>
    <n v="516"/>
    <n v="1149"/>
    <n v="1665"/>
    <n v="399"/>
    <n v="473"/>
    <n v="872"/>
    <n v="45209"/>
    <n v="3.6829999999999998"/>
    <n v="1.929"/>
    <n v="42554"/>
    <n v="3.9130000000000003"/>
    <n v="2.0489999999999999"/>
  </r>
  <r>
    <x v="5"/>
    <x v="19"/>
    <s v="S12000013"/>
    <n v="112"/>
    <n v="274"/>
    <n v="386"/>
    <n v="132"/>
    <n v="29"/>
    <n v="161"/>
    <n v="14706"/>
    <n v="2.625"/>
    <n v="1.095"/>
    <n v="12773"/>
    <n v="3.0219999999999998"/>
    <n v="1.26"/>
  </r>
  <r>
    <x v="5"/>
    <x v="20"/>
    <s v="S12000021"/>
    <n v="701"/>
    <n v="879"/>
    <n v="1580"/>
    <n v="725"/>
    <n v="449"/>
    <n v="1174"/>
    <n v="68158"/>
    <n v="2.3180000000000001"/>
    <n v="1.722"/>
    <n v="63935"/>
    <n v="2.4710000000000001"/>
    <n v="1.8359999999999999"/>
  </r>
  <r>
    <x v="5"/>
    <x v="21"/>
    <s v="S12000044"/>
    <n v="1248"/>
    <n v="2019"/>
    <n v="3267"/>
    <n v="1614"/>
    <n v="428"/>
    <n v="2042"/>
    <n v="155364"/>
    <n v="2.1030000000000002"/>
    <n v="1.3140000000000001"/>
    <n v="151744"/>
    <n v="2.153"/>
    <n v="1.3460000000000001"/>
  </r>
  <r>
    <x v="5"/>
    <x v="22"/>
    <s v="S12000023"/>
    <n v="96"/>
    <n v="194"/>
    <n v="290"/>
    <n v="82"/>
    <n v="85"/>
    <n v="167"/>
    <n v="11261"/>
    <n v="2.5750000000000002"/>
    <n v="1.4830000000000001"/>
    <n v="10506"/>
    <n v="2.76"/>
    <n v="1.5899999999999999"/>
  </r>
  <r>
    <x v="5"/>
    <x v="23"/>
    <s v="S12000024"/>
    <n v="385"/>
    <n v="1084"/>
    <n v="1469"/>
    <n v="357"/>
    <n v="249"/>
    <n v="606"/>
    <n v="72441"/>
    <n v="2.028"/>
    <n v="0.83699999999999997"/>
    <n v="68196"/>
    <n v="2.1539999999999999"/>
    <n v="0.88900000000000001"/>
  </r>
  <r>
    <x v="5"/>
    <x v="24"/>
    <s v="S12000038"/>
    <n v="848"/>
    <n v="1039"/>
    <n v="1887"/>
    <n v="803"/>
    <n v="475"/>
    <n v="1278"/>
    <n v="87265"/>
    <n v="2.1619999999999999"/>
    <n v="1.4650000000000001"/>
    <n v="85745"/>
    <n v="2.2010000000000001"/>
    <n v="1.49"/>
  </r>
  <r>
    <x v="5"/>
    <x v="25"/>
    <s v="S12000026"/>
    <n v="920"/>
    <n v="1208"/>
    <n v="2128"/>
    <n v="740"/>
    <n v="673"/>
    <n v="1413"/>
    <n v="58425"/>
    <n v="3.6419999999999999"/>
    <n v="2.4180000000000001"/>
    <n v="54413"/>
    <n v="3.911"/>
    <n v="2.597"/>
  </r>
  <r>
    <x v="5"/>
    <x v="26"/>
    <s v="S12000027"/>
    <n v="87"/>
    <n v="209"/>
    <n v="296"/>
    <n v="85"/>
    <n v="74"/>
    <n v="159"/>
    <n v="11270"/>
    <n v="2.6259999999999999"/>
    <n v="1.411"/>
    <n v="10384"/>
    <n v="2.851"/>
    <n v="1.5310000000000001"/>
  </r>
  <r>
    <x v="5"/>
    <x v="27"/>
    <s v="S12000028"/>
    <n v="437"/>
    <n v="687"/>
    <n v="1124"/>
    <n v="531"/>
    <n v="204"/>
    <n v="735"/>
    <n v="55486"/>
    <n v="2.0259999999999998"/>
    <n v="1.325"/>
    <n v="52281"/>
    <n v="2.15"/>
    <n v="1.4060000000000001"/>
  </r>
  <r>
    <x v="5"/>
    <x v="28"/>
    <s v="S12000029"/>
    <n v="1352"/>
    <n v="2193"/>
    <n v="3545"/>
    <n v="1663"/>
    <n v="484"/>
    <n v="2147"/>
    <n v="151352"/>
    <n v="2.3420000000000001"/>
    <n v="1.419"/>
    <n v="146173"/>
    <n v="2.4249999999999998"/>
    <n v="1.4689999999999999"/>
  </r>
  <r>
    <x v="5"/>
    <x v="29"/>
    <s v="S12000030"/>
    <n v="323"/>
    <n v="611"/>
    <n v="934"/>
    <n v="329"/>
    <n v="182"/>
    <n v="511"/>
    <n v="41443"/>
    <n v="2.254"/>
    <n v="1.2330000000000001"/>
    <n v="39440"/>
    <n v="2.3679999999999999"/>
    <n v="1.296"/>
  </r>
  <r>
    <x v="5"/>
    <x v="30"/>
    <s v="S12000039"/>
    <n v="556"/>
    <n v="1008"/>
    <n v="1564"/>
    <n v="642"/>
    <n v="185"/>
    <n v="827"/>
    <n v="45228"/>
    <n v="3.4580000000000002"/>
    <n v="1.829"/>
    <n v="42868"/>
    <n v="3.6480000000000001"/>
    <n v="1.929"/>
  </r>
  <r>
    <x v="5"/>
    <x v="31"/>
    <s v="S12000040"/>
    <n v="851"/>
    <n v="1470"/>
    <n v="2321"/>
    <n v="780"/>
    <n v="506"/>
    <n v="1286"/>
    <n v="79854"/>
    <n v="2.907"/>
    <n v="1.6099999999999999"/>
    <n v="77953"/>
    <n v="2.9769999999999999"/>
    <n v="1.65"/>
  </r>
  <r>
    <x v="6"/>
    <x v="0"/>
    <s v="S12000033"/>
    <n v="392"/>
    <n v="2273"/>
    <n v="2665"/>
    <n v="391"/>
    <n v="199"/>
    <n v="590"/>
    <n v="119523"/>
    <n v="2.23"/>
    <n v="0.49399999999999999"/>
    <n v="108381"/>
    <n v="2.4590000000000001"/>
    <n v="0.54400000000000004"/>
  </r>
  <r>
    <x v="6"/>
    <x v="1"/>
    <s v="S12000034"/>
    <n v="699"/>
    <n v="1579"/>
    <n v="2278"/>
    <n v="731"/>
    <n v="413"/>
    <n v="1144"/>
    <n v="119196"/>
    <n v="1.911"/>
    <n v="0.96"/>
    <n v="112114"/>
    <n v="2.032"/>
    <n v="1.02"/>
  </r>
  <r>
    <x v="6"/>
    <x v="2"/>
    <s v="S12000041"/>
    <n v="440"/>
    <n v="1358"/>
    <n v="1798"/>
    <n v="474"/>
    <n v="203"/>
    <n v="677"/>
    <n v="56928"/>
    <n v="3.1579999999999999"/>
    <n v="1.1890000000000001"/>
    <n v="54221"/>
    <n v="3.3159999999999998"/>
    <n v="1.2490000000000001"/>
  </r>
  <r>
    <x v="6"/>
    <x v="3"/>
    <s v="S12000035"/>
    <n v="451"/>
    <n v="1072"/>
    <n v="1523"/>
    <n v="389"/>
    <n v="332"/>
    <n v="721"/>
    <n v="48134"/>
    <n v="3.1640000000000001"/>
    <n v="1.498"/>
    <n v="41789"/>
    <n v="3.6440000000000001"/>
    <n v="1.7250000000000001"/>
  </r>
  <r>
    <x v="6"/>
    <x v="4"/>
    <s v="S12000036"/>
    <n v="1502"/>
    <n v="3441"/>
    <n v="4943"/>
    <n v="1592"/>
    <n v="578"/>
    <n v="2170"/>
    <n v="252731"/>
    <n v="1.956"/>
    <n v="0.85899999999999999"/>
    <n v="238269"/>
    <n v="2.0750000000000002"/>
    <n v="0.91100000000000003"/>
  </r>
  <r>
    <x v="6"/>
    <x v="5"/>
    <s v="S12000005"/>
    <n v="292"/>
    <n v="379"/>
    <n v="671"/>
    <n v="445"/>
    <n v="50"/>
    <n v="495"/>
    <n v="24716"/>
    <n v="2.7149999999999999"/>
    <n v="2.0030000000000001"/>
    <n v="23890"/>
    <n v="2.8090000000000002"/>
    <n v="2.0720000000000001"/>
  </r>
  <r>
    <x v="6"/>
    <x v="6"/>
    <s v="S12000006"/>
    <n v="870"/>
    <n v="839"/>
    <n v="1709"/>
    <n v="824"/>
    <n v="438"/>
    <n v="1262"/>
    <n v="75089"/>
    <n v="2.2759999999999998"/>
    <n v="1.681"/>
    <n v="69699"/>
    <n v="2.452"/>
    <n v="1.8109999999999999"/>
  </r>
  <r>
    <x v="6"/>
    <x v="7"/>
    <s v="S12000042"/>
    <n v="577"/>
    <n v="2144"/>
    <n v="2721"/>
    <n v="510"/>
    <n v="327"/>
    <n v="837"/>
    <n v="74891"/>
    <n v="3.633"/>
    <n v="1.1179999999999999"/>
    <n v="70685"/>
    <n v="3.8490000000000002"/>
    <n v="1.1839999999999999"/>
  </r>
  <r>
    <x v="6"/>
    <x v="8"/>
    <s v="S12000008"/>
    <n v="423"/>
    <n v="680"/>
    <n v="1103"/>
    <n v="487"/>
    <n v="216"/>
    <n v="703"/>
    <n v="58628"/>
    <n v="1.881"/>
    <n v="1.1990000000000001"/>
    <n v="55387"/>
    <n v="1.9910000000000001"/>
    <n v="1.2690000000000001"/>
  </r>
  <r>
    <x v="6"/>
    <x v="9"/>
    <s v="S12000045"/>
    <n v="656"/>
    <n v="662"/>
    <n v="1318"/>
    <n v="758"/>
    <n v="299"/>
    <n v="1057"/>
    <n v="46986"/>
    <n v="2.8050000000000002"/>
    <n v="2.25"/>
    <n v="46228"/>
    <n v="2.851"/>
    <n v="2.286"/>
  </r>
  <r>
    <x v="6"/>
    <x v="10"/>
    <s v="S12000010"/>
    <n v="372"/>
    <n v="530"/>
    <n v="902"/>
    <n v="448"/>
    <n v="151"/>
    <n v="599"/>
    <n v="48851"/>
    <n v="1.8460000000000001"/>
    <n v="1.226"/>
    <n v="46771"/>
    <n v="1.929"/>
    <n v="1.2810000000000001"/>
  </r>
  <r>
    <x v="6"/>
    <x v="11"/>
    <s v="S12000011"/>
    <n v="366"/>
    <n v="587"/>
    <n v="953"/>
    <n v="397"/>
    <n v="172"/>
    <n v="569"/>
    <n v="39144"/>
    <n v="2.4350000000000001"/>
    <n v="1.454"/>
    <n v="39345"/>
    <n v="2.4220000000000002"/>
    <n v="1.446"/>
  </r>
  <r>
    <x v="6"/>
    <x v="12"/>
    <s v="S12000014"/>
    <n v="511"/>
    <n v="1174"/>
    <n v="1685"/>
    <n v="590"/>
    <n v="172"/>
    <n v="762"/>
    <n v="75226"/>
    <n v="2.2400000000000002"/>
    <n v="1.0129999999999999"/>
    <n v="72672"/>
    <n v="2.319"/>
    <n v="1.0489999999999999"/>
  </r>
  <r>
    <x v="6"/>
    <x v="13"/>
    <s v="S12000015"/>
    <n v="2533"/>
    <n v="3908"/>
    <n v="6441"/>
    <n v="2725"/>
    <n v="1258"/>
    <n v="3983"/>
    <n v="178183"/>
    <n v="3.6150000000000002"/>
    <n v="2.2349999999999999"/>
    <n v="169239"/>
    <n v="3.806"/>
    <n v="2.3529999999999998"/>
  </r>
  <r>
    <x v="6"/>
    <x v="14"/>
    <s v="S12000046"/>
    <n v="2529"/>
    <n v="7410"/>
    <n v="9939"/>
    <n v="2783"/>
    <n v="753"/>
    <n v="3536"/>
    <n v="314604"/>
    <n v="3.1589999999999998"/>
    <n v="1.1240000000000001"/>
    <n v="294622"/>
    <n v="3.3730000000000002"/>
    <n v="1.2"/>
  </r>
  <r>
    <x v="6"/>
    <x v="15"/>
    <s v="S12000017"/>
    <n v="592"/>
    <n v="2276"/>
    <n v="2868"/>
    <n v="522"/>
    <n v="464"/>
    <n v="986"/>
    <n v="119061"/>
    <n v="2.4089999999999998"/>
    <n v="0.82799999999999996"/>
    <n v="109514"/>
    <n v="2.6189999999999998"/>
    <n v="0.9"/>
  </r>
  <r>
    <x v="6"/>
    <x v="16"/>
    <s v="S12000018"/>
    <n v="631"/>
    <n v="773"/>
    <n v="1404"/>
    <n v="603"/>
    <n v="338"/>
    <n v="941"/>
    <n v="38977"/>
    <n v="3.6019999999999999"/>
    <n v="2.4140000000000001"/>
    <n v="37614"/>
    <n v="3.7330000000000001"/>
    <n v="2.5019999999999998"/>
  </r>
  <r>
    <x v="6"/>
    <x v="17"/>
    <s v="S12000019"/>
    <n v="338"/>
    <n v="669"/>
    <n v="1007"/>
    <n v="303"/>
    <n v="225"/>
    <n v="528"/>
    <n v="41226"/>
    <n v="2.4430000000000001"/>
    <n v="1.2810000000000001"/>
    <n v="39733"/>
    <n v="2.5339999999999998"/>
    <n v="1.329"/>
  </r>
  <r>
    <x v="6"/>
    <x v="18"/>
    <s v="S12000020"/>
    <n v="483"/>
    <n v="1205"/>
    <n v="1688"/>
    <n v="500"/>
    <n v="377"/>
    <n v="877"/>
    <n v="45630"/>
    <n v="3.6989999999999998"/>
    <n v="1.9220000000000002"/>
    <n v="42932"/>
    <n v="3.9319999999999999"/>
    <n v="2.0430000000000001"/>
  </r>
  <r>
    <x v="6"/>
    <x v="19"/>
    <s v="S12000013"/>
    <n v="67"/>
    <n v="235"/>
    <n v="302"/>
    <n v="69"/>
    <n v="42"/>
    <n v="111"/>
    <n v="14734"/>
    <n v="2.0499999999999998"/>
    <n v="0.753"/>
    <n v="12833"/>
    <n v="2.3529999999999998"/>
    <n v="0.86499999999999999"/>
  </r>
  <r>
    <x v="6"/>
    <x v="20"/>
    <s v="S12000021"/>
    <n v="716"/>
    <n v="969"/>
    <n v="1685"/>
    <n v="784"/>
    <n v="366"/>
    <n v="1150"/>
    <n v="68496"/>
    <n v="2.46"/>
    <n v="1.679"/>
    <n v="64140"/>
    <n v="2.6269999999999998"/>
    <n v="1.7930000000000001"/>
  </r>
  <r>
    <x v="6"/>
    <x v="21"/>
    <s v="S12000044"/>
    <n v="1328"/>
    <n v="2916"/>
    <n v="4244"/>
    <n v="1742"/>
    <n v="411"/>
    <n v="2153"/>
    <n v="156694"/>
    <n v="2.7080000000000002"/>
    <n v="1.3740000000000001"/>
    <n v="152443"/>
    <n v="2.7839999999999998"/>
    <n v="1.4119999999999999"/>
  </r>
  <r>
    <x v="6"/>
    <x v="22"/>
    <s v="S12000023"/>
    <n v="122"/>
    <n v="237"/>
    <n v="359"/>
    <n v="127"/>
    <n v="84"/>
    <n v="211"/>
    <n v="11322"/>
    <n v="3.1709999999999998"/>
    <n v="1.8639999999999999"/>
    <n v="10589"/>
    <n v="3.39"/>
    <n v="1.9929999999999999"/>
  </r>
  <r>
    <x v="6"/>
    <x v="23"/>
    <s v="S12000024"/>
    <n v="389"/>
    <n v="1165"/>
    <n v="1554"/>
    <n v="403"/>
    <n v="198"/>
    <n v="601"/>
    <n v="73267"/>
    <n v="2.121"/>
    <n v="0.82"/>
    <n v="69003"/>
    <n v="2.2519999999999998"/>
    <n v="0.871"/>
  </r>
  <r>
    <x v="6"/>
    <x v="24"/>
    <s v="S12000038"/>
    <n v="774"/>
    <n v="1023"/>
    <n v="1797"/>
    <n v="786"/>
    <n v="396"/>
    <n v="1182"/>
    <n v="88086"/>
    <n v="2.04"/>
    <n v="1.3420000000000001"/>
    <n v="86683"/>
    <n v="2.073"/>
    <n v="1.3639999999999999"/>
  </r>
  <r>
    <x v="6"/>
    <x v="25"/>
    <s v="S12000026"/>
    <n v="869"/>
    <n v="1387"/>
    <n v="2256"/>
    <n v="798"/>
    <n v="632"/>
    <n v="1430"/>
    <n v="58671"/>
    <n v="3.8449999999999998"/>
    <n v="2.4369999999999998"/>
    <n v="54715"/>
    <n v="4.1230000000000002"/>
    <n v="2.6139999999999999"/>
  </r>
  <r>
    <x v="6"/>
    <x v="26"/>
    <s v="S12000027"/>
    <n v="156"/>
    <n v="407"/>
    <n v="563"/>
    <n v="141"/>
    <n v="112"/>
    <n v="253"/>
    <n v="11305"/>
    <n v="4.9800000000000004"/>
    <n v="2.238"/>
    <n v="10439"/>
    <n v="5.3929999999999998"/>
    <n v="2.4239999999999999"/>
  </r>
  <r>
    <x v="6"/>
    <x v="27"/>
    <s v="S12000028"/>
    <n v="413"/>
    <n v="588"/>
    <n v="1001"/>
    <n v="525"/>
    <n v="185"/>
    <n v="710"/>
    <n v="55668"/>
    <n v="1.798"/>
    <n v="1.2749999999999999"/>
    <n v="52588"/>
    <n v="1.903"/>
    <n v="1.35"/>
  </r>
  <r>
    <x v="6"/>
    <x v="28"/>
    <s v="S12000029"/>
    <n v="1364"/>
    <n v="2345"/>
    <n v="3709"/>
    <n v="1628"/>
    <n v="551"/>
    <n v="2179"/>
    <n v="152998"/>
    <n v="2.4239999999999999"/>
    <n v="1.4239999999999999"/>
    <n v="147434"/>
    <n v="2.516"/>
    <n v="1.478"/>
  </r>
  <r>
    <x v="6"/>
    <x v="29"/>
    <s v="S12000030"/>
    <n v="311"/>
    <n v="590"/>
    <n v="901"/>
    <n v="360"/>
    <n v="153"/>
    <n v="513"/>
    <n v="41638"/>
    <n v="2.1640000000000001"/>
    <n v="1.232"/>
    <n v="39654"/>
    <n v="2.2720000000000002"/>
    <n v="1.294"/>
  </r>
  <r>
    <x v="6"/>
    <x v="30"/>
    <s v="S12000039"/>
    <n v="468"/>
    <n v="931"/>
    <n v="1399"/>
    <n v="550"/>
    <n v="172"/>
    <n v="722"/>
    <n v="45357"/>
    <n v="3.0840000000000001"/>
    <n v="1.5920000000000001"/>
    <n v="43030"/>
    <n v="3.2509999999999999"/>
    <n v="1.6779999999999999"/>
  </r>
  <r>
    <x v="6"/>
    <x v="31"/>
    <s v="S12000040"/>
    <n v="658"/>
    <n v="1193"/>
    <n v="1851"/>
    <n v="631"/>
    <n v="327"/>
    <n v="958"/>
    <n v="80911"/>
    <n v="2.2879999999999998"/>
    <n v="1.1839999999999999"/>
    <n v="78966"/>
    <n v="2.3439999999999999"/>
    <n v="1.2130000000000001"/>
  </r>
  <r>
    <x v="7"/>
    <x v="0"/>
    <s v="S12000033"/>
    <n v="130"/>
    <n v="406"/>
    <n v="536"/>
    <n v="135"/>
    <n v="54"/>
    <n v="189"/>
    <n v="120980"/>
    <n v="0.443"/>
    <n v="0.156"/>
    <n v="108893"/>
    <n v="0.49199999999999999"/>
    <n v="0.17399999999999999"/>
  </r>
  <r>
    <x v="7"/>
    <x v="1"/>
    <s v="S12000034"/>
    <n v="127"/>
    <n v="310"/>
    <n v="437"/>
    <n v="150"/>
    <n v="76"/>
    <n v="226"/>
    <n v="119854"/>
    <n v="0.36499999999999999"/>
    <n v="0.189"/>
    <n v="112713"/>
    <n v="0.38800000000000001"/>
    <n v="0.20100000000000001"/>
  </r>
  <r>
    <x v="7"/>
    <x v="2"/>
    <s v="S12000041"/>
    <n v="199"/>
    <n v="513"/>
    <n v="712"/>
    <n v="175"/>
    <n v="113"/>
    <n v="288"/>
    <n v="57206"/>
    <n v="1.2450000000000001"/>
    <n v="0.503"/>
    <n v="54480"/>
    <n v="1.3069999999999999"/>
    <n v="0.52900000000000003"/>
  </r>
  <r>
    <x v="7"/>
    <x v="3"/>
    <s v="S12000035"/>
    <n v="165"/>
    <n v="320"/>
    <n v="485"/>
    <n v="154"/>
    <n v="116"/>
    <n v="270"/>
    <n v="48199"/>
    <n v="1.006"/>
    <n v="0.56000000000000005"/>
    <n v="41839"/>
    <n v="1.159"/>
    <n v="0.64500000000000002"/>
  </r>
  <r>
    <x v="7"/>
    <x v="4"/>
    <s v="S12000036"/>
    <n v="676"/>
    <n v="738"/>
    <n v="1414"/>
    <n v="694"/>
    <n v="310"/>
    <n v="1004"/>
    <n v="254929"/>
    <n v="0.55500000000000005"/>
    <n v="0.39400000000000002"/>
    <n v="239364"/>
    <n v="0.59099999999999997"/>
    <n v="0.41899999999999998"/>
  </r>
  <r>
    <x v="7"/>
    <x v="5"/>
    <s v="S12000005"/>
    <n v="63"/>
    <n v="100"/>
    <n v="163"/>
    <n v="94"/>
    <n v="28"/>
    <n v="122"/>
    <n v="24838"/>
    <n v="0.65600000000000003"/>
    <n v="0.49099999999999999"/>
    <n v="24066"/>
    <n v="0.67700000000000005"/>
    <n v="0.50700000000000001"/>
  </r>
  <r>
    <x v="7"/>
    <x v="6"/>
    <s v="S12000006"/>
    <n v="143"/>
    <n v="231"/>
    <n v="374"/>
    <n v="125"/>
    <n v="82"/>
    <n v="207"/>
    <n v="75298"/>
    <n v="0.497"/>
    <n v="0.27500000000000002"/>
    <n v="69957"/>
    <n v="0.53500000000000003"/>
    <n v="0.29599999999999999"/>
  </r>
  <r>
    <x v="7"/>
    <x v="7"/>
    <s v="S12000042"/>
    <n v="286"/>
    <n v="637"/>
    <n v="923"/>
    <n v="280"/>
    <n v="166"/>
    <n v="446"/>
    <n v="75027"/>
    <n v="1.23"/>
    <n v="0.59399999999999997"/>
    <n v="70689"/>
    <n v="1.306"/>
    <n v="0.63100000000000001"/>
  </r>
  <r>
    <x v="7"/>
    <x v="8"/>
    <s v="S12000008"/>
    <n v="172"/>
    <n v="315"/>
    <n v="487"/>
    <n v="222"/>
    <n v="77"/>
    <n v="299"/>
    <n v="58821"/>
    <n v="0.82799999999999996"/>
    <n v="0.50800000000000001"/>
    <n v="55564"/>
    <n v="0.876"/>
    <n v="0.53800000000000003"/>
  </r>
  <r>
    <x v="7"/>
    <x v="9"/>
    <s v="S12000045"/>
    <n v="229"/>
    <n v="173"/>
    <n v="402"/>
    <n v="238"/>
    <n v="133"/>
    <n v="371"/>
    <n v="47251"/>
    <n v="0.85099999999999998"/>
    <n v="0.78500000000000003"/>
    <n v="46563"/>
    <n v="0.86299999999999999"/>
    <n v="0.79700000000000004"/>
  </r>
  <r>
    <x v="7"/>
    <x v="10"/>
    <s v="S12000010"/>
    <n v="124"/>
    <n v="154"/>
    <n v="278"/>
    <n v="162"/>
    <n v="64"/>
    <n v="226"/>
    <n v="49642"/>
    <n v="0.56000000000000005"/>
    <n v="0.45500000000000002"/>
    <n v="47482"/>
    <n v="0.58499999999999996"/>
    <n v="0.47599999999999998"/>
  </r>
  <r>
    <x v="7"/>
    <x v="11"/>
    <s v="S12000011"/>
    <n v="204"/>
    <n v="172"/>
    <n v="376"/>
    <n v="222"/>
    <n v="100"/>
    <n v="322"/>
    <n v="39453"/>
    <n v="0.95299999999999996"/>
    <n v="0.81599999999999995"/>
    <n v="39586"/>
    <n v="0.95"/>
    <n v="0.81299999999999994"/>
  </r>
  <r>
    <x v="7"/>
    <x v="12"/>
    <s v="S12000014"/>
    <n v="157"/>
    <n v="297"/>
    <n v="454"/>
    <n v="179"/>
    <n v="71"/>
    <n v="250"/>
    <n v="75595"/>
    <n v="0.60099999999999998"/>
    <n v="0.33100000000000002"/>
    <n v="72994"/>
    <n v="0.622"/>
    <n v="0.34200000000000003"/>
  </r>
  <r>
    <x v="7"/>
    <x v="13"/>
    <s v="S12000015"/>
    <n v="580"/>
    <n v="716"/>
    <n v="1296"/>
    <n v="652"/>
    <n v="329"/>
    <n v="981"/>
    <n v="179232"/>
    <n v="0.72299999999999998"/>
    <n v="0.54700000000000004"/>
    <n v="169886"/>
    <n v="0.76300000000000001"/>
    <n v="0.57699999999999996"/>
  </r>
  <r>
    <x v="7"/>
    <x v="14"/>
    <s v="S12000046"/>
    <n v="767"/>
    <n v="1321"/>
    <n v="2088"/>
    <n v="901"/>
    <n v="243"/>
    <n v="1144"/>
    <n v="317193"/>
    <n v="0.65800000000000003"/>
    <n v="0.36099999999999999"/>
    <n v="295761"/>
    <n v="0.70599999999999996"/>
    <n v="0.38700000000000001"/>
  </r>
  <r>
    <x v="7"/>
    <x v="15"/>
    <s v="S12000017"/>
    <n v="164"/>
    <n v="631"/>
    <n v="795"/>
    <n v="167"/>
    <n v="166"/>
    <n v="333"/>
    <n v="119918"/>
    <n v="0.66300000000000003"/>
    <n v="0.27800000000000002"/>
    <n v="110084"/>
    <n v="0.72199999999999998"/>
    <n v="0.30199999999999999"/>
  </r>
  <r>
    <x v="7"/>
    <x v="16"/>
    <s v="S12000018"/>
    <n v="292"/>
    <n v="201"/>
    <n v="493"/>
    <n v="339"/>
    <n v="129"/>
    <n v="468"/>
    <n v="39107"/>
    <n v="1.2610000000000001"/>
    <n v="1.1970000000000001"/>
    <n v="37646"/>
    <n v="1.31"/>
    <n v="1.2429999999999999"/>
  </r>
  <r>
    <x v="7"/>
    <x v="17"/>
    <s v="S12000019"/>
    <n v="103"/>
    <n v="196"/>
    <n v="299"/>
    <n v="110"/>
    <n v="58"/>
    <n v="168"/>
    <n v="41657"/>
    <n v="0.71799999999999997"/>
    <n v="0.40300000000000002"/>
    <n v="40137"/>
    <n v="0.745"/>
    <n v="0.41899999999999998"/>
  </r>
  <r>
    <x v="7"/>
    <x v="18"/>
    <s v="S12000020"/>
    <n v="86"/>
    <n v="260"/>
    <n v="346"/>
    <n v="97"/>
    <n v="61"/>
    <n v="158"/>
    <n v="45838"/>
    <n v="0.755"/>
    <n v="0.34499999999999997"/>
    <n v="43175"/>
    <n v="0.80100000000000005"/>
    <n v="0.36599999999999999"/>
  </r>
  <r>
    <x v="7"/>
    <x v="19"/>
    <s v="S12000013"/>
    <n v="23"/>
    <n v="34"/>
    <n v="57"/>
    <n v="26"/>
    <n v="12"/>
    <n v="38"/>
    <n v="14764"/>
    <n v="0.38600000000000001"/>
    <n v="0.25700000000000001"/>
    <n v="12849"/>
    <n v="0.44400000000000001"/>
    <n v="0.29599999999999999"/>
  </r>
  <r>
    <x v="7"/>
    <x v="20"/>
    <s v="S12000021"/>
    <n v="230"/>
    <n v="321"/>
    <n v="551"/>
    <n v="255"/>
    <n v="150"/>
    <n v="405"/>
    <n v="68843"/>
    <n v="0.8"/>
    <n v="0.58799999999999997"/>
    <n v="64415"/>
    <n v="0.85499999999999998"/>
    <n v="0.629"/>
  </r>
  <r>
    <x v="7"/>
    <x v="21"/>
    <s v="S12000044"/>
    <n v="678"/>
    <n v="1189"/>
    <n v="1867"/>
    <n v="858"/>
    <n v="263"/>
    <n v="1121"/>
    <n v="157625"/>
    <n v="1.1839999999999999"/>
    <n v="0.71099999999999997"/>
    <n v="152910"/>
    <n v="1.2210000000000001"/>
    <n v="0.73299999999999998"/>
  </r>
  <r>
    <x v="7"/>
    <x v="22"/>
    <s v="S12000023"/>
    <n v="35"/>
    <n v="35"/>
    <n v="70"/>
    <n v="45"/>
    <n v="39"/>
    <n v="84"/>
    <n v="11391"/>
    <n v="0.61499999999999999"/>
    <n v="0.73699999999999999"/>
    <n v="10635"/>
    <n v="0.65800000000000003"/>
    <n v="0.79"/>
  </r>
  <r>
    <x v="7"/>
    <x v="23"/>
    <s v="S12000024"/>
    <n v="166"/>
    <n v="375"/>
    <n v="541"/>
    <n v="186"/>
    <n v="102"/>
    <n v="288"/>
    <n v="73775"/>
    <n v="0.73299999999999998"/>
    <n v="0.39"/>
    <n v="69432"/>
    <n v="0.77900000000000003"/>
    <n v="0.41499999999999998"/>
  </r>
  <r>
    <x v="7"/>
    <x v="24"/>
    <s v="S12000038"/>
    <n v="333"/>
    <n v="352"/>
    <n v="685"/>
    <n v="424"/>
    <n v="124"/>
    <n v="548"/>
    <n v="88624"/>
    <n v="0.77300000000000002"/>
    <n v="0.61799999999999999"/>
    <n v="87241"/>
    <n v="0.78500000000000003"/>
    <n v="0.628"/>
  </r>
  <r>
    <x v="7"/>
    <x v="25"/>
    <s v="S12000026"/>
    <n v="265"/>
    <n v="374"/>
    <n v="639"/>
    <n v="252"/>
    <n v="193"/>
    <n v="445"/>
    <n v="58814"/>
    <n v="1.0860000000000001"/>
    <n v="0.75700000000000001"/>
    <n v="54796"/>
    <n v="1.1659999999999999"/>
    <n v="0.81200000000000006"/>
  </r>
  <r>
    <x v="7"/>
    <x v="26"/>
    <s v="S12000027"/>
    <n v="17"/>
    <n v="59"/>
    <n v="76"/>
    <n v="8"/>
    <n v="26"/>
    <n v="34"/>
    <n v="11374"/>
    <n v="0.66800000000000004"/>
    <n v="0.29899999999999999"/>
    <n v="10461"/>
    <n v="0.72699999999999998"/>
    <n v="0.32500000000000001"/>
  </r>
  <r>
    <x v="7"/>
    <x v="27"/>
    <s v="S12000028"/>
    <n v="130"/>
    <n v="263"/>
    <n v="393"/>
    <n v="197"/>
    <n v="53"/>
    <n v="250"/>
    <n v="55793"/>
    <n v="0.70399999999999996"/>
    <n v="0.44800000000000001"/>
    <n v="52571"/>
    <n v="0.748"/>
    <n v="0.47599999999999998"/>
  </r>
  <r>
    <x v="7"/>
    <x v="28"/>
    <s v="S12000029"/>
    <n v="578"/>
    <n v="758"/>
    <n v="1336"/>
    <n v="744"/>
    <n v="232"/>
    <n v="976"/>
    <n v="153863"/>
    <n v="0.86799999999999999"/>
    <n v="0.63400000000000001"/>
    <n v="148483"/>
    <n v="0.9"/>
    <n v="0.65700000000000003"/>
  </r>
  <r>
    <x v="7"/>
    <x v="29"/>
    <s v="S12000030"/>
    <n v="63"/>
    <n v="108"/>
    <n v="171"/>
    <n v="76"/>
    <n v="44"/>
    <n v="120"/>
    <n v="41950"/>
    <n v="0.40799999999999997"/>
    <n v="0.28599999999999998"/>
    <n v="39896"/>
    <n v="0.42899999999999999"/>
    <n v="0.30099999999999999"/>
  </r>
  <r>
    <x v="7"/>
    <x v="30"/>
    <s v="S12000039"/>
    <n v="222"/>
    <n v="355"/>
    <n v="577"/>
    <n v="269"/>
    <n v="67"/>
    <n v="336"/>
    <n v="45148"/>
    <n v="1.278"/>
    <n v="0.74399999999999999"/>
    <n v="43164"/>
    <n v="1.337"/>
    <n v="0.77800000000000002"/>
  </r>
  <r>
    <x v="7"/>
    <x v="31"/>
    <s v="S12000040"/>
    <n v="272"/>
    <n v="405"/>
    <n v="677"/>
    <n v="260"/>
    <n v="158"/>
    <n v="418"/>
    <n v="81723"/>
    <n v="0.82799999999999996"/>
    <n v="0.51100000000000001"/>
    <n v="79892"/>
    <n v="0.84699999999999998"/>
    <n v="0.52300000000000002"/>
  </r>
  <r>
    <x v="8"/>
    <x v="0"/>
    <s v="S12000033"/>
    <m/>
    <m/>
    <n v="1463"/>
    <m/>
    <m/>
    <m/>
    <n v="122242"/>
    <n v="1.1970000000000001"/>
    <m/>
    <n v="108844"/>
    <n v="1.3439999999999999"/>
    <m/>
  </r>
  <r>
    <x v="8"/>
    <x v="1"/>
    <s v="S12000034"/>
    <m/>
    <m/>
    <n v="1319"/>
    <m/>
    <m/>
    <m/>
    <n v="120682"/>
    <n v="1.093"/>
    <m/>
    <n v="113861"/>
    <n v="1.1579999999999999"/>
    <m/>
  </r>
  <r>
    <x v="8"/>
    <x v="2"/>
    <s v="S12000041"/>
    <m/>
    <m/>
    <n v="1585"/>
    <m/>
    <m/>
    <m/>
    <n v="57711"/>
    <n v="2.746"/>
    <m/>
    <n v="55003"/>
    <n v="2.8820000000000001"/>
    <m/>
  </r>
  <r>
    <x v="8"/>
    <x v="3"/>
    <s v="S12000035"/>
    <m/>
    <m/>
    <n v="1019"/>
    <m/>
    <m/>
    <m/>
    <n v="48411"/>
    <n v="2.105"/>
    <m/>
    <n v="42384"/>
    <n v="2.4039999999999999"/>
    <m/>
  </r>
  <r>
    <x v="8"/>
    <x v="4"/>
    <s v="S12000036"/>
    <m/>
    <m/>
    <n v="2702"/>
    <m/>
    <m/>
    <m/>
    <n v="257658"/>
    <n v="1.0489999999999999"/>
    <m/>
    <n v="241658"/>
    <n v="1.1179999999999999"/>
    <m/>
  </r>
  <r>
    <x v="8"/>
    <x v="5"/>
    <s v="S12000005"/>
    <m/>
    <m/>
    <n v="520"/>
    <m/>
    <m/>
    <m/>
    <n v="24931"/>
    <n v="2.0859999999999999"/>
    <m/>
    <n v="24077"/>
    <n v="2.16"/>
    <m/>
  </r>
  <r>
    <x v="8"/>
    <x v="6"/>
    <s v="S12000006"/>
    <m/>
    <m/>
    <n v="1255"/>
    <m/>
    <m/>
    <m/>
    <n v="75521"/>
    <n v="1.6619999999999999"/>
    <m/>
    <n v="70405"/>
    <n v="1.7829999999999999"/>
    <m/>
  </r>
  <r>
    <x v="8"/>
    <x v="7"/>
    <s v="S12000042"/>
    <m/>
    <m/>
    <n v="1766"/>
    <m/>
    <m/>
    <m/>
    <n v="75453"/>
    <n v="2.3410000000000002"/>
    <m/>
    <n v="71224"/>
    <n v="2.48"/>
    <m/>
  </r>
  <r>
    <x v="8"/>
    <x v="8"/>
    <s v="S12000008"/>
    <m/>
    <m/>
    <n v="1194"/>
    <m/>
    <m/>
    <m/>
    <n v="58973"/>
    <n v="2.0249999999999999"/>
    <m/>
    <n v="56149"/>
    <n v="2.1259999999999999"/>
    <m/>
  </r>
  <r>
    <x v="8"/>
    <x v="9"/>
    <s v="S12000045"/>
    <m/>
    <m/>
    <n v="1279"/>
    <m/>
    <m/>
    <m/>
    <n v="47549"/>
    <n v="2.69"/>
    <m/>
    <n v="46849"/>
    <n v="2.73"/>
    <m/>
  </r>
  <r>
    <x v="8"/>
    <x v="10"/>
    <s v="S12000010"/>
    <m/>
    <m/>
    <n v="646"/>
    <m/>
    <m/>
    <m/>
    <n v="50641"/>
    <n v="1.276"/>
    <m/>
    <n v="48440"/>
    <n v="1.3340000000000001"/>
    <m/>
  </r>
  <r>
    <x v="8"/>
    <x v="11"/>
    <s v="S12000011"/>
    <m/>
    <m/>
    <n v="645"/>
    <m/>
    <m/>
    <m/>
    <n v="39909"/>
    <n v="1.6160000000000001"/>
    <m/>
    <n v="40081"/>
    <n v="1.609"/>
    <m/>
  </r>
  <r>
    <x v="8"/>
    <x v="12"/>
    <s v="S12000014"/>
    <m/>
    <m/>
    <n v="1070"/>
    <m/>
    <m/>
    <m/>
    <n v="75942"/>
    <n v="1.409"/>
    <m/>
    <n v="73375"/>
    <n v="1.458"/>
    <m/>
  </r>
  <r>
    <x v="8"/>
    <x v="13"/>
    <s v="S12000015"/>
    <m/>
    <m/>
    <n v="3158"/>
    <m/>
    <m/>
    <m/>
    <n v="180234"/>
    <n v="1.752"/>
    <m/>
    <n v="171086"/>
    <n v="1.8460000000000001"/>
    <m/>
  </r>
  <r>
    <x v="8"/>
    <x v="14"/>
    <s v="S12000046"/>
    <m/>
    <m/>
    <n v="4705"/>
    <m/>
    <m/>
    <m/>
    <n v="319810"/>
    <n v="1.4710000000000001"/>
    <m/>
    <n v="298847"/>
    <n v="1.5739999999999998"/>
    <m/>
  </r>
  <r>
    <x v="8"/>
    <x v="15"/>
    <s v="S12000017"/>
    <m/>
    <m/>
    <n v="2214"/>
    <m/>
    <m/>
    <m/>
    <n v="120785"/>
    <n v="1.833"/>
    <m/>
    <n v="110743"/>
    <n v="1.9990000000000001"/>
    <m/>
  </r>
  <r>
    <x v="8"/>
    <x v="16"/>
    <s v="S12000018"/>
    <m/>
    <m/>
    <n v="871"/>
    <m/>
    <m/>
    <m/>
    <n v="39446"/>
    <n v="2.2080000000000002"/>
    <m/>
    <n v="37958"/>
    <n v="2.2949999999999999"/>
    <m/>
  </r>
  <r>
    <x v="8"/>
    <x v="17"/>
    <s v="S12000019"/>
    <m/>
    <m/>
    <n v="577"/>
    <m/>
    <m/>
    <m/>
    <n v="42492"/>
    <n v="1.3580000000000001"/>
    <m/>
    <n v="40876"/>
    <n v="1.4119999999999999"/>
    <m/>
  </r>
  <r>
    <x v="8"/>
    <x v="18"/>
    <s v="S12000020"/>
    <m/>
    <m/>
    <n v="931"/>
    <m/>
    <m/>
    <m/>
    <n v="46166"/>
    <n v="2.0169999999999999"/>
    <m/>
    <n v="43590"/>
    <n v="2.1360000000000001"/>
    <m/>
  </r>
  <r>
    <x v="8"/>
    <x v="19"/>
    <s v="S12000013"/>
    <m/>
    <m/>
    <n v="242"/>
    <m/>
    <m/>
    <m/>
    <n v="14856"/>
    <n v="1.629"/>
    <m/>
    <n v="12925"/>
    <n v="1.8719999999999999"/>
    <m/>
  </r>
  <r>
    <x v="8"/>
    <x v="20"/>
    <s v="S12000021"/>
    <m/>
    <m/>
    <n v="1177"/>
    <m/>
    <m/>
    <m/>
    <n v="69175"/>
    <n v="1.7010000000000001"/>
    <m/>
    <n v="64886"/>
    <n v="1.8140000000000001"/>
    <m/>
  </r>
  <r>
    <x v="8"/>
    <x v="21"/>
    <s v="S12000044"/>
    <m/>
    <m/>
    <n v="3283"/>
    <m/>
    <m/>
    <m/>
    <n v="158456"/>
    <n v="2.0720000000000001"/>
    <m/>
    <n v="153643"/>
    <n v="2.137"/>
    <m/>
  </r>
  <r>
    <x v="8"/>
    <x v="22"/>
    <s v="S12000023"/>
    <m/>
    <m/>
    <n v="209"/>
    <m/>
    <m/>
    <m/>
    <n v="11475"/>
    <n v="1.821"/>
    <m/>
    <n v="10758"/>
    <n v="1.9430000000000001"/>
    <m/>
  </r>
  <r>
    <x v="8"/>
    <x v="23"/>
    <s v="S12000024"/>
    <m/>
    <m/>
    <n v="849"/>
    <m/>
    <m/>
    <m/>
    <n v="74589"/>
    <n v="1.1379999999999999"/>
    <m/>
    <n v="70315"/>
    <n v="1.2070000000000001"/>
    <m/>
  </r>
  <r>
    <x v="8"/>
    <x v="24"/>
    <s v="S12000038"/>
    <m/>
    <m/>
    <n v="1377"/>
    <m/>
    <m/>
    <m/>
    <n v="89571"/>
    <n v="1.5369999999999999"/>
    <m/>
    <n v="87910"/>
    <n v="1.5659999999999998"/>
    <m/>
  </r>
  <r>
    <x v="8"/>
    <x v="25"/>
    <s v="S12000026"/>
    <m/>
    <m/>
    <n v="1001"/>
    <m/>
    <m/>
    <m/>
    <n v="59126"/>
    <n v="1.6930000000000001"/>
    <m/>
    <n v="55296"/>
    <n v="1.81"/>
    <m/>
  </r>
  <r>
    <x v="8"/>
    <x v="26"/>
    <s v="S12000027"/>
    <m/>
    <m/>
    <n v="342"/>
    <m/>
    <m/>
    <m/>
    <n v="11462"/>
    <n v="2.984"/>
    <m/>
    <n v="10554"/>
    <n v="3.24"/>
    <m/>
  </r>
  <r>
    <x v="8"/>
    <x v="27"/>
    <s v="S12000028"/>
    <m/>
    <m/>
    <n v="834"/>
    <m/>
    <m/>
    <m/>
    <n v="56016"/>
    <n v="1.4889999999999999"/>
    <m/>
    <n v="52753"/>
    <n v="1.581"/>
    <m/>
  </r>
  <r>
    <x v="8"/>
    <x v="28"/>
    <s v="S12000029"/>
    <m/>
    <m/>
    <n v="3086"/>
    <m/>
    <m/>
    <m/>
    <n v="155373"/>
    <n v="1.986"/>
    <m/>
    <n v="149864"/>
    <n v="2.0590000000000002"/>
    <m/>
  </r>
  <r>
    <x v="8"/>
    <x v="29"/>
    <s v="S12000030"/>
    <m/>
    <m/>
    <n v="479"/>
    <m/>
    <m/>
    <m/>
    <n v="42140"/>
    <n v="1.137"/>
    <m/>
    <n v="40174"/>
    <n v="1.1919999999999999"/>
    <m/>
  </r>
  <r>
    <x v="8"/>
    <x v="30"/>
    <s v="S12000039"/>
    <m/>
    <m/>
    <n v="1111"/>
    <m/>
    <m/>
    <m/>
    <n v="45607"/>
    <n v="2.4359999999999999"/>
    <m/>
    <n v="43364"/>
    <n v="2.5620000000000003"/>
    <m/>
  </r>
  <r>
    <x v="8"/>
    <x v="31"/>
    <s v="S12000040"/>
    <m/>
    <m/>
    <n v="1287"/>
    <m/>
    <m/>
    <m/>
    <n v="82591"/>
    <n v="1.5580000000000001"/>
    <m/>
    <n v="80932"/>
    <n v="1.5899999999999999"/>
    <m/>
  </r>
  <r>
    <x v="9"/>
    <x v="0"/>
    <s v="S12000033"/>
    <m/>
    <m/>
    <n v="1645"/>
    <m/>
    <m/>
    <m/>
    <n v="123363"/>
    <n v="1.333"/>
    <m/>
    <n v="109827"/>
    <n v="1.498"/>
    <m/>
  </r>
  <r>
    <x v="9"/>
    <x v="1"/>
    <s v="S12000034"/>
    <m/>
    <m/>
    <n v="1211"/>
    <m/>
    <m/>
    <m/>
    <n v="121610"/>
    <n v="0.996"/>
    <m/>
    <n v="114897"/>
    <n v="1.054"/>
    <m/>
  </r>
  <r>
    <x v="9"/>
    <x v="2"/>
    <s v="S12000041"/>
    <m/>
    <m/>
    <n v="1332"/>
    <m/>
    <m/>
    <m/>
    <n v="58088"/>
    <n v="2.2930000000000001"/>
    <m/>
    <n v="55441"/>
    <n v="2.403"/>
    <m/>
  </r>
  <r>
    <x v="9"/>
    <x v="3"/>
    <s v="S12000035"/>
    <m/>
    <m/>
    <n v="940"/>
    <m/>
    <m/>
    <m/>
    <n v="48786"/>
    <n v="1.927"/>
    <m/>
    <n v="42664"/>
    <n v="2.2029999999999998"/>
    <m/>
  </r>
  <r>
    <x v="9"/>
    <x v="4"/>
    <s v="S12000036"/>
    <m/>
    <m/>
    <n v="2046"/>
    <m/>
    <m/>
    <m/>
    <n v="261000"/>
    <n v="0.78400000000000003"/>
    <m/>
    <n v="244738"/>
    <n v="0.83599999999999997"/>
    <m/>
  </r>
  <r>
    <x v="9"/>
    <x v="5"/>
    <s v="S12000005"/>
    <m/>
    <m/>
    <n v="428"/>
    <m/>
    <m/>
    <m/>
    <n v="25109"/>
    <n v="1.7050000000000001"/>
    <m/>
    <n v="24157"/>
    <n v="1.772"/>
    <m/>
  </r>
  <r>
    <x v="9"/>
    <x v="6"/>
    <s v="S12000006"/>
    <m/>
    <m/>
    <n v="1049"/>
    <m/>
    <m/>
    <m/>
    <n v="75922"/>
    <n v="1.3820000000000001"/>
    <m/>
    <n v="70984"/>
    <n v="1.478"/>
    <m/>
  </r>
  <r>
    <x v="9"/>
    <x v="7"/>
    <s v="S12000042"/>
    <m/>
    <m/>
    <n v="1763"/>
    <m/>
    <m/>
    <m/>
    <n v="75840"/>
    <n v="2.3250000000000002"/>
    <m/>
    <n v="71701"/>
    <n v="2.4590000000000001"/>
    <m/>
  </r>
  <r>
    <x v="9"/>
    <x v="8"/>
    <s v="S12000008"/>
    <m/>
    <m/>
    <n v="1109"/>
    <m/>
    <m/>
    <m/>
    <n v="59305"/>
    <n v="1.87"/>
    <m/>
    <n v="56621"/>
    <n v="1.9590000000000001"/>
    <m/>
  </r>
  <r>
    <x v="9"/>
    <x v="9"/>
    <s v="S12000045"/>
    <m/>
    <m/>
    <n v="1173"/>
    <m/>
    <m/>
    <m/>
    <n v="47934"/>
    <n v="2.4470000000000001"/>
    <m/>
    <n v="47131"/>
    <n v="2.4889999999999999"/>
    <m/>
  </r>
  <r>
    <x v="9"/>
    <x v="10"/>
    <s v="S12000010"/>
    <m/>
    <m/>
    <n v="520"/>
    <m/>
    <m/>
    <m/>
    <n v="51409"/>
    <n v="1.0109999999999999"/>
    <m/>
    <n v="49220"/>
    <n v="1.056"/>
    <m/>
  </r>
  <r>
    <x v="9"/>
    <x v="11"/>
    <s v="S12000011"/>
    <m/>
    <m/>
    <n v="679"/>
    <m/>
    <m/>
    <m/>
    <n v="40507"/>
    <n v="1.6760000000000002"/>
    <m/>
    <n v="40697"/>
    <n v="1.6680000000000001"/>
    <m/>
  </r>
  <r>
    <x v="9"/>
    <x v="12"/>
    <s v="S12000014"/>
    <m/>
    <m/>
    <n v="930"/>
    <m/>
    <m/>
    <m/>
    <n v="76359"/>
    <n v="1.218"/>
    <m/>
    <n v="73646"/>
    <n v="1.2629999999999999"/>
    <m/>
  </r>
  <r>
    <x v="9"/>
    <x v="13"/>
    <s v="S12000015"/>
    <m/>
    <m/>
    <n v="2647"/>
    <m/>
    <m/>
    <m/>
    <n v="181405"/>
    <n v="1.4590000000000001"/>
    <m/>
    <n v="172287"/>
    <n v="1.536"/>
    <m/>
  </r>
  <r>
    <x v="9"/>
    <x v="14"/>
    <s v="S12000046"/>
    <m/>
    <m/>
    <n v="4422"/>
    <m/>
    <m/>
    <m/>
    <n v="322238"/>
    <n v="1.3719999999999999"/>
    <m/>
    <n v="300340"/>
    <n v="1.472"/>
    <m/>
  </r>
  <r>
    <x v="9"/>
    <x v="15"/>
    <s v="S12000017"/>
    <m/>
    <m/>
    <n v="2133"/>
    <m/>
    <m/>
    <m/>
    <n v="122235"/>
    <n v="1.7450000000000001"/>
    <m/>
    <n v="111633"/>
    <n v="1.911"/>
    <m/>
  </r>
  <r>
    <x v="9"/>
    <x v="16"/>
    <s v="S12000018"/>
    <m/>
    <m/>
    <n v="592"/>
    <m/>
    <m/>
    <m/>
    <n v="39776"/>
    <n v="1.488"/>
    <m/>
    <n v="38218"/>
    <n v="1.5489999999999999"/>
    <m/>
  </r>
  <r>
    <x v="9"/>
    <x v="17"/>
    <s v="S12000019"/>
    <m/>
    <m/>
    <n v="443"/>
    <m/>
    <m/>
    <m/>
    <n v="43231"/>
    <n v="1.0249999999999999"/>
    <m/>
    <n v="41676"/>
    <n v="1.0629999999999999"/>
    <m/>
  </r>
  <r>
    <x v="9"/>
    <x v="18"/>
    <s v="S12000020"/>
    <m/>
    <m/>
    <n v="687"/>
    <m/>
    <m/>
    <m/>
    <n v="46585"/>
    <n v="1.4750000000000001"/>
    <m/>
    <n v="43995"/>
    <n v="1.5620000000000001"/>
    <m/>
  </r>
  <r>
    <x v="9"/>
    <x v="19"/>
    <s v="S12000013"/>
    <m/>
    <m/>
    <n v="134"/>
    <m/>
    <m/>
    <m/>
    <n v="14975"/>
    <n v="0.89500000000000002"/>
    <m/>
    <n v="12986"/>
    <n v="1.032"/>
    <m/>
  </r>
  <r>
    <x v="9"/>
    <x v="20"/>
    <s v="S12000021"/>
    <m/>
    <m/>
    <n v="944"/>
    <m/>
    <m/>
    <m/>
    <n v="69747"/>
    <n v="1.353"/>
    <m/>
    <n v="65237"/>
    <n v="1.4470000000000001"/>
    <m/>
  </r>
  <r>
    <x v="9"/>
    <x v="21"/>
    <s v="S12000044"/>
    <m/>
    <m/>
    <n v="2568"/>
    <m/>
    <m/>
    <m/>
    <n v="159586"/>
    <n v="1.609"/>
    <m/>
    <n v="154382"/>
    <n v="1.663"/>
    <m/>
  </r>
  <r>
    <x v="9"/>
    <x v="22"/>
    <s v="S12000023"/>
    <m/>
    <m/>
    <n v="148"/>
    <m/>
    <m/>
    <m/>
    <n v="11618"/>
    <n v="1.274"/>
    <m/>
    <n v="10799"/>
    <n v="1.37"/>
    <m/>
  </r>
  <r>
    <x v="9"/>
    <x v="23"/>
    <s v="S12000024"/>
    <m/>
    <m/>
    <n v="890"/>
    <m/>
    <m/>
    <m/>
    <n v="75321"/>
    <n v="1.1819999999999999"/>
    <m/>
    <n v="71103"/>
    <n v="1.252"/>
    <m/>
  </r>
  <r>
    <x v="9"/>
    <x v="24"/>
    <s v="S12000038"/>
    <m/>
    <m/>
    <n v="1179"/>
    <m/>
    <m/>
    <m/>
    <n v="90485"/>
    <n v="1.3029999999999999"/>
    <m/>
    <n v="88749"/>
    <n v="1.3280000000000001"/>
    <m/>
  </r>
  <r>
    <x v="9"/>
    <x v="25"/>
    <s v="S12000026"/>
    <m/>
    <m/>
    <n v="859"/>
    <m/>
    <m/>
    <m/>
    <n v="59557"/>
    <n v="1.4419999999999999"/>
    <m/>
    <n v="55660"/>
    <n v="1.5430000000000001"/>
    <m/>
  </r>
  <r>
    <x v="9"/>
    <x v="26"/>
    <s v="S12000027"/>
    <m/>
    <m/>
    <n v="228"/>
    <m/>
    <m/>
    <m/>
    <n v="11544"/>
    <n v="1.9750000000000001"/>
    <m/>
    <n v="10633"/>
    <n v="2.1440000000000001"/>
    <m/>
  </r>
  <r>
    <x v="9"/>
    <x v="27"/>
    <s v="S12000028"/>
    <m/>
    <m/>
    <n v="675"/>
    <m/>
    <m/>
    <m/>
    <n v="56453"/>
    <n v="1.196"/>
    <m/>
    <n v="52920"/>
    <n v="1.276"/>
    <m/>
  </r>
  <r>
    <x v="9"/>
    <x v="28"/>
    <s v="S12000029"/>
    <m/>
    <m/>
    <n v="2707"/>
    <m/>
    <m/>
    <m/>
    <n v="157277"/>
    <n v="1.7210000000000001"/>
    <m/>
    <n v="151587"/>
    <n v="1.786"/>
    <m/>
  </r>
  <r>
    <x v="9"/>
    <x v="29"/>
    <s v="S12000030"/>
    <m/>
    <m/>
    <n v="450"/>
    <m/>
    <m/>
    <m/>
    <n v="42644"/>
    <n v="1.0549999999999999"/>
    <m/>
    <n v="40609"/>
    <n v="1.1080000000000001"/>
    <m/>
  </r>
  <r>
    <x v="9"/>
    <x v="30"/>
    <s v="S12000039"/>
    <m/>
    <m/>
    <n v="928"/>
    <m/>
    <m/>
    <m/>
    <n v="45846"/>
    <n v="2.024"/>
    <m/>
    <n v="43481"/>
    <n v="2.1339999999999999"/>
    <m/>
  </r>
  <r>
    <x v="9"/>
    <x v="31"/>
    <s v="S12000040"/>
    <m/>
    <m/>
    <n v="1240"/>
    <m/>
    <m/>
    <m/>
    <n v="83624"/>
    <n v="1.4830000000000001"/>
    <m/>
    <n v="81779"/>
    <n v="1.516"/>
    <m/>
  </r>
  <r>
    <x v="10"/>
    <x v="0"/>
    <m/>
    <n v="158"/>
    <n v="1521"/>
    <n v="1679"/>
    <n v="349"/>
    <n v="132"/>
    <n v="481"/>
    <n v="124369"/>
    <n v="1.35"/>
    <n v="0.38700000000000001"/>
    <n v="111024"/>
    <n v="1.512"/>
    <n v="0.433"/>
  </r>
  <r>
    <x v="10"/>
    <x v="1"/>
    <m/>
    <n v="107"/>
    <n v="1157"/>
    <n v="1264"/>
    <n v="248"/>
    <n v="62"/>
    <n v="310"/>
    <n v="122524"/>
    <n v="1.032"/>
    <n v="0.253"/>
    <n v="116807"/>
    <n v="1.0820000000000001"/>
    <n v="0.26500000000000001"/>
  </r>
  <r>
    <x v="10"/>
    <x v="2"/>
    <m/>
    <n v="107"/>
    <n v="867"/>
    <n v="974"/>
    <n v="138"/>
    <n v="132"/>
    <n v="270"/>
    <n v="58286"/>
    <n v="1.671"/>
    <n v="0.46300000000000002"/>
    <n v="54804"/>
    <n v="1.7770000000000001"/>
    <n v="0.49299999999999999"/>
  </r>
  <r>
    <x v="10"/>
    <x v="3"/>
    <m/>
    <n v="97"/>
    <n v="739"/>
    <n v="836"/>
    <n v="182"/>
    <n v="82"/>
    <n v="264"/>
    <n v="49144"/>
    <n v="1.7010000000000001"/>
    <n v="0.53700000000000003"/>
    <n v="42610"/>
    <n v="1.962"/>
    <n v="0.62"/>
  </r>
  <r>
    <x v="10"/>
    <x v="4"/>
    <m/>
    <n v="261"/>
    <n v="2310"/>
    <n v="2571"/>
    <n v="433"/>
    <n v="284"/>
    <n v="717"/>
    <n v="263670"/>
    <n v="0.97499999999999998"/>
    <n v="0.27200000000000002"/>
    <n v="242021"/>
    <n v="1.0620000000000001"/>
    <n v="0.29599999999999999"/>
  </r>
  <r>
    <x v="10"/>
    <x v="5"/>
    <m/>
    <n v="58"/>
    <n v="398"/>
    <n v="456"/>
    <n v="88"/>
    <n v="43"/>
    <n v="131"/>
    <n v="25277"/>
    <n v="1.804"/>
    <n v="0.51800000000000002"/>
    <n v="24305"/>
    <n v="1.8759999999999999"/>
    <n v="0.53900000000000003"/>
  </r>
  <r>
    <x v="10"/>
    <x v="6"/>
    <m/>
    <n v="237"/>
    <n v="850"/>
    <n v="1087"/>
    <n v="462"/>
    <n v="162"/>
    <n v="624"/>
    <n v="76275"/>
    <n v="1.425"/>
    <n v="0.81799999999999995"/>
    <n v="70696"/>
    <n v="1.538"/>
    <n v="0.88300000000000001"/>
  </r>
  <r>
    <x v="10"/>
    <x v="7"/>
    <m/>
    <n v="134"/>
    <n v="1306"/>
    <n v="1440"/>
    <n v="158"/>
    <n v="117"/>
    <n v="275"/>
    <n v="76306"/>
    <n v="1.887"/>
    <n v="0.36"/>
    <n v="70409"/>
    <n v="2.0449999999999999"/>
    <n v="0.39100000000000001"/>
  </r>
  <r>
    <x v="10"/>
    <x v="8"/>
    <m/>
    <n v="264"/>
    <n v="829"/>
    <n v="1093"/>
    <n v="597"/>
    <n v="105"/>
    <n v="702"/>
    <n v="59737"/>
    <n v="1.83"/>
    <n v="1.175"/>
    <n v="55811"/>
    <n v="1.958"/>
    <n v="1.258"/>
  </r>
  <r>
    <x v="10"/>
    <x v="9"/>
    <m/>
    <n v="166"/>
    <n v="855"/>
    <n v="1021"/>
    <n v="316"/>
    <n v="101"/>
    <n v="417"/>
    <n v="48165"/>
    <n v="2.12"/>
    <n v="0.86599999999999999"/>
    <n v="46610"/>
    <n v="2.1909999999999998"/>
    <n v="0.89500000000000002"/>
  </r>
  <r>
    <x v="10"/>
    <x v="10"/>
    <m/>
    <n v="64"/>
    <n v="559"/>
    <n v="623"/>
    <n v="118"/>
    <n v="39"/>
    <n v="157"/>
    <n v="52327"/>
    <n v="1.1910000000000001"/>
    <n v="0.3"/>
    <n v="49686"/>
    <n v="1.254"/>
    <n v="0.316"/>
  </r>
  <r>
    <x v="10"/>
    <x v="11"/>
    <m/>
    <n v="159"/>
    <n v="487"/>
    <n v="646"/>
    <n v="314"/>
    <n v="68"/>
    <n v="382"/>
    <n v="40849"/>
    <n v="1.581"/>
    <n v="0.93500000000000005"/>
    <n v="40260"/>
    <n v="1.605"/>
    <n v="0.94899999999999995"/>
  </r>
  <r>
    <x v="10"/>
    <x v="12"/>
    <m/>
    <n v="125"/>
    <n v="679"/>
    <n v="804"/>
    <n v="275"/>
    <n v="91"/>
    <n v="366"/>
    <n v="76689"/>
    <n v="1.048"/>
    <n v="0.47699999999999998"/>
    <n v="72907"/>
    <n v="1.103"/>
    <n v="0.502"/>
  </r>
  <r>
    <x v="10"/>
    <x v="13"/>
    <m/>
    <n v="483"/>
    <n v="1849"/>
    <n v="2332"/>
    <n v="832"/>
    <n v="385"/>
    <n v="1217"/>
    <n v="182775"/>
    <n v="1.276"/>
    <n v="0.66600000000000004"/>
    <n v="170982"/>
    <n v="1.3639999999999999"/>
    <n v="0.71199999999999997"/>
  </r>
  <r>
    <x v="10"/>
    <x v="14"/>
    <m/>
    <n v="750"/>
    <n v="3363"/>
    <n v="4113"/>
    <n v="1391"/>
    <n v="534"/>
    <n v="1925"/>
    <n v="324431"/>
    <n v="1.268"/>
    <n v="0.59299999999999997"/>
    <n v="297386"/>
    <n v="1.383"/>
    <n v="0.64700000000000002"/>
  </r>
  <r>
    <x v="10"/>
    <x v="15"/>
    <m/>
    <n v="145"/>
    <n v="1925"/>
    <n v="2070"/>
    <n v="231"/>
    <n v="226"/>
    <n v="457"/>
    <n v="123568"/>
    <n v="1.675"/>
    <n v="0.37"/>
    <n v="112857"/>
    <n v="1.8340000000000001"/>
    <n v="0.40500000000000003"/>
  </r>
  <r>
    <x v="10"/>
    <x v="16"/>
    <m/>
    <n v="173"/>
    <n v="319"/>
    <n v="492"/>
    <n v="321"/>
    <n v="116"/>
    <n v="437"/>
    <n v="39913"/>
    <n v="1.2330000000000001"/>
    <n v="1.095"/>
    <n v="37556"/>
    <n v="1.31"/>
    <n v="1.1639999999999999"/>
  </r>
  <r>
    <x v="10"/>
    <x v="17"/>
    <m/>
    <n v="68"/>
    <n v="350"/>
    <n v="418"/>
    <n v="133"/>
    <n v="47"/>
    <n v="180"/>
    <n v="44052"/>
    <n v="0.94899999999999995"/>
    <n v="0.40899999999999997"/>
    <n v="41958"/>
    <n v="0.996"/>
    <n v="0.42899999999999999"/>
  </r>
  <r>
    <x v="10"/>
    <x v="18"/>
    <m/>
    <n v="58"/>
    <n v="619"/>
    <n v="677"/>
    <n v="104"/>
    <n v="71"/>
    <n v="175"/>
    <n v="47060"/>
    <n v="1.4390000000000001"/>
    <n v="0.372"/>
    <n v="43891"/>
    <n v="1.542"/>
    <n v="0.39900000000000002"/>
  </r>
  <r>
    <x v="10"/>
    <x v="19"/>
    <m/>
    <n v="12"/>
    <n v="90"/>
    <n v="102"/>
    <n v="28"/>
    <n v="18"/>
    <n v="46"/>
    <n v="15097"/>
    <n v="0.67600000000000005"/>
    <n v="0.30499999999999999"/>
    <n v="12806"/>
    <n v="0.79700000000000004"/>
    <n v="0.35899999999999999"/>
  </r>
  <r>
    <x v="10"/>
    <x v="20"/>
    <m/>
    <n v="201"/>
    <n v="666"/>
    <n v="867"/>
    <n v="311"/>
    <n v="176"/>
    <n v="487"/>
    <n v="70223"/>
    <n v="1.2349999999999999"/>
    <n v="0.69399999999999995"/>
    <n v="64633"/>
    <n v="1.341"/>
    <n v="0.753"/>
  </r>
  <r>
    <x v="10"/>
    <x v="21"/>
    <m/>
    <n v="354"/>
    <n v="1714"/>
    <n v="2068"/>
    <n v="743"/>
    <n v="208"/>
    <n v="951"/>
    <n v="160560"/>
    <n v="1.288"/>
    <n v="0.59199999999999997"/>
    <n v="152653"/>
    <n v="1.355"/>
    <n v="0.623"/>
  </r>
  <r>
    <x v="10"/>
    <x v="22"/>
    <m/>
    <n v="31"/>
    <n v="175"/>
    <n v="206"/>
    <n v="95"/>
    <n v="16"/>
    <n v="111"/>
    <n v="11719"/>
    <n v="1.758"/>
    <n v="0.94699999999999995"/>
    <n v="10811"/>
    <n v="1.905"/>
    <n v="1.0269999999999999"/>
  </r>
  <r>
    <x v="10"/>
    <x v="23"/>
    <m/>
    <n v="110"/>
    <n v="640"/>
    <n v="750"/>
    <n v="258"/>
    <n v="52"/>
    <n v="310"/>
    <n v="76136"/>
    <n v="0.98499999999999999"/>
    <n v="0.40699999999999997"/>
    <n v="70837"/>
    <n v="1.0589999999999999"/>
    <n v="0.438"/>
  </r>
  <r>
    <x v="10"/>
    <x v="24"/>
    <m/>
    <n v="342"/>
    <n v="826"/>
    <n v="1168"/>
    <n v="726"/>
    <n v="131"/>
    <n v="857"/>
    <n v="91192"/>
    <n v="1.2810000000000001"/>
    <n v="0.94"/>
    <n v="87576"/>
    <n v="1.3340000000000001"/>
    <n v="0.97899999999999998"/>
  </r>
  <r>
    <x v="10"/>
    <x v="25"/>
    <m/>
    <n v="128"/>
    <n v="776"/>
    <n v="904"/>
    <n v="257"/>
    <n v="97"/>
    <n v="354"/>
    <n v="59974"/>
    <n v="1.5070000000000001"/>
    <n v="0.59"/>
    <n v="55826"/>
    <n v="1.619"/>
    <n v="0.63400000000000001"/>
  </r>
  <r>
    <x v="10"/>
    <x v="26"/>
    <m/>
    <n v="22"/>
    <n v="194"/>
    <n v="216"/>
    <n v="19"/>
    <n v="53"/>
    <n v="72"/>
    <n v="11629"/>
    <n v="1.857"/>
    <n v="0.61899999999999999"/>
    <n v="10621"/>
    <n v="2.0339999999999998"/>
    <n v="0.67800000000000005"/>
  </r>
  <r>
    <x v="10"/>
    <x v="27"/>
    <m/>
    <n v="161"/>
    <n v="529"/>
    <n v="690"/>
    <n v="302"/>
    <n v="110"/>
    <n v="412"/>
    <n v="56697"/>
    <n v="1.2170000000000001"/>
    <n v="0.72699999999999998"/>
    <n v="52851"/>
    <n v="1.306"/>
    <n v="0.78"/>
  </r>
  <r>
    <x v="10"/>
    <x v="28"/>
    <m/>
    <n v="424"/>
    <n v="1894"/>
    <n v="2318"/>
    <n v="943"/>
    <n v="264"/>
    <n v="1207"/>
    <n v="158594"/>
    <n v="1.462"/>
    <n v="0.76100000000000001"/>
    <n v="149454"/>
    <n v="1.5510000000000002"/>
    <n v="0.80800000000000005"/>
  </r>
  <r>
    <x v="10"/>
    <x v="29"/>
    <m/>
    <n v="103"/>
    <n v="516"/>
    <n v="619"/>
    <n v="181"/>
    <n v="85"/>
    <n v="266"/>
    <n v="42990"/>
    <n v="1.44"/>
    <n v="0.61899999999999999"/>
    <n v="40810"/>
    <n v="1.5169999999999999"/>
    <n v="0.65200000000000002"/>
  </r>
  <r>
    <x v="10"/>
    <x v="30"/>
    <m/>
    <n v="192"/>
    <n v="751"/>
    <n v="943"/>
    <n v="266"/>
    <n v="137"/>
    <n v="403"/>
    <n v="46068"/>
    <n v="2.0470000000000002"/>
    <n v="0.875"/>
    <n v="42822"/>
    <n v="2.202"/>
    <n v="0.94099999999999995"/>
  </r>
  <r>
    <x v="10"/>
    <x v="31"/>
    <m/>
    <n v="228"/>
    <n v="1063"/>
    <n v="1291"/>
    <n v="622"/>
    <n v="164"/>
    <n v="786"/>
    <n v="84929"/>
    <n v="1.52"/>
    <n v="0.92500000000000004"/>
    <n v="81029"/>
    <n v="1.593"/>
    <n v="0.97"/>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n v="3635.9300000000003"/>
    <n v="2583.98"/>
    <n v="18"/>
    <n v="202.32999999999998"/>
    <n v="745.56000000000006"/>
  </r>
  <r>
    <x v="1"/>
    <n v="4001"/>
    <n v="2665"/>
    <m/>
    <n v="213"/>
    <n v="811"/>
  </r>
  <r>
    <x v="2"/>
    <n v="3690"/>
    <n v="2527"/>
    <m/>
    <n v="195"/>
    <n v="719"/>
  </r>
  <r>
    <x v="3"/>
    <n v="3633.93"/>
    <n v="2551.73"/>
    <n v="36"/>
    <n v="183.82999999999998"/>
    <n v="764.4"/>
  </r>
  <r>
    <x v="4"/>
    <n v="3487.43"/>
    <n v="2333.12"/>
    <n v="55"/>
    <n v="168.06"/>
    <n v="850.35"/>
  </r>
  <r>
    <x v="5"/>
    <n v="4151"/>
    <n v="2787"/>
    <m/>
    <n v="224"/>
    <n v="927"/>
  </r>
  <r>
    <x v="6"/>
    <n v="3644"/>
    <n v="2546"/>
    <m/>
    <n v="160"/>
    <n v="745"/>
  </r>
  <r>
    <x v="7"/>
    <n v="3528.43"/>
    <n v="2375.48"/>
    <n v="53"/>
    <n v="170.46"/>
    <n v="862.45999999999992"/>
  </r>
  <r>
    <x v="8"/>
    <n v="4159"/>
    <n v="2813"/>
    <m/>
    <n v="225"/>
    <n v="961"/>
  </r>
  <r>
    <x v="9"/>
    <n v="3856"/>
    <n v="2669"/>
    <m/>
    <n v="221"/>
    <n v="744"/>
  </r>
  <r>
    <x v="10"/>
    <n v="3544"/>
    <n v="2545"/>
    <m/>
    <n v="184"/>
    <n v="759"/>
  </r>
  <r>
    <x v="11"/>
    <n v="3578.43"/>
    <n v="2482.48"/>
    <n v="54"/>
    <n v="176.06"/>
    <n v="786.29"/>
  </r>
  <r>
    <x v="12"/>
    <n v="3419.08"/>
    <n v="2289.77"/>
    <n v="55"/>
    <n v="166.21"/>
    <n v="829.4"/>
  </r>
</pivotCacheRecords>
</file>

<file path=xl/pivotCache/pivotCacheRecords5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m/>
    <m/>
    <m/>
    <m/>
    <m/>
    <m/>
    <m/>
  </r>
  <r>
    <x v="1"/>
    <n v="24428"/>
    <n v="24882"/>
    <n v="5152"/>
    <n v="1917"/>
    <n v="5720"/>
    <n v="3370"/>
    <n v="65469"/>
  </r>
  <r>
    <x v="2"/>
    <n v="25850"/>
    <n v="28276"/>
    <n v="5558"/>
    <n v="2050"/>
    <n v="5960"/>
    <n v="3791"/>
    <n v="71485"/>
  </r>
  <r>
    <x v="3"/>
    <n v="24028"/>
    <n v="27624"/>
    <n v="5775"/>
    <n v="2509"/>
    <n v="6384"/>
    <n v="4320"/>
    <n v="70640"/>
  </r>
  <r>
    <x v="4"/>
    <n v="25048"/>
    <n v="26293"/>
    <n v="5149"/>
    <n v="2648"/>
    <n v="6070"/>
    <n v="4513"/>
    <n v="69721"/>
  </r>
  <r>
    <x v="5"/>
    <n v="27047"/>
    <n v="25504"/>
    <n v="5270"/>
    <n v="2287"/>
    <n v="5511"/>
    <n v="3464"/>
    <n v="69083"/>
  </r>
  <r>
    <x v="6"/>
    <n v="26768"/>
    <n v="24892"/>
    <n v="5534"/>
    <n v="2180"/>
    <n v="6113"/>
    <n v="3545"/>
    <n v="69032"/>
  </r>
  <r>
    <x v="7"/>
    <n v="7468"/>
    <n v="7728"/>
    <n v="1628"/>
    <n v="610"/>
    <n v="1622"/>
    <n v="905"/>
    <n v="19961"/>
  </r>
  <r>
    <x v="8"/>
    <n v="15907"/>
    <n v="16943"/>
    <n v="3682"/>
    <n v="1388"/>
    <n v="3809"/>
    <n v="2331"/>
    <n v="44060"/>
  </r>
  <r>
    <x v="9"/>
    <n v="14369"/>
    <n v="14518"/>
    <n v="3152"/>
    <n v="1259"/>
    <n v="3126"/>
    <n v="2005"/>
    <n v="38429"/>
  </r>
  <r>
    <x v="10"/>
    <n v="13928"/>
    <n v="13463"/>
    <n v="2910"/>
    <n v="1200"/>
    <n v="2980"/>
    <n v="1846"/>
    <n v="36327"/>
  </r>
</pivotCacheRecords>
</file>

<file path=xl/pivotCache/pivotCacheRecords5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m/>
    <m/>
    <m/>
    <m/>
    <m/>
    <m/>
    <m/>
  </r>
  <r>
    <x v="1"/>
    <n v="2.6"/>
    <n v="3"/>
    <n v="2.5"/>
    <n v="2.7"/>
    <n v="2.2000000000000002"/>
    <n v="2.5"/>
    <n v="2.7"/>
  </r>
  <r>
    <x v="2"/>
    <n v="2.7"/>
    <n v="3.4"/>
    <n v="2.7"/>
    <n v="2.9"/>
    <n v="2.2999999999999998"/>
    <n v="2.8"/>
    <n v="2.9"/>
  </r>
  <r>
    <x v="3"/>
    <n v="2.5"/>
    <n v="3.3"/>
    <n v="2.8"/>
    <n v="3.5"/>
    <n v="2.4"/>
    <n v="3.1"/>
    <n v="2.9"/>
  </r>
  <r>
    <x v="4"/>
    <n v="2.6"/>
    <n v="3.1"/>
    <n v="2.5"/>
    <n v="3.7"/>
    <n v="2.2000000000000002"/>
    <n v="3.2"/>
    <n v="2.8"/>
  </r>
  <r>
    <x v="5"/>
    <n v="2.8"/>
    <n v="3"/>
    <n v="2.5"/>
    <n v="3.2"/>
    <n v="2"/>
    <n v="2.5"/>
    <n v="2.8"/>
  </r>
  <r>
    <x v="6"/>
    <n v="2.7"/>
    <n v="2.9"/>
    <n v="2.6"/>
    <n v="3"/>
    <n v="2.2000000000000002"/>
    <n v="2.5"/>
    <n v="2.7"/>
  </r>
  <r>
    <x v="7"/>
    <n v="0.8"/>
    <n v="0.9"/>
    <n v="0.8"/>
    <n v="0.9"/>
    <n v="0.6"/>
    <n v="0.6"/>
    <n v="0.8"/>
  </r>
  <r>
    <x v="8"/>
    <n v="1.6"/>
    <n v="2"/>
    <n v="1.7"/>
    <n v="1.9"/>
    <n v="1.3"/>
    <n v="1.6"/>
    <n v="1.7"/>
  </r>
  <r>
    <x v="9"/>
    <n v="1.4"/>
    <n v="1.7"/>
    <n v="1.5"/>
    <n v="1.7"/>
    <n v="1.1000000000000001"/>
    <n v="1.4"/>
    <n v="1.5"/>
  </r>
  <r>
    <x v="10"/>
    <n v="1.4"/>
    <n v="1.5"/>
    <n v="1.3"/>
    <n v="1.7"/>
    <n v="1"/>
    <n v="1.3"/>
    <n v="1.4"/>
  </r>
</pivotCacheRecords>
</file>

<file path=xl/pivotCache/pivotCacheRecords5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66828"/>
    <m/>
    <m/>
    <m/>
  </r>
  <r>
    <x v="1"/>
    <n v="63640"/>
    <m/>
    <m/>
    <m/>
  </r>
  <r>
    <x v="2"/>
    <n v="69038"/>
    <n v="176331"/>
    <m/>
    <m/>
  </r>
  <r>
    <x v="3"/>
    <n v="68202"/>
    <n v="177208"/>
    <m/>
    <n v="45412"/>
  </r>
  <r>
    <x v="4"/>
    <n v="67131"/>
    <n v="180398"/>
    <n v="264044"/>
    <n v="45808"/>
  </r>
  <r>
    <x v="5"/>
    <n v="66180"/>
    <n v="176578"/>
    <n v="267536"/>
    <n v="47304"/>
  </r>
  <r>
    <x v="6"/>
    <n v="35000"/>
    <n v="100834"/>
    <n v="168447"/>
    <n v="27138"/>
  </r>
  <r>
    <x v="7"/>
    <n v="19380"/>
    <n v="135928"/>
    <n v="235923"/>
    <n v="12799"/>
  </r>
  <r>
    <x v="8"/>
    <n v="42606"/>
    <n v="116376"/>
    <n v="217787"/>
    <n v="32582"/>
  </r>
  <r>
    <x v="9"/>
    <n v="66056"/>
    <n v="174615"/>
    <n v="272384"/>
    <n v="47485"/>
  </r>
  <r>
    <x v="10"/>
    <n v="36957"/>
    <n v="87999"/>
    <n v="193539"/>
    <n v="26709"/>
  </r>
</pivotCacheRecords>
</file>

<file path=xl/pivotCache/pivotCacheRecords5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2.7800000000000002E-2"/>
    <m/>
    <m/>
  </r>
  <r>
    <x v="1"/>
    <n v="2.63E-2"/>
    <m/>
    <m/>
  </r>
  <r>
    <x v="2"/>
    <n v="2.8399999999999998E-2"/>
    <n v="7.2999999999999995E-2"/>
    <m/>
  </r>
  <r>
    <x v="3"/>
    <n v="2.7900000000000001E-2"/>
    <n v="7.2900000000000006E-2"/>
    <m/>
  </r>
  <r>
    <x v="4"/>
    <n v="2.7300000000000001E-2"/>
    <n v="7.3700000000000002E-2"/>
    <n v="0.1079"/>
  </r>
  <r>
    <x v="5"/>
    <n v="2.6699999999999998E-2"/>
    <n v="7.17E-2"/>
    <n v="0.10869999999999999"/>
  </r>
  <r>
    <x v="6"/>
    <n v="1.38E-2"/>
    <n v="3.9699999999999999E-2"/>
    <n v="6.6400000000000001E-2"/>
  </r>
  <r>
    <x v="7"/>
    <n v="7.7000000000000002E-3"/>
    <n v="5.45E-2"/>
    <n v="9.4600000000000004E-2"/>
  </r>
  <r>
    <x v="8"/>
    <n v="1.6800000000000002E-2"/>
    <n v="4.6399999999999997E-2"/>
    <n v="8.6699999999999999E-2"/>
  </r>
  <r>
    <x v="9"/>
    <n v="2.6499999999999999E-2"/>
    <n v="7.0499999999999993E-2"/>
    <n v="0.1099"/>
  </r>
  <r>
    <x v="10"/>
    <n v="1.4499999999999999E-2"/>
    <n v="3.4799999999999998E-2"/>
    <n v="7.6499999999999999E-2"/>
  </r>
</pivotCacheRecords>
</file>

<file path=xl/pivotCache/pivotCacheRecords5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n v="29094"/>
    <m/>
    <m/>
  </r>
  <r>
    <x v="1"/>
    <n v="26541"/>
    <m/>
    <m/>
  </r>
  <r>
    <x v="2"/>
    <n v="27846"/>
    <n v="79298"/>
    <m/>
  </r>
  <r>
    <x v="3"/>
    <n v="28400"/>
    <n v="78665"/>
    <m/>
  </r>
  <r>
    <x v="4"/>
    <n v="27184"/>
    <n v="79049"/>
    <n v="121558"/>
  </r>
  <r>
    <x v="5"/>
    <n v="23995"/>
    <n v="75250"/>
    <n v="119658"/>
  </r>
  <r>
    <x v="6"/>
    <n v="7589"/>
    <n v="51886"/>
    <n v="100274"/>
  </r>
  <r>
    <x v="7"/>
    <n v="21868"/>
    <n v="69792"/>
    <n v="117387"/>
  </r>
  <r>
    <x v="8"/>
    <n v="5932"/>
    <n v="34580"/>
    <n v="81267"/>
  </r>
  <r>
    <x v="9"/>
    <n v="5788"/>
    <m/>
    <m/>
  </r>
</pivotCacheRecords>
</file>

<file path=xl/pivotCache/pivotCacheRecords5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n v="1.21E-2"/>
    <m/>
    <m/>
  </r>
  <r>
    <x v="1"/>
    <n v="1.1000000000000001E-2"/>
    <m/>
    <m/>
  </r>
  <r>
    <x v="2"/>
    <n v="1.15E-2"/>
    <n v="3.2800000000000003E-2"/>
    <m/>
  </r>
  <r>
    <x v="3"/>
    <n v="1.1599999999999999E-2"/>
    <n v="3.2400000000000005E-2"/>
    <m/>
  </r>
  <r>
    <x v="4"/>
    <n v="1.1000000000000001E-2"/>
    <n v="3.2300000000000002E-2"/>
    <n v="4.9699999999999994E-2"/>
  </r>
  <r>
    <x v="5"/>
    <n v="9.7000000000000003E-3"/>
    <n v="3.0600000000000002E-2"/>
    <n v="4.8600000000000004E-2"/>
  </r>
  <r>
    <x v="6"/>
    <n v="3.0000000000000001E-3"/>
    <n v="2.0799999999999999E-2"/>
    <n v="4.0199999999999993E-2"/>
  </r>
  <r>
    <x v="7"/>
    <n v="8.8000000000000005E-3"/>
    <n v="2.8199999999999999E-2"/>
    <n v="4.7400000000000005E-2"/>
  </r>
  <r>
    <x v="8"/>
    <n v="2.3E-3"/>
    <n v="1.38E-2"/>
    <n v="3.2400000000000005E-2"/>
  </r>
  <r>
    <x v="9"/>
    <n v="2.3E-3"/>
    <m/>
    <m/>
  </r>
</pivotCacheRecords>
</file>

<file path=xl/pivotCache/pivotCacheRecords5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m/>
    <m/>
    <m/>
    <m/>
    <m/>
    <m/>
  </r>
  <r>
    <x v="1"/>
    <n v="3.4"/>
    <n v="3.2"/>
    <n v="2.6"/>
    <n v="2.2000000000000002"/>
    <n v="1.9"/>
    <n v="2.7"/>
  </r>
  <r>
    <x v="2"/>
    <n v="3.6"/>
    <n v="3.4"/>
    <n v="2.9"/>
    <n v="2.5"/>
    <n v="2"/>
    <n v="2.9"/>
  </r>
  <r>
    <x v="3"/>
    <n v="3.3"/>
    <n v="3.3"/>
    <n v="2.9"/>
    <n v="2.6"/>
    <n v="2.1"/>
    <n v="2.9"/>
  </r>
  <r>
    <x v="4"/>
    <n v="3.5"/>
    <n v="3.2"/>
    <n v="2.8"/>
    <n v="2.4"/>
    <n v="2"/>
    <n v="2.8"/>
  </r>
  <r>
    <x v="5"/>
    <n v="3.6"/>
    <n v="3.2"/>
    <n v="2.7"/>
    <n v="2.2000000000000002"/>
    <n v="1.9"/>
    <n v="2.8"/>
  </r>
  <r>
    <x v="6"/>
    <n v="3.7"/>
    <n v="3.1"/>
    <n v="2.6"/>
    <n v="2.2999999999999998"/>
    <n v="1.9"/>
    <n v="2.7"/>
  </r>
  <r>
    <x v="7"/>
    <n v="1"/>
    <n v="0.9"/>
    <n v="0.7"/>
    <n v="0.6"/>
    <n v="0.5"/>
    <n v="0.8"/>
  </r>
  <r>
    <x v="8"/>
    <n v="2"/>
    <n v="2"/>
    <n v="1.7"/>
    <n v="1.5"/>
    <n v="1.3"/>
    <n v="1.7"/>
  </r>
  <r>
    <x v="9"/>
    <n v="1.9"/>
    <n v="1.8"/>
    <n v="1.4"/>
    <n v="1.2"/>
    <n v="1"/>
    <n v="1.5"/>
  </r>
  <r>
    <x v="10"/>
    <n v="1.8"/>
    <n v="1.8"/>
    <n v="1.3"/>
    <n v="1.1000000000000001"/>
    <n v="1"/>
    <n v="1.4"/>
  </r>
</pivotCacheRecords>
</file>

<file path=xl/pivotCache/pivotCacheRecords5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m/>
    <m/>
    <m/>
    <m/>
    <m/>
    <m/>
    <m/>
  </r>
  <r>
    <x v="1"/>
    <n v="17849"/>
    <n v="15907"/>
    <n v="12769"/>
    <n v="10233"/>
    <n v="8711"/>
    <m/>
    <n v="65469"/>
  </r>
  <r>
    <x v="2"/>
    <n v="18934"/>
    <n v="17395"/>
    <n v="14102"/>
    <n v="11771"/>
    <n v="9285"/>
    <m/>
    <n v="71487"/>
  </r>
  <r>
    <x v="3"/>
    <n v="17677"/>
    <n v="16793"/>
    <n v="14119"/>
    <n v="12424"/>
    <n v="9629"/>
    <m/>
    <n v="70642"/>
  </r>
  <r>
    <x v="4"/>
    <n v="18493"/>
    <n v="16335"/>
    <n v="13734"/>
    <n v="11938"/>
    <n v="9223"/>
    <m/>
    <n v="69723"/>
  </r>
  <r>
    <x v="5"/>
    <n v="19471"/>
    <n v="16459"/>
    <n v="13401"/>
    <n v="10897"/>
    <n v="8859"/>
    <m/>
    <n v="69087"/>
  </r>
  <r>
    <x v="6"/>
    <n v="19653"/>
    <n v="16030"/>
    <n v="13327"/>
    <n v="11305"/>
    <n v="8721"/>
    <m/>
    <n v="69036"/>
  </r>
  <r>
    <x v="7"/>
    <n v="5590"/>
    <n v="4810"/>
    <n v="3757"/>
    <n v="3262"/>
    <n v="2543"/>
    <m/>
    <n v="19962"/>
  </r>
  <r>
    <x v="8"/>
    <n v="10755"/>
    <n v="10458"/>
    <n v="8762"/>
    <n v="7730"/>
    <n v="6358"/>
    <m/>
    <n v="44063"/>
  </r>
  <r>
    <x v="9"/>
    <n v="10432"/>
    <n v="9683"/>
    <n v="7386"/>
    <n v="6180"/>
    <n v="4768"/>
    <m/>
    <n v="38449"/>
  </r>
  <r>
    <x v="10"/>
    <n v="9744"/>
    <n v="9303"/>
    <n v="6945"/>
    <n v="5766"/>
    <n v="4572"/>
    <m/>
    <n v="36330"/>
  </r>
</pivotCacheRecords>
</file>

<file path=xl/pivotCache/pivotCacheRecords5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x v="0"/>
    <x v="0"/>
    <m/>
    <m/>
    <m/>
    <m/>
    <m/>
  </r>
  <r>
    <x v="1"/>
    <x v="1"/>
    <n v="5311"/>
    <n v="2914"/>
    <n v="54.9"/>
    <n v="0.55000000000000004"/>
    <n v="525964"/>
  </r>
  <r>
    <x v="1"/>
    <x v="2"/>
    <n v="7232"/>
    <n v="4166"/>
    <n v="57.6"/>
    <n v="0.83"/>
    <n v="504692"/>
  </r>
  <r>
    <x v="1"/>
    <x v="3"/>
    <n v="7001"/>
    <n v="3879"/>
    <n v="55.4"/>
    <n v="0.79"/>
    <n v="488191"/>
  </r>
  <r>
    <x v="1"/>
    <x v="4"/>
    <n v="7027"/>
    <n v="3984"/>
    <n v="56.7"/>
    <n v="0.85"/>
    <n v="467642"/>
  </r>
  <r>
    <x v="1"/>
    <x v="5"/>
    <n v="6863"/>
    <n v="3917"/>
    <n v="57.1"/>
    <n v="0.87"/>
    <n v="449892"/>
  </r>
  <r>
    <x v="2"/>
    <x v="1"/>
    <n v="5852"/>
    <n v="3156"/>
    <n v="53.9"/>
    <n v="0.6"/>
    <n v="528323"/>
  </r>
  <r>
    <x v="2"/>
    <x v="2"/>
    <n v="8111"/>
    <n v="4507"/>
    <n v="55.6"/>
    <n v="0.89"/>
    <n v="506910"/>
  </r>
  <r>
    <x v="2"/>
    <x v="3"/>
    <n v="7986"/>
    <n v="4448"/>
    <n v="55.7"/>
    <n v="0.91"/>
    <n v="490270"/>
  </r>
  <r>
    <x v="2"/>
    <x v="4"/>
    <n v="8176"/>
    <n v="4368"/>
    <n v="53.4"/>
    <n v="0.92"/>
    <n v="472964"/>
  </r>
  <r>
    <x v="2"/>
    <x v="5"/>
    <n v="7333"/>
    <n v="4100"/>
    <n v="55.9"/>
    <n v="0.9"/>
    <n v="453045"/>
  </r>
  <r>
    <x v="3"/>
    <x v="1"/>
    <n v="5988"/>
    <n v="3276"/>
    <n v="54.7"/>
    <n v="0.62"/>
    <n v="530637"/>
  </r>
  <r>
    <x v="3"/>
    <x v="2"/>
    <n v="8378"/>
    <n v="4745"/>
    <n v="56.6"/>
    <n v="0.93"/>
    <n v="509500"/>
  </r>
  <r>
    <x v="3"/>
    <x v="3"/>
    <n v="8563"/>
    <n v="4675"/>
    <n v="54.6"/>
    <n v="0.95"/>
    <n v="494416"/>
  </r>
  <r>
    <x v="3"/>
    <x v="4"/>
    <n v="8892"/>
    <n v="4750"/>
    <n v="53.4"/>
    <n v="0.99"/>
    <n v="479897"/>
  </r>
  <r>
    <x v="3"/>
    <x v="5"/>
    <n v="7902"/>
    <n v="4428"/>
    <n v="56"/>
    <n v="0.97"/>
    <n v="455604"/>
  </r>
  <r>
    <x v="4"/>
    <x v="1"/>
    <n v="6009"/>
    <n v="3169"/>
    <n v="52.7"/>
    <n v="0.6"/>
    <n v="532256"/>
  </r>
  <r>
    <x v="4"/>
    <x v="2"/>
    <n v="8141"/>
    <n v="4633"/>
    <n v="56.9"/>
    <n v="0.9"/>
    <n v="512529"/>
  </r>
  <r>
    <x v="4"/>
    <x v="3"/>
    <n v="8217"/>
    <n v="4491"/>
    <n v="54.7"/>
    <n v="0.9"/>
    <n v="498164"/>
  </r>
  <r>
    <x v="4"/>
    <x v="4"/>
    <n v="8475"/>
    <n v="4510"/>
    <n v="53.2"/>
    <n v="0.93"/>
    <n v="487395"/>
  </r>
  <r>
    <x v="4"/>
    <x v="5"/>
    <n v="7496"/>
    <n v="4264"/>
    <n v="56.9"/>
    <n v="0.93"/>
    <n v="459499"/>
  </r>
  <r>
    <x v="5"/>
    <x v="1"/>
    <n v="5680"/>
    <n v="2967"/>
    <n v="52.2"/>
    <n v="0.56000000000000005"/>
    <n v="534275"/>
  </r>
  <r>
    <x v="5"/>
    <x v="2"/>
    <n v="7500"/>
    <n v="4073"/>
    <n v="54.3"/>
    <n v="0.79"/>
    <n v="514316"/>
  </r>
  <r>
    <x v="5"/>
    <x v="3"/>
    <n v="7662"/>
    <n v="3983"/>
    <n v="52"/>
    <n v="0.8"/>
    <n v="500858"/>
  </r>
  <r>
    <x v="5"/>
    <x v="4"/>
    <n v="7415"/>
    <n v="3799"/>
    <n v="51.2"/>
    <n v="0.77"/>
    <n v="493970"/>
  </r>
  <r>
    <x v="5"/>
    <x v="5"/>
    <n v="7074"/>
    <n v="3690"/>
    <n v="52.2"/>
    <n v="0.8"/>
    <n v="463248"/>
  </r>
  <r>
    <x v="6"/>
    <x v="1"/>
    <n v="5596"/>
    <n v="2750"/>
    <n v="49.1"/>
    <n v="0.51"/>
    <n v="536037"/>
  </r>
  <r>
    <x v="6"/>
    <x v="2"/>
    <n v="7144"/>
    <n v="3747"/>
    <n v="52.4"/>
    <n v="0.72"/>
    <n v="518089"/>
  </r>
  <r>
    <x v="6"/>
    <x v="3"/>
    <n v="7292"/>
    <n v="3557"/>
    <n v="48.8"/>
    <n v="0.7"/>
    <n v="505001"/>
  </r>
  <r>
    <x v="6"/>
    <x v="4"/>
    <n v="7621"/>
    <n v="3533"/>
    <n v="46.4"/>
    <n v="0.7"/>
    <n v="501595"/>
  </r>
  <r>
    <x v="6"/>
    <x v="5"/>
    <n v="6942"/>
    <n v="3404"/>
    <n v="49"/>
    <n v="0.73"/>
    <n v="467052"/>
  </r>
  <r>
    <x v="7"/>
    <x v="1"/>
    <n v="1867"/>
    <n v="1040"/>
    <n v="55.7"/>
    <n v="0.19"/>
    <n v="536888"/>
  </r>
  <r>
    <x v="7"/>
    <x v="2"/>
    <n v="2345"/>
    <n v="1302"/>
    <n v="55.5"/>
    <n v="0.25"/>
    <n v="518933"/>
  </r>
  <r>
    <x v="7"/>
    <x v="3"/>
    <n v="2231"/>
    <n v="1194"/>
    <n v="53.5"/>
    <n v="0.24"/>
    <n v="507851"/>
  </r>
  <r>
    <x v="7"/>
    <x v="4"/>
    <n v="2290"/>
    <n v="1261"/>
    <n v="55.1"/>
    <n v="0.25"/>
    <n v="506063"/>
  </r>
  <r>
    <x v="7"/>
    <x v="5"/>
    <n v="2073"/>
    <n v="1177"/>
    <n v="56.8"/>
    <n v="0.25"/>
    <n v="469008"/>
  </r>
  <r>
    <x v="8"/>
    <x v="1"/>
    <m/>
    <m/>
    <m/>
    <m/>
    <m/>
  </r>
  <r>
    <x v="8"/>
    <x v="2"/>
    <m/>
    <m/>
    <m/>
    <m/>
    <m/>
  </r>
  <r>
    <x v="8"/>
    <x v="3"/>
    <m/>
    <m/>
    <m/>
    <m/>
    <m/>
  </r>
  <r>
    <x v="8"/>
    <x v="4"/>
    <m/>
    <m/>
    <m/>
    <m/>
    <m/>
  </r>
  <r>
    <x v="8"/>
    <x v="5"/>
    <m/>
    <m/>
    <m/>
    <m/>
    <m/>
  </r>
  <r>
    <x v="9"/>
    <x v="1"/>
    <m/>
    <m/>
    <m/>
    <m/>
    <m/>
  </r>
  <r>
    <x v="9"/>
    <x v="2"/>
    <m/>
    <m/>
    <m/>
    <m/>
    <m/>
  </r>
  <r>
    <x v="9"/>
    <x v="3"/>
    <m/>
    <m/>
    <m/>
    <m/>
    <m/>
  </r>
  <r>
    <x v="9"/>
    <x v="4"/>
    <m/>
    <m/>
    <m/>
    <m/>
    <m/>
  </r>
  <r>
    <x v="9"/>
    <x v="5"/>
    <m/>
    <m/>
    <m/>
    <m/>
    <m/>
  </r>
  <r>
    <x v="10"/>
    <x v="1"/>
    <n v="2789"/>
    <n v="981"/>
    <n v="35.200000000000003"/>
    <n v="0.18"/>
    <n v="544255"/>
  </r>
  <r>
    <x v="10"/>
    <x v="2"/>
    <n v="3963"/>
    <n v="1238"/>
    <n v="31.2"/>
    <n v="0.23"/>
    <n v="527943"/>
  </r>
  <r>
    <x v="10"/>
    <x v="3"/>
    <n v="3702"/>
    <n v="982"/>
    <n v="26.5"/>
    <n v="0.19"/>
    <n v="522313"/>
  </r>
  <r>
    <x v="10"/>
    <x v="4"/>
    <n v="3734"/>
    <n v="865"/>
    <n v="23.2"/>
    <n v="0.16"/>
    <n v="530772"/>
  </r>
  <r>
    <x v="10"/>
    <x v="5"/>
    <n v="3529"/>
    <n v="837"/>
    <n v="23.7"/>
    <n v="0.17"/>
    <n v="479297"/>
  </r>
</pivotCacheRecords>
</file>

<file path=xl/pivotCache/pivotCacheRecords5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
  <r>
    <x v="0"/>
    <x v="0"/>
    <n v="145"/>
    <n v="283"/>
    <m/>
    <n v="14"/>
    <n v="45"/>
    <n v="20"/>
  </r>
  <r>
    <x v="0"/>
    <x v="1"/>
    <n v="752"/>
    <n v="456"/>
    <m/>
    <n v="29"/>
    <n v="102"/>
    <n v="48"/>
  </r>
  <r>
    <x v="1"/>
    <x v="2"/>
    <n v="3"/>
    <n v="73"/>
    <m/>
    <n v="4"/>
    <n v="91"/>
    <n v="17"/>
  </r>
  <r>
    <x v="2"/>
    <x v="2"/>
    <n v="7"/>
    <n v="84"/>
    <m/>
    <n v="3"/>
    <n v="93"/>
    <n v="20"/>
  </r>
  <r>
    <x v="2"/>
    <x v="3"/>
    <m/>
    <n v="3"/>
    <m/>
    <m/>
    <m/>
    <n v="2"/>
  </r>
  <r>
    <x v="3"/>
    <x v="1"/>
    <n v="701"/>
    <n v="357"/>
    <n v="4"/>
    <n v="19"/>
    <n v="87"/>
    <n v="28"/>
  </r>
  <r>
    <x v="4"/>
    <x v="4"/>
    <n v="748"/>
    <n v="457"/>
    <n v="19"/>
    <n v="27"/>
    <n v="151"/>
    <n v="65"/>
  </r>
  <r>
    <x v="4"/>
    <x v="5"/>
    <n v="185"/>
    <n v="330"/>
    <n v="11"/>
    <n v="28"/>
    <n v="137"/>
    <n v="45"/>
  </r>
  <r>
    <x v="5"/>
    <x v="0"/>
    <n v="248"/>
    <n v="277"/>
    <n v="2"/>
    <n v="17"/>
    <n v="52"/>
    <n v="17"/>
  </r>
  <r>
    <x v="5"/>
    <x v="6"/>
    <m/>
    <m/>
    <m/>
    <m/>
    <n v="1"/>
    <m/>
  </r>
  <r>
    <x v="6"/>
    <x v="7"/>
    <n v="676"/>
    <n v="315"/>
    <n v="4"/>
    <n v="17"/>
    <n v="99"/>
    <n v="22"/>
  </r>
  <r>
    <x v="6"/>
    <x v="6"/>
    <m/>
    <m/>
    <m/>
    <m/>
    <n v="2"/>
    <m/>
  </r>
  <r>
    <x v="7"/>
    <x v="8"/>
    <m/>
    <m/>
    <m/>
    <m/>
    <n v="15"/>
    <n v="2"/>
  </r>
  <r>
    <x v="8"/>
    <x v="1"/>
    <n v="822"/>
    <n v="510"/>
    <m/>
    <n v="35"/>
    <n v="118"/>
    <n v="65"/>
  </r>
  <r>
    <x v="0"/>
    <x v="9"/>
    <n v="667"/>
    <n v="352"/>
    <m/>
    <n v="23"/>
    <n v="73"/>
    <n v="30"/>
  </r>
  <r>
    <x v="0"/>
    <x v="5"/>
    <n v="51"/>
    <n v="181"/>
    <m/>
    <n v="34"/>
    <n v="124"/>
    <n v="36"/>
  </r>
  <r>
    <x v="1"/>
    <x v="0"/>
    <n v="144"/>
    <n v="295"/>
    <m/>
    <n v="16"/>
    <n v="41"/>
    <n v="20"/>
  </r>
  <r>
    <x v="2"/>
    <x v="4"/>
    <n v="775"/>
    <n v="499"/>
    <m/>
    <n v="33"/>
    <n v="140"/>
    <n v="80"/>
  </r>
  <r>
    <x v="3"/>
    <x v="0"/>
    <n v="246"/>
    <n v="313"/>
    <n v="3"/>
    <n v="21"/>
    <n v="51"/>
    <n v="15"/>
  </r>
  <r>
    <x v="4"/>
    <x v="7"/>
    <n v="727"/>
    <n v="383"/>
    <n v="3"/>
    <n v="20"/>
    <n v="114"/>
    <n v="44"/>
  </r>
  <r>
    <x v="5"/>
    <x v="2"/>
    <n v="22"/>
    <n v="115"/>
    <n v="3"/>
    <n v="4"/>
    <n v="111"/>
    <n v="23"/>
  </r>
  <r>
    <x v="6"/>
    <x v="10"/>
    <n v="60"/>
    <n v="125"/>
    <m/>
    <n v="1"/>
    <n v="23"/>
    <n v="4"/>
  </r>
  <r>
    <x v="6"/>
    <x v="4"/>
    <n v="598"/>
    <n v="362"/>
    <n v="12"/>
    <n v="24"/>
    <n v="150"/>
    <n v="60"/>
  </r>
  <r>
    <x v="6"/>
    <x v="11"/>
    <n v="1"/>
    <n v="23"/>
    <m/>
    <m/>
    <n v="40"/>
    <n v="8"/>
  </r>
  <r>
    <x v="9"/>
    <x v="3"/>
    <m/>
    <n v="9"/>
    <m/>
    <m/>
    <n v="3"/>
    <m/>
  </r>
  <r>
    <x v="8"/>
    <x v="9"/>
    <n v="668"/>
    <n v="350"/>
    <m/>
    <n v="27"/>
    <n v="94"/>
    <n v="30"/>
  </r>
  <r>
    <x v="8"/>
    <x v="5"/>
    <n v="50"/>
    <n v="202"/>
    <m/>
    <n v="31"/>
    <n v="132"/>
    <n v="33"/>
  </r>
  <r>
    <x v="8"/>
    <x v="3"/>
    <m/>
    <n v="7"/>
    <m/>
    <m/>
    <m/>
    <n v="21"/>
  </r>
  <r>
    <x v="0"/>
    <x v="12"/>
    <n v="438"/>
    <n v="335"/>
    <m/>
    <n v="15"/>
    <n v="64"/>
    <n v="27"/>
  </r>
  <r>
    <x v="0"/>
    <x v="7"/>
    <n v="978"/>
    <n v="576"/>
    <m/>
    <n v="39"/>
    <n v="144"/>
    <n v="76"/>
  </r>
  <r>
    <x v="0"/>
    <x v="13"/>
    <m/>
    <m/>
    <m/>
    <m/>
    <n v="6"/>
    <m/>
  </r>
  <r>
    <x v="1"/>
    <x v="10"/>
    <n v="51"/>
    <n v="174"/>
    <m/>
    <n v="1"/>
    <n v="17"/>
    <n v="10"/>
  </r>
  <r>
    <x v="1"/>
    <x v="1"/>
    <n v="689"/>
    <n v="392"/>
    <m/>
    <n v="20"/>
    <n v="111"/>
    <n v="35"/>
  </r>
  <r>
    <x v="2"/>
    <x v="10"/>
    <n v="24"/>
    <n v="135"/>
    <m/>
    <n v="5"/>
    <n v="14"/>
    <n v="10"/>
  </r>
  <r>
    <x v="2"/>
    <x v="1"/>
    <n v="661"/>
    <n v="359"/>
    <m/>
    <n v="21"/>
    <n v="103"/>
    <n v="36"/>
  </r>
  <r>
    <x v="2"/>
    <x v="11"/>
    <n v="1"/>
    <n v="12"/>
    <m/>
    <m/>
    <n v="32"/>
    <n v="5"/>
  </r>
  <r>
    <x v="2"/>
    <x v="13"/>
    <m/>
    <n v="1"/>
    <m/>
    <m/>
    <n v="8"/>
    <m/>
  </r>
  <r>
    <x v="3"/>
    <x v="11"/>
    <n v="1"/>
    <n v="26"/>
    <m/>
    <n v="1"/>
    <n v="36"/>
    <n v="8"/>
  </r>
  <r>
    <x v="4"/>
    <x v="10"/>
    <n v="37"/>
    <n v="134"/>
    <m/>
    <n v="6"/>
    <n v="20"/>
    <n v="13"/>
  </r>
  <r>
    <x v="4"/>
    <x v="13"/>
    <m/>
    <n v="1"/>
    <m/>
    <m/>
    <n v="2"/>
    <n v="1"/>
  </r>
  <r>
    <x v="5"/>
    <x v="9"/>
    <n v="517"/>
    <n v="408"/>
    <n v="7"/>
    <n v="32"/>
    <n v="85"/>
    <n v="32"/>
  </r>
  <r>
    <x v="6"/>
    <x v="13"/>
    <n v="1"/>
    <n v="5"/>
    <m/>
    <m/>
    <n v="4"/>
    <n v="4"/>
  </r>
  <r>
    <x v="9"/>
    <x v="0"/>
    <n v="239"/>
    <n v="264"/>
    <m/>
    <n v="23"/>
    <n v="45"/>
    <n v="15"/>
  </r>
  <r>
    <x v="9"/>
    <x v="9"/>
    <n v="520"/>
    <n v="425"/>
    <n v="5"/>
    <n v="32"/>
    <n v="92"/>
    <n v="27"/>
  </r>
  <r>
    <x v="7"/>
    <x v="14"/>
    <n v="302"/>
    <n v="438"/>
    <m/>
    <n v="12"/>
    <n v="69"/>
    <n v="32"/>
  </r>
  <r>
    <x v="7"/>
    <x v="7"/>
    <n v="1024"/>
    <n v="635"/>
    <m/>
    <n v="42"/>
    <n v="153"/>
    <n v="89"/>
  </r>
  <r>
    <x v="7"/>
    <x v="15"/>
    <n v="47"/>
    <n v="253"/>
    <m/>
    <n v="37"/>
    <n v="248"/>
    <n v="38"/>
  </r>
  <r>
    <x v="8"/>
    <x v="13"/>
    <m/>
    <m/>
    <m/>
    <m/>
    <n v="6"/>
    <m/>
  </r>
  <r>
    <x v="0"/>
    <x v="2"/>
    <n v="2"/>
    <n v="62"/>
    <m/>
    <n v="2"/>
    <n v="99"/>
    <n v="14"/>
  </r>
  <r>
    <x v="0"/>
    <x v="16"/>
    <m/>
    <m/>
    <m/>
    <m/>
    <m/>
    <n v="12"/>
  </r>
  <r>
    <x v="1"/>
    <x v="7"/>
    <n v="968"/>
    <n v="555"/>
    <m/>
    <n v="29"/>
    <n v="144"/>
    <n v="70"/>
  </r>
  <r>
    <x v="1"/>
    <x v="13"/>
    <m/>
    <m/>
    <m/>
    <m/>
    <n v="5"/>
    <n v="1"/>
  </r>
  <r>
    <x v="2"/>
    <x v="12"/>
    <n v="320"/>
    <n v="366"/>
    <m/>
    <n v="26"/>
    <n v="71"/>
    <n v="32"/>
  </r>
  <r>
    <x v="10"/>
    <x v="11"/>
    <n v="1"/>
    <n v="20"/>
    <m/>
    <m/>
    <n v="26"/>
    <n v="6"/>
  </r>
  <r>
    <x v="10"/>
    <x v="13"/>
    <m/>
    <m/>
    <m/>
    <m/>
    <n v="2"/>
    <m/>
  </r>
  <r>
    <x v="10"/>
    <x v="3"/>
    <m/>
    <n v="4"/>
    <m/>
    <m/>
    <n v="2"/>
    <m/>
  </r>
  <r>
    <x v="3"/>
    <x v="5"/>
    <n v="188"/>
    <n v="298"/>
    <n v="7"/>
    <n v="27"/>
    <n v="128"/>
    <n v="40"/>
  </r>
  <r>
    <x v="3"/>
    <x v="2"/>
    <n v="12"/>
    <n v="96"/>
    <m/>
    <n v="6"/>
    <n v="92"/>
    <n v="23"/>
  </r>
  <r>
    <x v="3"/>
    <x v="3"/>
    <m/>
    <n v="8"/>
    <m/>
    <m/>
    <n v="5"/>
    <m/>
  </r>
  <r>
    <x v="4"/>
    <x v="0"/>
    <n v="243"/>
    <n v="308"/>
    <n v="3"/>
    <n v="20"/>
    <n v="47"/>
    <n v="16"/>
  </r>
  <r>
    <x v="4"/>
    <x v="12"/>
    <n v="388"/>
    <n v="371"/>
    <n v="4"/>
    <n v="35"/>
    <n v="67"/>
    <n v="20"/>
  </r>
  <r>
    <x v="4"/>
    <x v="2"/>
    <n v="20"/>
    <n v="90"/>
    <n v="1"/>
    <n v="4"/>
    <n v="96"/>
    <n v="23"/>
  </r>
  <r>
    <x v="4"/>
    <x v="3"/>
    <m/>
    <n v="1"/>
    <m/>
    <m/>
    <n v="4"/>
    <m/>
  </r>
  <r>
    <x v="5"/>
    <x v="7"/>
    <n v="682"/>
    <n v="332"/>
    <n v="3"/>
    <n v="15"/>
    <n v="116"/>
    <n v="30"/>
  </r>
  <r>
    <x v="6"/>
    <x v="3"/>
    <m/>
    <n v="3"/>
    <m/>
    <m/>
    <m/>
    <m/>
  </r>
  <r>
    <x v="8"/>
    <x v="10"/>
    <n v="47"/>
    <n v="159"/>
    <m/>
    <n v="9"/>
    <n v="17"/>
    <n v="20"/>
  </r>
  <r>
    <x v="8"/>
    <x v="0"/>
    <n v="179"/>
    <n v="287"/>
    <m/>
    <n v="17"/>
    <n v="41"/>
    <n v="23"/>
  </r>
  <r>
    <x v="8"/>
    <x v="11"/>
    <m/>
    <n v="2"/>
    <m/>
    <m/>
    <n v="17"/>
    <n v="1"/>
  </r>
  <r>
    <x v="0"/>
    <x v="11"/>
    <m/>
    <n v="5"/>
    <m/>
    <m/>
    <n v="12"/>
    <n v="2"/>
  </r>
  <r>
    <x v="1"/>
    <x v="11"/>
    <m/>
    <n v="3"/>
    <m/>
    <m/>
    <n v="16"/>
    <n v="1"/>
  </r>
  <r>
    <x v="2"/>
    <x v="9"/>
    <n v="605"/>
    <n v="375"/>
    <m/>
    <n v="22"/>
    <n v="70"/>
    <n v="35"/>
  </r>
  <r>
    <x v="2"/>
    <x v="7"/>
    <n v="880"/>
    <n v="494"/>
    <m/>
    <n v="27"/>
    <n v="139"/>
    <n v="62"/>
  </r>
  <r>
    <x v="10"/>
    <x v="4"/>
    <n v="749"/>
    <n v="508"/>
    <n v="6"/>
    <n v="28"/>
    <n v="132"/>
    <n v="73"/>
  </r>
  <r>
    <x v="10"/>
    <x v="5"/>
    <n v="168"/>
    <n v="264"/>
    <n v="4"/>
    <n v="30"/>
    <n v="126"/>
    <n v="39"/>
  </r>
  <r>
    <x v="10"/>
    <x v="2"/>
    <n v="9"/>
    <n v="95"/>
    <m/>
    <n v="5"/>
    <n v="89"/>
    <n v="20"/>
  </r>
  <r>
    <x v="3"/>
    <x v="7"/>
    <n v="775"/>
    <n v="421"/>
    <n v="3"/>
    <n v="22"/>
    <n v="114"/>
    <n v="53"/>
  </r>
  <r>
    <x v="4"/>
    <x v="9"/>
    <n v="529"/>
    <n v="402"/>
    <n v="8"/>
    <n v="19"/>
    <n v="80"/>
    <n v="36"/>
  </r>
  <r>
    <x v="5"/>
    <x v="13"/>
    <n v="1"/>
    <n v="4"/>
    <m/>
    <m/>
    <n v="3"/>
    <n v="1"/>
  </r>
  <r>
    <x v="6"/>
    <x v="12"/>
    <n v="498"/>
    <n v="383"/>
    <n v="6"/>
    <n v="26"/>
    <n v="69"/>
    <n v="17"/>
  </r>
  <r>
    <x v="6"/>
    <x v="1"/>
    <n v="675"/>
    <n v="390"/>
    <n v="8"/>
    <n v="24"/>
    <n v="90"/>
    <n v="32"/>
  </r>
  <r>
    <x v="9"/>
    <x v="12"/>
    <n v="493"/>
    <n v="391"/>
    <n v="3"/>
    <n v="25"/>
    <n v="73"/>
    <n v="16"/>
  </r>
  <r>
    <x v="9"/>
    <x v="2"/>
    <n v="24"/>
    <n v="127"/>
    <n v="8"/>
    <n v="7"/>
    <n v="108"/>
    <n v="23"/>
  </r>
  <r>
    <x v="9"/>
    <x v="6"/>
    <m/>
    <m/>
    <m/>
    <m/>
    <n v="1"/>
    <m/>
  </r>
  <r>
    <x v="7"/>
    <x v="17"/>
    <n v="1254"/>
    <n v="691"/>
    <m/>
    <n v="46"/>
    <n v="174"/>
    <n v="58"/>
  </r>
  <r>
    <x v="7"/>
    <x v="4"/>
    <n v="486"/>
    <n v="370"/>
    <m/>
    <n v="52"/>
    <n v="160"/>
    <n v="48"/>
  </r>
  <r>
    <x v="0"/>
    <x v="3"/>
    <n v="1"/>
    <n v="8"/>
    <m/>
    <m/>
    <m/>
    <n v="6"/>
  </r>
  <r>
    <x v="10"/>
    <x v="12"/>
    <n v="339"/>
    <n v="373"/>
    <n v="1"/>
    <n v="36"/>
    <n v="61"/>
    <n v="28"/>
  </r>
  <r>
    <x v="3"/>
    <x v="10"/>
    <n v="46"/>
    <n v="152"/>
    <m/>
    <n v="7"/>
    <n v="18"/>
    <n v="18"/>
  </r>
  <r>
    <x v="3"/>
    <x v="9"/>
    <n v="567"/>
    <n v="405"/>
    <n v="5"/>
    <n v="20"/>
    <n v="72"/>
    <n v="32"/>
  </r>
  <r>
    <x v="3"/>
    <x v="13"/>
    <m/>
    <m/>
    <m/>
    <m/>
    <n v="2"/>
    <m/>
  </r>
  <r>
    <x v="4"/>
    <x v="1"/>
    <n v="703"/>
    <n v="367"/>
    <n v="5"/>
    <n v="22"/>
    <n v="79"/>
    <n v="29"/>
  </r>
  <r>
    <x v="5"/>
    <x v="3"/>
    <m/>
    <n v="3"/>
    <m/>
    <m/>
    <m/>
    <m/>
  </r>
  <r>
    <x v="6"/>
    <x v="5"/>
    <n v="163"/>
    <n v="323"/>
    <n v="14"/>
    <n v="22"/>
    <n v="161"/>
    <n v="58"/>
  </r>
  <r>
    <x v="6"/>
    <x v="2"/>
    <n v="18"/>
    <n v="121"/>
    <n v="6"/>
    <n v="3"/>
    <n v="117"/>
    <n v="21"/>
  </r>
  <r>
    <x v="8"/>
    <x v="2"/>
    <n v="1"/>
    <n v="71"/>
    <m/>
    <n v="4"/>
    <n v="93"/>
    <n v="9"/>
  </r>
  <r>
    <x v="0"/>
    <x v="4"/>
    <n v="618"/>
    <n v="432"/>
    <m/>
    <n v="42"/>
    <n v="139"/>
    <n v="56"/>
  </r>
  <r>
    <x v="1"/>
    <x v="4"/>
    <n v="658"/>
    <n v="460"/>
    <m/>
    <n v="36"/>
    <n v="135"/>
    <n v="65"/>
  </r>
  <r>
    <x v="1"/>
    <x v="3"/>
    <m/>
    <n v="16"/>
    <m/>
    <m/>
    <n v="1"/>
    <n v="1"/>
  </r>
  <r>
    <x v="10"/>
    <x v="10"/>
    <n v="47"/>
    <n v="140"/>
    <m/>
    <n v="12"/>
    <n v="18"/>
    <n v="13"/>
  </r>
  <r>
    <x v="10"/>
    <x v="1"/>
    <n v="687"/>
    <n v="374"/>
    <n v="2"/>
    <n v="20"/>
    <n v="91"/>
    <n v="33"/>
  </r>
  <r>
    <x v="3"/>
    <x v="12"/>
    <n v="360"/>
    <n v="366"/>
    <n v="4"/>
    <n v="38"/>
    <n v="61"/>
    <n v="26"/>
  </r>
  <r>
    <x v="5"/>
    <x v="10"/>
    <n v="35"/>
    <n v="123"/>
    <m/>
    <n v="4"/>
    <n v="27"/>
    <n v="5"/>
  </r>
  <r>
    <x v="5"/>
    <x v="4"/>
    <n v="720"/>
    <n v="405"/>
    <n v="14"/>
    <n v="28"/>
    <n v="158"/>
    <n v="67"/>
  </r>
  <r>
    <x v="5"/>
    <x v="11"/>
    <m/>
    <n v="23"/>
    <m/>
    <n v="1"/>
    <n v="33"/>
    <n v="9"/>
  </r>
  <r>
    <x v="6"/>
    <x v="0"/>
    <n v="260"/>
    <n v="268"/>
    <n v="1"/>
    <n v="24"/>
    <n v="50"/>
    <n v="11"/>
  </r>
  <r>
    <x v="6"/>
    <x v="9"/>
    <n v="540"/>
    <n v="417"/>
    <n v="4"/>
    <n v="31"/>
    <n v="96"/>
    <n v="29"/>
  </r>
  <r>
    <x v="9"/>
    <x v="10"/>
    <n v="43"/>
    <n v="135"/>
    <m/>
    <n v="5"/>
    <n v="13"/>
    <n v="5"/>
  </r>
  <r>
    <x v="9"/>
    <x v="1"/>
    <n v="649"/>
    <n v="373"/>
    <n v="10"/>
    <n v="22"/>
    <n v="88"/>
    <n v="29"/>
  </r>
  <r>
    <x v="9"/>
    <x v="5"/>
    <n v="182"/>
    <n v="316"/>
    <n v="18"/>
    <n v="18"/>
    <n v="164"/>
    <n v="56"/>
  </r>
  <r>
    <x v="9"/>
    <x v="13"/>
    <m/>
    <n v="6"/>
    <m/>
    <m/>
    <n v="6"/>
    <n v="4"/>
  </r>
  <r>
    <x v="7"/>
    <x v="1"/>
    <n v="888"/>
    <n v="540"/>
    <m/>
    <n v="34"/>
    <n v="142"/>
    <n v="63"/>
  </r>
  <r>
    <x v="7"/>
    <x v="3"/>
    <m/>
    <n v="13"/>
    <m/>
    <m/>
    <m/>
    <n v="29"/>
  </r>
  <r>
    <x v="8"/>
    <x v="12"/>
    <n v="529"/>
    <n v="337"/>
    <m/>
    <n v="18"/>
    <n v="52"/>
    <n v="34"/>
  </r>
  <r>
    <x v="8"/>
    <x v="7"/>
    <n v="1006"/>
    <n v="627"/>
    <m/>
    <n v="41"/>
    <n v="149"/>
    <n v="89"/>
  </r>
  <r>
    <x v="8"/>
    <x v="4"/>
    <n v="554"/>
    <n v="398"/>
    <m/>
    <n v="48"/>
    <n v="148"/>
    <n v="53"/>
  </r>
  <r>
    <x v="0"/>
    <x v="10"/>
    <n v="38"/>
    <n v="180"/>
    <m/>
    <n v="5"/>
    <n v="20"/>
    <n v="15"/>
  </r>
  <r>
    <x v="1"/>
    <x v="12"/>
    <n v="398"/>
    <n v="337"/>
    <m/>
    <n v="13"/>
    <n v="71"/>
    <n v="26"/>
  </r>
  <r>
    <x v="1"/>
    <x v="9"/>
    <n v="661"/>
    <n v="387"/>
    <m/>
    <n v="21"/>
    <n v="73"/>
    <n v="35"/>
  </r>
  <r>
    <x v="1"/>
    <x v="5"/>
    <n v="73"/>
    <n v="178"/>
    <m/>
    <n v="25"/>
    <n v="133"/>
    <n v="35"/>
  </r>
  <r>
    <x v="2"/>
    <x v="0"/>
    <n v="149"/>
    <n v="298"/>
    <m/>
    <n v="23"/>
    <n v="35"/>
    <n v="19"/>
  </r>
  <r>
    <x v="2"/>
    <x v="5"/>
    <n v="124"/>
    <n v="237"/>
    <m/>
    <n v="29"/>
    <n v="141"/>
    <n v="31"/>
  </r>
  <r>
    <x v="10"/>
    <x v="0"/>
    <n v="214"/>
    <n v="308"/>
    <n v="1"/>
    <n v="25"/>
    <n v="40"/>
    <n v="19"/>
  </r>
  <r>
    <x v="10"/>
    <x v="9"/>
    <n v="595"/>
    <n v="383"/>
    <n v="2"/>
    <n v="24"/>
    <n v="71"/>
    <n v="29"/>
  </r>
  <r>
    <x v="10"/>
    <x v="7"/>
    <n v="828"/>
    <n v="466"/>
    <n v="2"/>
    <n v="27"/>
    <n v="134"/>
    <n v="57"/>
  </r>
  <r>
    <x v="3"/>
    <x v="4"/>
    <n v="740"/>
    <n v="495"/>
    <n v="10"/>
    <n v="27"/>
    <n v="151"/>
    <n v="72"/>
  </r>
  <r>
    <x v="4"/>
    <x v="11"/>
    <n v="1"/>
    <n v="28"/>
    <m/>
    <n v="1"/>
    <n v="38"/>
    <n v="11"/>
  </r>
  <r>
    <x v="5"/>
    <x v="12"/>
    <n v="404"/>
    <n v="360"/>
    <n v="4"/>
    <n v="26"/>
    <n v="75"/>
    <n v="15"/>
  </r>
  <r>
    <x v="5"/>
    <x v="1"/>
    <n v="714"/>
    <n v="382"/>
    <n v="5"/>
    <n v="23"/>
    <n v="95"/>
    <n v="29"/>
  </r>
  <r>
    <x v="5"/>
    <x v="5"/>
    <n v="187"/>
    <n v="326"/>
    <n v="15"/>
    <n v="24"/>
    <n v="164"/>
    <n v="49"/>
  </r>
  <r>
    <x v="9"/>
    <x v="7"/>
    <n v="691"/>
    <n v="314"/>
    <n v="3"/>
    <n v="14"/>
    <n v="104"/>
    <n v="27"/>
  </r>
  <r>
    <x v="9"/>
    <x v="4"/>
    <n v="579"/>
    <n v="319"/>
    <n v="8"/>
    <n v="25"/>
    <n v="145"/>
    <n v="56"/>
  </r>
  <r>
    <x v="9"/>
    <x v="11"/>
    <n v="2"/>
    <n v="29"/>
    <m/>
    <m/>
    <n v="45"/>
    <n v="1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x v="0"/>
    <s v="S92000003"/>
    <n v="0"/>
    <n v="52"/>
    <n v="103"/>
    <n v="5"/>
    <n v="11"/>
    <n v="52"/>
  </r>
  <r>
    <x v="1"/>
    <x v="0"/>
    <s v="S92000003"/>
    <n v="0"/>
    <n v="52"/>
    <n v="110"/>
    <n v="5"/>
    <n v="13"/>
    <n v="50"/>
  </r>
  <r>
    <x v="2"/>
    <x v="0"/>
    <s v="S92000003"/>
    <n v="0"/>
    <n v="44"/>
    <n v="95"/>
    <n v="6"/>
    <n v="7"/>
    <n v="51"/>
  </r>
  <r>
    <x v="3"/>
    <x v="0"/>
    <s v="S92000003"/>
    <n v="0"/>
    <n v="31"/>
    <n v="80"/>
    <n v="5"/>
    <n v="8"/>
    <n v="41"/>
  </r>
  <r>
    <x v="4"/>
    <x v="0"/>
    <s v="S92000003"/>
    <n v="0"/>
    <n v="27"/>
    <n v="106"/>
    <n v="5"/>
    <n v="8"/>
    <n v="43"/>
  </r>
  <r>
    <x v="5"/>
    <x v="0"/>
    <s v="S92000003"/>
    <n v="1"/>
    <n v="4"/>
    <n v="9"/>
    <n v="42"/>
    <n v="27"/>
    <n v="124"/>
  </r>
  <r>
    <x v="6"/>
    <x v="0"/>
    <s v="S92000003"/>
    <n v="1"/>
    <n v="4"/>
    <n v="8"/>
    <n v="45"/>
    <n v="26"/>
    <n v="104"/>
  </r>
  <r>
    <x v="7"/>
    <x v="0"/>
    <s v="S92000003"/>
    <n v="1"/>
    <n v="4"/>
    <n v="10"/>
    <n v="41"/>
    <n v="31"/>
    <n v="95"/>
  </r>
  <r>
    <x v="8"/>
    <x v="0"/>
    <s v="S92000003"/>
    <n v="1"/>
    <n v="4"/>
    <n v="10"/>
    <n v="42"/>
    <n v="27"/>
    <n v="90"/>
  </r>
  <r>
    <x v="9"/>
    <x v="0"/>
    <s v="S92000003"/>
    <n v="1"/>
    <n v="4"/>
    <n v="10"/>
    <n v="37"/>
    <n v="29"/>
    <n v="91"/>
  </r>
  <r>
    <x v="10"/>
    <x v="0"/>
    <s v="S92000003"/>
    <n v="1"/>
    <n v="4"/>
    <n v="9"/>
    <n v="40"/>
    <n v="26"/>
    <n v="91"/>
  </r>
</pivotCacheRecords>
</file>

<file path=xl/pivotCache/pivotCacheRecords6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
  <r>
    <x v="0"/>
    <x v="0"/>
    <n v="3"/>
    <m/>
    <m/>
    <m/>
    <n v="1"/>
    <n v="4"/>
  </r>
  <r>
    <x v="0"/>
    <x v="1"/>
    <m/>
    <n v="1"/>
    <m/>
    <m/>
    <n v="23"/>
    <n v="24"/>
  </r>
  <r>
    <x v="0"/>
    <x v="2"/>
    <m/>
    <n v="1"/>
    <m/>
    <m/>
    <n v="5"/>
    <n v="6"/>
  </r>
  <r>
    <x v="0"/>
    <x v="3"/>
    <m/>
    <n v="2"/>
    <m/>
    <n v="25"/>
    <n v="12"/>
    <n v="39"/>
  </r>
  <r>
    <x v="0"/>
    <x v="4"/>
    <n v="7"/>
    <m/>
    <m/>
    <m/>
    <n v="1"/>
    <n v="8"/>
  </r>
  <r>
    <x v="0"/>
    <x v="5"/>
    <m/>
    <n v="1"/>
    <m/>
    <m/>
    <n v="1"/>
    <n v="2"/>
  </r>
  <r>
    <x v="0"/>
    <x v="6"/>
    <m/>
    <n v="1"/>
    <m/>
    <n v="1"/>
    <n v="15"/>
    <n v="17"/>
  </r>
  <r>
    <x v="0"/>
    <x v="7"/>
    <n v="3"/>
    <n v="1"/>
    <m/>
    <m/>
    <m/>
    <n v="4"/>
  </r>
  <r>
    <x v="0"/>
    <x v="8"/>
    <n v="1"/>
    <m/>
    <m/>
    <m/>
    <n v="7"/>
    <n v="8"/>
  </r>
  <r>
    <x v="0"/>
    <x v="9"/>
    <n v="3"/>
    <m/>
    <m/>
    <m/>
    <m/>
    <n v="3"/>
  </r>
  <r>
    <x v="0"/>
    <x v="10"/>
    <n v="1"/>
    <m/>
    <m/>
    <m/>
    <n v="5"/>
    <n v="6"/>
  </r>
  <r>
    <x v="0"/>
    <x v="11"/>
    <n v="2"/>
    <m/>
    <m/>
    <m/>
    <m/>
    <n v="2"/>
  </r>
  <r>
    <x v="0"/>
    <x v="12"/>
    <m/>
    <n v="3"/>
    <m/>
    <m/>
    <n v="2"/>
    <n v="5"/>
  </r>
  <r>
    <x v="0"/>
    <x v="13"/>
    <n v="5"/>
    <m/>
    <m/>
    <m/>
    <n v="8"/>
    <n v="13"/>
  </r>
  <r>
    <x v="0"/>
    <x v="14"/>
    <n v="11"/>
    <m/>
    <m/>
    <m/>
    <m/>
    <n v="11"/>
  </r>
  <r>
    <x v="0"/>
    <x v="15"/>
    <m/>
    <n v="1"/>
    <m/>
    <n v="9"/>
    <n v="51"/>
    <n v="61"/>
  </r>
  <r>
    <x v="0"/>
    <x v="16"/>
    <m/>
    <n v="2"/>
    <m/>
    <m/>
    <n v="1"/>
    <n v="3"/>
  </r>
  <r>
    <x v="0"/>
    <x v="17"/>
    <n v="1"/>
    <m/>
    <m/>
    <m/>
    <n v="1"/>
    <n v="2"/>
  </r>
  <r>
    <x v="0"/>
    <x v="18"/>
    <m/>
    <n v="1"/>
    <m/>
    <n v="1"/>
    <n v="10"/>
    <n v="12"/>
  </r>
  <r>
    <x v="0"/>
    <x v="19"/>
    <m/>
    <m/>
    <m/>
    <m/>
    <n v="14"/>
    <n v="14"/>
  </r>
  <r>
    <x v="0"/>
    <x v="20"/>
    <n v="1"/>
    <n v="2"/>
    <m/>
    <n v="3"/>
    <n v="8"/>
    <n v="14"/>
  </r>
  <r>
    <x v="0"/>
    <x v="21"/>
    <n v="4"/>
    <m/>
    <m/>
    <m/>
    <n v="3"/>
    <n v="7"/>
  </r>
  <r>
    <x v="0"/>
    <x v="22"/>
    <m/>
    <m/>
    <m/>
    <m/>
    <n v="12"/>
    <n v="12"/>
  </r>
  <r>
    <x v="0"/>
    <x v="23"/>
    <n v="1"/>
    <m/>
    <m/>
    <n v="3"/>
    <n v="10"/>
    <n v="14"/>
  </r>
  <r>
    <x v="0"/>
    <x v="24"/>
    <n v="2"/>
    <n v="1"/>
    <m/>
    <m/>
    <m/>
    <n v="3"/>
  </r>
  <r>
    <x v="0"/>
    <x v="25"/>
    <m/>
    <n v="2"/>
    <m/>
    <m/>
    <n v="11"/>
    <n v="13"/>
  </r>
  <r>
    <x v="0"/>
    <x v="26"/>
    <m/>
    <m/>
    <m/>
    <m/>
    <n v="14"/>
    <n v="14"/>
  </r>
  <r>
    <x v="0"/>
    <x v="27"/>
    <m/>
    <n v="1"/>
    <m/>
    <m/>
    <n v="4"/>
    <n v="5"/>
  </r>
  <r>
    <x v="0"/>
    <x v="28"/>
    <n v="3"/>
    <n v="1"/>
    <m/>
    <n v="1"/>
    <n v="7"/>
    <n v="12"/>
  </r>
  <r>
    <x v="0"/>
    <x v="29"/>
    <n v="1"/>
    <m/>
    <m/>
    <m/>
    <n v="9"/>
    <n v="10"/>
  </r>
  <r>
    <x v="0"/>
    <x v="30"/>
    <n v="1"/>
    <n v="1"/>
    <m/>
    <m/>
    <n v="1"/>
    <n v="3"/>
  </r>
  <r>
    <x v="0"/>
    <x v="31"/>
    <m/>
    <n v="1"/>
    <n v="1"/>
    <m/>
    <n v="4"/>
    <n v="6"/>
  </r>
  <r>
    <x v="1"/>
    <x v="0"/>
    <n v="3"/>
    <m/>
    <m/>
    <m/>
    <n v="1"/>
    <n v="4"/>
  </r>
  <r>
    <x v="1"/>
    <x v="1"/>
    <m/>
    <n v="1"/>
    <m/>
    <m/>
    <n v="23"/>
    <n v="24"/>
  </r>
  <r>
    <x v="1"/>
    <x v="2"/>
    <m/>
    <n v="1"/>
    <m/>
    <m/>
    <n v="5"/>
    <n v="6"/>
  </r>
  <r>
    <x v="1"/>
    <x v="3"/>
    <m/>
    <n v="2"/>
    <m/>
    <n v="25"/>
    <n v="12"/>
    <n v="39"/>
  </r>
  <r>
    <x v="1"/>
    <x v="4"/>
    <n v="7"/>
    <m/>
    <m/>
    <m/>
    <n v="1"/>
    <n v="8"/>
  </r>
  <r>
    <x v="1"/>
    <x v="5"/>
    <m/>
    <n v="1"/>
    <m/>
    <m/>
    <n v="1"/>
    <n v="2"/>
  </r>
  <r>
    <x v="1"/>
    <x v="6"/>
    <m/>
    <n v="1"/>
    <m/>
    <n v="1"/>
    <n v="15"/>
    <n v="17"/>
  </r>
  <r>
    <x v="1"/>
    <x v="7"/>
    <n v="3"/>
    <n v="1"/>
    <m/>
    <m/>
    <m/>
    <n v="4"/>
  </r>
  <r>
    <x v="1"/>
    <x v="8"/>
    <n v="1"/>
    <m/>
    <m/>
    <m/>
    <n v="7"/>
    <n v="8"/>
  </r>
  <r>
    <x v="1"/>
    <x v="9"/>
    <n v="3"/>
    <m/>
    <m/>
    <m/>
    <m/>
    <n v="3"/>
  </r>
  <r>
    <x v="1"/>
    <x v="10"/>
    <n v="1"/>
    <m/>
    <m/>
    <m/>
    <n v="5"/>
    <n v="6"/>
  </r>
  <r>
    <x v="1"/>
    <x v="11"/>
    <n v="2"/>
    <m/>
    <m/>
    <m/>
    <m/>
    <n v="2"/>
  </r>
  <r>
    <x v="1"/>
    <x v="12"/>
    <m/>
    <n v="3"/>
    <m/>
    <m/>
    <n v="2"/>
    <n v="5"/>
  </r>
  <r>
    <x v="1"/>
    <x v="13"/>
    <n v="5"/>
    <m/>
    <m/>
    <m/>
    <n v="8"/>
    <n v="13"/>
  </r>
  <r>
    <x v="1"/>
    <x v="14"/>
    <n v="11"/>
    <m/>
    <m/>
    <m/>
    <m/>
    <n v="11"/>
  </r>
  <r>
    <x v="1"/>
    <x v="15"/>
    <m/>
    <n v="1"/>
    <m/>
    <n v="9"/>
    <n v="51"/>
    <n v="61"/>
  </r>
  <r>
    <x v="1"/>
    <x v="16"/>
    <m/>
    <n v="2"/>
    <m/>
    <m/>
    <n v="1"/>
    <n v="3"/>
  </r>
  <r>
    <x v="1"/>
    <x v="17"/>
    <n v="1"/>
    <m/>
    <m/>
    <m/>
    <n v="1"/>
    <n v="2"/>
  </r>
  <r>
    <x v="1"/>
    <x v="18"/>
    <m/>
    <n v="1"/>
    <m/>
    <n v="1"/>
    <n v="10"/>
    <n v="12"/>
  </r>
  <r>
    <x v="1"/>
    <x v="19"/>
    <m/>
    <m/>
    <m/>
    <m/>
    <n v="14"/>
    <n v="14"/>
  </r>
  <r>
    <x v="1"/>
    <x v="20"/>
    <n v="1"/>
    <n v="2"/>
    <m/>
    <n v="3"/>
    <n v="8"/>
    <n v="14"/>
  </r>
  <r>
    <x v="1"/>
    <x v="21"/>
    <n v="4"/>
    <m/>
    <m/>
    <m/>
    <n v="3"/>
    <n v="7"/>
  </r>
  <r>
    <x v="1"/>
    <x v="22"/>
    <m/>
    <m/>
    <m/>
    <m/>
    <n v="12"/>
    <n v="12"/>
  </r>
  <r>
    <x v="1"/>
    <x v="23"/>
    <n v="1"/>
    <m/>
    <m/>
    <n v="3"/>
    <n v="10"/>
    <n v="14"/>
  </r>
  <r>
    <x v="1"/>
    <x v="24"/>
    <n v="2"/>
    <n v="1"/>
    <m/>
    <m/>
    <m/>
    <n v="3"/>
  </r>
  <r>
    <x v="1"/>
    <x v="25"/>
    <m/>
    <n v="2"/>
    <m/>
    <m/>
    <n v="11"/>
    <n v="13"/>
  </r>
  <r>
    <x v="1"/>
    <x v="26"/>
    <m/>
    <m/>
    <m/>
    <m/>
    <n v="14"/>
    <n v="14"/>
  </r>
  <r>
    <x v="1"/>
    <x v="27"/>
    <m/>
    <n v="1"/>
    <m/>
    <m/>
    <n v="4"/>
    <n v="5"/>
  </r>
  <r>
    <x v="1"/>
    <x v="28"/>
    <n v="3"/>
    <n v="1"/>
    <m/>
    <n v="1"/>
    <n v="7"/>
    <n v="12"/>
  </r>
  <r>
    <x v="1"/>
    <x v="29"/>
    <n v="1"/>
    <m/>
    <m/>
    <m/>
    <n v="9"/>
    <n v="10"/>
  </r>
  <r>
    <x v="1"/>
    <x v="30"/>
    <n v="1"/>
    <n v="1"/>
    <m/>
    <m/>
    <n v="1"/>
    <n v="3"/>
  </r>
  <r>
    <x v="1"/>
    <x v="31"/>
    <m/>
    <n v="1"/>
    <n v="1"/>
    <m/>
    <n v="4"/>
    <n v="6"/>
  </r>
  <r>
    <x v="2"/>
    <x v="0"/>
    <n v="3"/>
    <m/>
    <m/>
    <m/>
    <n v="1"/>
    <n v="4"/>
  </r>
  <r>
    <x v="2"/>
    <x v="1"/>
    <m/>
    <n v="1"/>
    <m/>
    <m/>
    <n v="23"/>
    <n v="24"/>
  </r>
  <r>
    <x v="2"/>
    <x v="2"/>
    <m/>
    <n v="1"/>
    <m/>
    <m/>
    <n v="5"/>
    <n v="6"/>
  </r>
  <r>
    <x v="2"/>
    <x v="3"/>
    <m/>
    <n v="2"/>
    <m/>
    <n v="25"/>
    <n v="12"/>
    <n v="39"/>
  </r>
  <r>
    <x v="2"/>
    <x v="4"/>
    <n v="7"/>
    <m/>
    <m/>
    <m/>
    <n v="1"/>
    <n v="8"/>
  </r>
  <r>
    <x v="2"/>
    <x v="5"/>
    <m/>
    <n v="1"/>
    <m/>
    <m/>
    <n v="1"/>
    <n v="2"/>
  </r>
  <r>
    <x v="2"/>
    <x v="6"/>
    <m/>
    <n v="1"/>
    <m/>
    <n v="1"/>
    <n v="15"/>
    <n v="17"/>
  </r>
  <r>
    <x v="2"/>
    <x v="7"/>
    <n v="3"/>
    <n v="1"/>
    <m/>
    <m/>
    <m/>
    <n v="4"/>
  </r>
  <r>
    <x v="2"/>
    <x v="8"/>
    <n v="1"/>
    <m/>
    <m/>
    <m/>
    <n v="7"/>
    <n v="8"/>
  </r>
  <r>
    <x v="2"/>
    <x v="9"/>
    <n v="3"/>
    <m/>
    <m/>
    <m/>
    <m/>
    <n v="3"/>
  </r>
  <r>
    <x v="2"/>
    <x v="10"/>
    <n v="1"/>
    <m/>
    <m/>
    <m/>
    <n v="5"/>
    <n v="6"/>
  </r>
  <r>
    <x v="2"/>
    <x v="11"/>
    <n v="2"/>
    <m/>
    <m/>
    <m/>
    <m/>
    <n v="2"/>
  </r>
  <r>
    <x v="2"/>
    <x v="12"/>
    <m/>
    <n v="3"/>
    <m/>
    <m/>
    <n v="2"/>
    <n v="5"/>
  </r>
  <r>
    <x v="2"/>
    <x v="13"/>
    <n v="5"/>
    <m/>
    <m/>
    <m/>
    <n v="8"/>
    <n v="13"/>
  </r>
  <r>
    <x v="2"/>
    <x v="14"/>
    <n v="11"/>
    <m/>
    <m/>
    <m/>
    <m/>
    <n v="11"/>
  </r>
  <r>
    <x v="2"/>
    <x v="15"/>
    <m/>
    <n v="1"/>
    <m/>
    <n v="9"/>
    <n v="51"/>
    <n v="61"/>
  </r>
  <r>
    <x v="2"/>
    <x v="16"/>
    <m/>
    <n v="2"/>
    <m/>
    <m/>
    <n v="1"/>
    <n v="3"/>
  </r>
  <r>
    <x v="2"/>
    <x v="17"/>
    <n v="1"/>
    <m/>
    <m/>
    <m/>
    <n v="1"/>
    <n v="2"/>
  </r>
  <r>
    <x v="2"/>
    <x v="18"/>
    <m/>
    <n v="1"/>
    <m/>
    <n v="1"/>
    <n v="10"/>
    <n v="12"/>
  </r>
  <r>
    <x v="2"/>
    <x v="19"/>
    <m/>
    <m/>
    <m/>
    <m/>
    <n v="14"/>
    <n v="14"/>
  </r>
  <r>
    <x v="2"/>
    <x v="20"/>
    <n v="1"/>
    <n v="2"/>
    <m/>
    <n v="3"/>
    <n v="8"/>
    <n v="14"/>
  </r>
  <r>
    <x v="2"/>
    <x v="21"/>
    <n v="4"/>
    <m/>
    <m/>
    <m/>
    <n v="3"/>
    <n v="7"/>
  </r>
  <r>
    <x v="2"/>
    <x v="22"/>
    <m/>
    <m/>
    <m/>
    <m/>
    <n v="12"/>
    <n v="12"/>
  </r>
  <r>
    <x v="2"/>
    <x v="23"/>
    <n v="1"/>
    <m/>
    <m/>
    <n v="3"/>
    <n v="10"/>
    <n v="14"/>
  </r>
  <r>
    <x v="2"/>
    <x v="24"/>
    <n v="2"/>
    <n v="1"/>
    <m/>
    <m/>
    <m/>
    <n v="3"/>
  </r>
  <r>
    <x v="2"/>
    <x v="25"/>
    <m/>
    <n v="2"/>
    <m/>
    <m/>
    <n v="11"/>
    <n v="13"/>
  </r>
  <r>
    <x v="2"/>
    <x v="26"/>
    <m/>
    <m/>
    <m/>
    <m/>
    <n v="14"/>
    <n v="14"/>
  </r>
  <r>
    <x v="2"/>
    <x v="27"/>
    <m/>
    <n v="1"/>
    <m/>
    <m/>
    <n v="4"/>
    <n v="5"/>
  </r>
  <r>
    <x v="2"/>
    <x v="28"/>
    <n v="3"/>
    <n v="1"/>
    <m/>
    <n v="1"/>
    <n v="7"/>
    <n v="12"/>
  </r>
  <r>
    <x v="2"/>
    <x v="29"/>
    <n v="1"/>
    <m/>
    <m/>
    <m/>
    <n v="9"/>
    <n v="10"/>
  </r>
  <r>
    <x v="2"/>
    <x v="30"/>
    <n v="1"/>
    <n v="1"/>
    <m/>
    <m/>
    <n v="1"/>
    <n v="3"/>
  </r>
  <r>
    <x v="2"/>
    <x v="31"/>
    <m/>
    <n v="1"/>
    <n v="1"/>
    <m/>
    <n v="4"/>
    <n v="6"/>
  </r>
  <r>
    <x v="3"/>
    <x v="0"/>
    <n v="3"/>
    <m/>
    <m/>
    <m/>
    <n v="1"/>
    <n v="4"/>
  </r>
  <r>
    <x v="3"/>
    <x v="1"/>
    <m/>
    <n v="1"/>
    <m/>
    <m/>
    <n v="23"/>
    <n v="24"/>
  </r>
  <r>
    <x v="3"/>
    <x v="2"/>
    <m/>
    <n v="1"/>
    <m/>
    <m/>
    <n v="5"/>
    <n v="6"/>
  </r>
  <r>
    <x v="3"/>
    <x v="3"/>
    <m/>
    <n v="2"/>
    <m/>
    <n v="25"/>
    <n v="12"/>
    <n v="39"/>
  </r>
  <r>
    <x v="3"/>
    <x v="4"/>
    <n v="7"/>
    <m/>
    <m/>
    <m/>
    <n v="1"/>
    <n v="8"/>
  </r>
  <r>
    <x v="3"/>
    <x v="5"/>
    <m/>
    <n v="1"/>
    <m/>
    <m/>
    <n v="1"/>
    <n v="2"/>
  </r>
  <r>
    <x v="3"/>
    <x v="6"/>
    <m/>
    <n v="1"/>
    <m/>
    <n v="1"/>
    <n v="15"/>
    <n v="17"/>
  </r>
  <r>
    <x v="3"/>
    <x v="7"/>
    <n v="3"/>
    <n v="1"/>
    <m/>
    <m/>
    <m/>
    <n v="4"/>
  </r>
  <r>
    <x v="3"/>
    <x v="8"/>
    <n v="1"/>
    <m/>
    <m/>
    <m/>
    <n v="7"/>
    <n v="8"/>
  </r>
  <r>
    <x v="3"/>
    <x v="9"/>
    <n v="3"/>
    <m/>
    <m/>
    <m/>
    <m/>
    <n v="3"/>
  </r>
  <r>
    <x v="3"/>
    <x v="10"/>
    <n v="1"/>
    <m/>
    <m/>
    <m/>
    <n v="5"/>
    <n v="6"/>
  </r>
  <r>
    <x v="3"/>
    <x v="11"/>
    <n v="2"/>
    <m/>
    <m/>
    <m/>
    <m/>
    <n v="2"/>
  </r>
  <r>
    <x v="3"/>
    <x v="12"/>
    <m/>
    <n v="3"/>
    <m/>
    <m/>
    <n v="2"/>
    <n v="5"/>
  </r>
  <r>
    <x v="3"/>
    <x v="13"/>
    <n v="5"/>
    <m/>
    <m/>
    <m/>
    <n v="8"/>
    <n v="13"/>
  </r>
  <r>
    <x v="3"/>
    <x v="14"/>
    <n v="11"/>
    <m/>
    <m/>
    <m/>
    <m/>
    <n v="11"/>
  </r>
  <r>
    <x v="3"/>
    <x v="15"/>
    <m/>
    <n v="1"/>
    <m/>
    <n v="9"/>
    <n v="51"/>
    <n v="61"/>
  </r>
  <r>
    <x v="3"/>
    <x v="16"/>
    <m/>
    <n v="2"/>
    <m/>
    <m/>
    <n v="1"/>
    <n v="3"/>
  </r>
  <r>
    <x v="3"/>
    <x v="17"/>
    <n v="1"/>
    <m/>
    <m/>
    <m/>
    <n v="1"/>
    <n v="2"/>
  </r>
  <r>
    <x v="3"/>
    <x v="18"/>
    <m/>
    <n v="1"/>
    <m/>
    <n v="1"/>
    <n v="10"/>
    <n v="12"/>
  </r>
  <r>
    <x v="3"/>
    <x v="19"/>
    <m/>
    <m/>
    <m/>
    <m/>
    <n v="14"/>
    <n v="14"/>
  </r>
  <r>
    <x v="3"/>
    <x v="20"/>
    <n v="1"/>
    <n v="2"/>
    <m/>
    <n v="3"/>
    <n v="8"/>
    <n v="14"/>
  </r>
  <r>
    <x v="3"/>
    <x v="21"/>
    <n v="4"/>
    <m/>
    <m/>
    <m/>
    <n v="3"/>
    <n v="7"/>
  </r>
  <r>
    <x v="3"/>
    <x v="22"/>
    <m/>
    <m/>
    <m/>
    <m/>
    <n v="12"/>
    <n v="12"/>
  </r>
  <r>
    <x v="3"/>
    <x v="23"/>
    <n v="1"/>
    <m/>
    <m/>
    <n v="3"/>
    <n v="10"/>
    <n v="14"/>
  </r>
  <r>
    <x v="3"/>
    <x v="24"/>
    <n v="2"/>
    <n v="1"/>
    <m/>
    <m/>
    <m/>
    <n v="3"/>
  </r>
  <r>
    <x v="3"/>
    <x v="25"/>
    <m/>
    <n v="2"/>
    <m/>
    <m/>
    <n v="11"/>
    <n v="13"/>
  </r>
  <r>
    <x v="3"/>
    <x v="26"/>
    <m/>
    <m/>
    <m/>
    <m/>
    <n v="14"/>
    <n v="14"/>
  </r>
  <r>
    <x v="3"/>
    <x v="27"/>
    <m/>
    <n v="1"/>
    <m/>
    <m/>
    <n v="4"/>
    <n v="5"/>
  </r>
  <r>
    <x v="3"/>
    <x v="28"/>
    <n v="3"/>
    <n v="1"/>
    <m/>
    <n v="1"/>
    <n v="7"/>
    <n v="12"/>
  </r>
  <r>
    <x v="3"/>
    <x v="29"/>
    <n v="1"/>
    <m/>
    <m/>
    <m/>
    <n v="9"/>
    <n v="10"/>
  </r>
  <r>
    <x v="3"/>
    <x v="30"/>
    <n v="1"/>
    <n v="1"/>
    <m/>
    <m/>
    <n v="1"/>
    <n v="3"/>
  </r>
  <r>
    <x v="3"/>
    <x v="31"/>
    <m/>
    <n v="1"/>
    <n v="1"/>
    <m/>
    <n v="4"/>
    <n v="6"/>
  </r>
  <r>
    <x v="4"/>
    <x v="0"/>
    <n v="3"/>
    <m/>
    <m/>
    <m/>
    <n v="1"/>
    <n v="4"/>
  </r>
  <r>
    <x v="4"/>
    <x v="1"/>
    <m/>
    <n v="1"/>
    <m/>
    <m/>
    <n v="23"/>
    <n v="24"/>
  </r>
  <r>
    <x v="4"/>
    <x v="2"/>
    <m/>
    <n v="1"/>
    <m/>
    <m/>
    <n v="5"/>
    <n v="6"/>
  </r>
  <r>
    <x v="4"/>
    <x v="3"/>
    <m/>
    <n v="2"/>
    <m/>
    <n v="25"/>
    <n v="12"/>
    <n v="39"/>
  </r>
  <r>
    <x v="4"/>
    <x v="4"/>
    <n v="7"/>
    <m/>
    <m/>
    <m/>
    <n v="1"/>
    <n v="8"/>
  </r>
  <r>
    <x v="4"/>
    <x v="5"/>
    <m/>
    <n v="1"/>
    <m/>
    <m/>
    <n v="1"/>
    <n v="2"/>
  </r>
  <r>
    <x v="4"/>
    <x v="6"/>
    <m/>
    <n v="1"/>
    <m/>
    <n v="1"/>
    <n v="15"/>
    <n v="17"/>
  </r>
  <r>
    <x v="4"/>
    <x v="7"/>
    <n v="3"/>
    <n v="1"/>
    <m/>
    <m/>
    <m/>
    <n v="4"/>
  </r>
  <r>
    <x v="4"/>
    <x v="8"/>
    <n v="1"/>
    <m/>
    <m/>
    <m/>
    <n v="7"/>
    <n v="8"/>
  </r>
  <r>
    <x v="4"/>
    <x v="9"/>
    <n v="3"/>
    <m/>
    <m/>
    <m/>
    <m/>
    <n v="3"/>
  </r>
  <r>
    <x v="4"/>
    <x v="10"/>
    <n v="1"/>
    <m/>
    <m/>
    <m/>
    <n v="5"/>
    <n v="6"/>
  </r>
  <r>
    <x v="4"/>
    <x v="11"/>
    <n v="2"/>
    <m/>
    <m/>
    <m/>
    <m/>
    <n v="2"/>
  </r>
  <r>
    <x v="4"/>
    <x v="12"/>
    <m/>
    <n v="3"/>
    <m/>
    <m/>
    <n v="2"/>
    <n v="5"/>
  </r>
  <r>
    <x v="4"/>
    <x v="13"/>
    <n v="5"/>
    <m/>
    <m/>
    <m/>
    <n v="8"/>
    <n v="13"/>
  </r>
  <r>
    <x v="4"/>
    <x v="14"/>
    <n v="11"/>
    <m/>
    <m/>
    <m/>
    <m/>
    <n v="11"/>
  </r>
  <r>
    <x v="4"/>
    <x v="15"/>
    <m/>
    <n v="1"/>
    <m/>
    <n v="9"/>
    <n v="51"/>
    <n v="61"/>
  </r>
  <r>
    <x v="4"/>
    <x v="16"/>
    <m/>
    <n v="2"/>
    <m/>
    <m/>
    <n v="1"/>
    <n v="3"/>
  </r>
  <r>
    <x v="4"/>
    <x v="17"/>
    <n v="1"/>
    <m/>
    <m/>
    <m/>
    <n v="1"/>
    <n v="2"/>
  </r>
  <r>
    <x v="4"/>
    <x v="18"/>
    <m/>
    <n v="1"/>
    <m/>
    <n v="1"/>
    <n v="10"/>
    <n v="12"/>
  </r>
  <r>
    <x v="4"/>
    <x v="19"/>
    <m/>
    <m/>
    <m/>
    <m/>
    <n v="14"/>
    <n v="14"/>
  </r>
  <r>
    <x v="4"/>
    <x v="20"/>
    <n v="1"/>
    <n v="2"/>
    <m/>
    <n v="3"/>
    <n v="8"/>
    <n v="14"/>
  </r>
  <r>
    <x v="4"/>
    <x v="21"/>
    <n v="4"/>
    <m/>
    <m/>
    <m/>
    <n v="3"/>
    <n v="7"/>
  </r>
  <r>
    <x v="4"/>
    <x v="22"/>
    <m/>
    <m/>
    <m/>
    <m/>
    <n v="12"/>
    <n v="12"/>
  </r>
  <r>
    <x v="4"/>
    <x v="23"/>
    <n v="1"/>
    <m/>
    <m/>
    <n v="3"/>
    <n v="10"/>
    <n v="14"/>
  </r>
  <r>
    <x v="4"/>
    <x v="24"/>
    <n v="2"/>
    <n v="1"/>
    <m/>
    <m/>
    <m/>
    <n v="3"/>
  </r>
  <r>
    <x v="4"/>
    <x v="25"/>
    <m/>
    <n v="2"/>
    <m/>
    <m/>
    <n v="11"/>
    <n v="13"/>
  </r>
  <r>
    <x v="4"/>
    <x v="26"/>
    <m/>
    <m/>
    <m/>
    <m/>
    <n v="14"/>
    <n v="14"/>
  </r>
  <r>
    <x v="4"/>
    <x v="27"/>
    <m/>
    <n v="1"/>
    <m/>
    <m/>
    <n v="4"/>
    <n v="5"/>
  </r>
  <r>
    <x v="4"/>
    <x v="28"/>
    <n v="3"/>
    <n v="1"/>
    <m/>
    <n v="1"/>
    <n v="7"/>
    <n v="12"/>
  </r>
  <r>
    <x v="4"/>
    <x v="29"/>
    <n v="1"/>
    <m/>
    <m/>
    <m/>
    <n v="9"/>
    <n v="10"/>
  </r>
  <r>
    <x v="4"/>
    <x v="30"/>
    <n v="1"/>
    <n v="1"/>
    <m/>
    <m/>
    <n v="1"/>
    <n v="3"/>
  </r>
  <r>
    <x v="4"/>
    <x v="31"/>
    <m/>
    <n v="1"/>
    <n v="1"/>
    <m/>
    <n v="4"/>
    <n v="6"/>
  </r>
  <r>
    <x v="5"/>
    <x v="0"/>
    <n v="3"/>
    <m/>
    <m/>
    <m/>
    <n v="1"/>
    <n v="4"/>
  </r>
  <r>
    <x v="5"/>
    <x v="1"/>
    <m/>
    <n v="1"/>
    <m/>
    <m/>
    <n v="23"/>
    <n v="24"/>
  </r>
  <r>
    <x v="5"/>
    <x v="2"/>
    <m/>
    <n v="1"/>
    <m/>
    <m/>
    <n v="5"/>
    <n v="6"/>
  </r>
  <r>
    <x v="5"/>
    <x v="3"/>
    <m/>
    <n v="2"/>
    <m/>
    <n v="25"/>
    <n v="12"/>
    <n v="39"/>
  </r>
  <r>
    <x v="5"/>
    <x v="4"/>
    <n v="7"/>
    <m/>
    <m/>
    <m/>
    <n v="1"/>
    <n v="8"/>
  </r>
  <r>
    <x v="5"/>
    <x v="5"/>
    <m/>
    <n v="1"/>
    <m/>
    <m/>
    <n v="1"/>
    <n v="2"/>
  </r>
  <r>
    <x v="5"/>
    <x v="6"/>
    <m/>
    <n v="1"/>
    <m/>
    <n v="1"/>
    <n v="15"/>
    <n v="17"/>
  </r>
  <r>
    <x v="5"/>
    <x v="7"/>
    <n v="3"/>
    <n v="1"/>
    <m/>
    <m/>
    <m/>
    <n v="4"/>
  </r>
  <r>
    <x v="5"/>
    <x v="8"/>
    <n v="1"/>
    <m/>
    <m/>
    <m/>
    <n v="7"/>
    <n v="8"/>
  </r>
  <r>
    <x v="5"/>
    <x v="9"/>
    <n v="3"/>
    <m/>
    <m/>
    <m/>
    <m/>
    <n v="3"/>
  </r>
  <r>
    <x v="5"/>
    <x v="10"/>
    <n v="1"/>
    <m/>
    <m/>
    <m/>
    <n v="5"/>
    <n v="6"/>
  </r>
  <r>
    <x v="5"/>
    <x v="11"/>
    <n v="2"/>
    <m/>
    <m/>
    <m/>
    <m/>
    <n v="2"/>
  </r>
  <r>
    <x v="5"/>
    <x v="12"/>
    <m/>
    <n v="3"/>
    <m/>
    <m/>
    <n v="2"/>
    <n v="5"/>
  </r>
  <r>
    <x v="5"/>
    <x v="13"/>
    <n v="5"/>
    <m/>
    <m/>
    <m/>
    <n v="8"/>
    <n v="13"/>
  </r>
  <r>
    <x v="5"/>
    <x v="14"/>
    <n v="11"/>
    <m/>
    <m/>
    <m/>
    <m/>
    <n v="11"/>
  </r>
  <r>
    <x v="5"/>
    <x v="15"/>
    <m/>
    <n v="1"/>
    <m/>
    <n v="9"/>
    <n v="51"/>
    <n v="61"/>
  </r>
  <r>
    <x v="5"/>
    <x v="16"/>
    <m/>
    <n v="2"/>
    <m/>
    <m/>
    <n v="1"/>
    <n v="3"/>
  </r>
  <r>
    <x v="5"/>
    <x v="17"/>
    <n v="1"/>
    <m/>
    <m/>
    <m/>
    <n v="1"/>
    <n v="2"/>
  </r>
  <r>
    <x v="5"/>
    <x v="18"/>
    <m/>
    <n v="1"/>
    <m/>
    <n v="1"/>
    <n v="10"/>
    <n v="12"/>
  </r>
  <r>
    <x v="5"/>
    <x v="19"/>
    <m/>
    <m/>
    <m/>
    <m/>
    <n v="14"/>
    <n v="14"/>
  </r>
  <r>
    <x v="5"/>
    <x v="20"/>
    <n v="1"/>
    <n v="2"/>
    <m/>
    <n v="3"/>
    <n v="8"/>
    <n v="14"/>
  </r>
  <r>
    <x v="5"/>
    <x v="21"/>
    <n v="4"/>
    <m/>
    <m/>
    <m/>
    <n v="3"/>
    <n v="7"/>
  </r>
  <r>
    <x v="5"/>
    <x v="22"/>
    <m/>
    <m/>
    <m/>
    <m/>
    <n v="12"/>
    <n v="12"/>
  </r>
  <r>
    <x v="5"/>
    <x v="23"/>
    <n v="1"/>
    <m/>
    <m/>
    <n v="3"/>
    <n v="10"/>
    <n v="14"/>
  </r>
  <r>
    <x v="5"/>
    <x v="24"/>
    <n v="2"/>
    <n v="1"/>
    <m/>
    <m/>
    <m/>
    <n v="3"/>
  </r>
  <r>
    <x v="5"/>
    <x v="25"/>
    <m/>
    <n v="2"/>
    <m/>
    <m/>
    <n v="11"/>
    <n v="13"/>
  </r>
  <r>
    <x v="5"/>
    <x v="26"/>
    <m/>
    <m/>
    <m/>
    <m/>
    <n v="14"/>
    <n v="14"/>
  </r>
  <r>
    <x v="5"/>
    <x v="27"/>
    <m/>
    <n v="1"/>
    <m/>
    <m/>
    <n v="4"/>
    <n v="5"/>
  </r>
  <r>
    <x v="5"/>
    <x v="28"/>
    <n v="3"/>
    <n v="1"/>
    <m/>
    <m/>
    <n v="7"/>
    <n v="12"/>
  </r>
  <r>
    <x v="5"/>
    <x v="29"/>
    <n v="1"/>
    <m/>
    <m/>
    <m/>
    <n v="9"/>
    <n v="10"/>
  </r>
  <r>
    <x v="5"/>
    <x v="30"/>
    <n v="1"/>
    <n v="1"/>
    <m/>
    <m/>
    <n v="1"/>
    <n v="3"/>
  </r>
  <r>
    <x v="5"/>
    <x v="31"/>
    <m/>
    <n v="1"/>
    <n v="1"/>
    <m/>
    <n v="4"/>
    <n v="6"/>
  </r>
</pivotCacheRecords>
</file>

<file path=xl/pivotCache/pivotCacheRecords6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0">
  <r>
    <x v="0"/>
    <x v="0"/>
    <n v="3"/>
    <n v="1"/>
    <m/>
    <n v="4"/>
  </r>
  <r>
    <x v="0"/>
    <x v="1"/>
    <n v="1"/>
    <n v="23"/>
    <m/>
    <n v="24"/>
  </r>
  <r>
    <x v="0"/>
    <x v="2"/>
    <n v="1"/>
    <n v="5"/>
    <m/>
    <n v="6"/>
  </r>
  <r>
    <x v="0"/>
    <x v="3"/>
    <n v="2"/>
    <n v="12"/>
    <n v="25"/>
    <n v="39"/>
  </r>
  <r>
    <x v="0"/>
    <x v="4"/>
    <n v="7"/>
    <n v="1"/>
    <m/>
    <n v="8"/>
  </r>
  <r>
    <x v="0"/>
    <x v="5"/>
    <n v="1"/>
    <n v="1"/>
    <m/>
    <n v="2"/>
  </r>
  <r>
    <x v="0"/>
    <x v="6"/>
    <n v="1"/>
    <n v="15"/>
    <n v="1"/>
    <n v="17"/>
  </r>
  <r>
    <x v="0"/>
    <x v="7"/>
    <n v="4"/>
    <m/>
    <m/>
    <n v="4"/>
  </r>
  <r>
    <x v="0"/>
    <x v="8"/>
    <n v="1"/>
    <n v="7"/>
    <m/>
    <n v="8"/>
  </r>
  <r>
    <x v="0"/>
    <x v="9"/>
    <n v="3"/>
    <m/>
    <m/>
    <n v="3"/>
  </r>
  <r>
    <x v="0"/>
    <x v="10"/>
    <n v="1"/>
    <n v="5"/>
    <m/>
    <n v="6"/>
  </r>
  <r>
    <x v="0"/>
    <x v="11"/>
    <n v="2"/>
    <m/>
    <m/>
    <n v="2"/>
  </r>
  <r>
    <x v="0"/>
    <x v="12"/>
    <n v="3"/>
    <n v="2"/>
    <m/>
    <n v="5"/>
  </r>
  <r>
    <x v="0"/>
    <x v="13"/>
    <n v="5"/>
    <n v="8"/>
    <m/>
    <n v="13"/>
  </r>
  <r>
    <x v="0"/>
    <x v="14"/>
    <n v="11"/>
    <m/>
    <m/>
    <n v="11"/>
  </r>
  <r>
    <x v="0"/>
    <x v="15"/>
    <n v="1"/>
    <n v="51"/>
    <n v="9"/>
    <n v="61"/>
  </r>
  <r>
    <x v="0"/>
    <x v="16"/>
    <n v="2"/>
    <n v="1"/>
    <m/>
    <n v="3"/>
  </r>
  <r>
    <x v="0"/>
    <x v="17"/>
    <n v="1"/>
    <n v="1"/>
    <m/>
    <n v="2"/>
  </r>
  <r>
    <x v="0"/>
    <x v="18"/>
    <n v="1"/>
    <n v="10"/>
    <n v="1"/>
    <n v="12"/>
  </r>
  <r>
    <x v="0"/>
    <x v="19"/>
    <m/>
    <n v="14"/>
    <m/>
    <n v="14"/>
  </r>
  <r>
    <x v="0"/>
    <x v="20"/>
    <n v="3"/>
    <n v="8"/>
    <n v="3"/>
    <n v="14"/>
  </r>
  <r>
    <x v="0"/>
    <x v="21"/>
    <n v="4"/>
    <n v="3"/>
    <m/>
    <n v="7"/>
  </r>
  <r>
    <x v="0"/>
    <x v="22"/>
    <m/>
    <n v="12"/>
    <m/>
    <n v="12"/>
  </r>
  <r>
    <x v="0"/>
    <x v="23"/>
    <n v="1"/>
    <n v="10"/>
    <n v="3"/>
    <n v="14"/>
  </r>
  <r>
    <x v="0"/>
    <x v="24"/>
    <n v="3"/>
    <m/>
    <m/>
    <n v="3"/>
  </r>
  <r>
    <x v="0"/>
    <x v="25"/>
    <n v="2"/>
    <n v="11"/>
    <m/>
    <n v="13"/>
  </r>
  <r>
    <x v="0"/>
    <x v="26"/>
    <m/>
    <n v="14"/>
    <m/>
    <n v="14"/>
  </r>
  <r>
    <x v="0"/>
    <x v="27"/>
    <n v="1"/>
    <n v="4"/>
    <m/>
    <n v="5"/>
  </r>
  <r>
    <x v="0"/>
    <x v="28"/>
    <n v="4"/>
    <n v="7"/>
    <n v="1"/>
    <n v="12"/>
  </r>
  <r>
    <x v="0"/>
    <x v="29"/>
    <n v="1"/>
    <n v="9"/>
    <m/>
    <n v="10"/>
  </r>
  <r>
    <x v="0"/>
    <x v="30"/>
    <n v="2"/>
    <n v="1"/>
    <m/>
    <n v="3"/>
  </r>
  <r>
    <x v="0"/>
    <x v="31"/>
    <n v="2"/>
    <n v="4"/>
    <m/>
    <n v="6"/>
  </r>
  <r>
    <x v="1"/>
    <x v="0"/>
    <n v="3"/>
    <n v="1"/>
    <m/>
    <n v="4"/>
  </r>
  <r>
    <x v="1"/>
    <x v="1"/>
    <n v="1"/>
    <n v="23"/>
    <m/>
    <n v="24"/>
  </r>
  <r>
    <x v="1"/>
    <x v="2"/>
    <n v="1"/>
    <n v="5"/>
    <m/>
    <n v="6"/>
  </r>
  <r>
    <x v="1"/>
    <x v="3"/>
    <n v="2"/>
    <n v="12"/>
    <n v="25"/>
    <n v="39"/>
  </r>
  <r>
    <x v="1"/>
    <x v="4"/>
    <n v="7"/>
    <n v="1"/>
    <m/>
    <n v="8"/>
  </r>
  <r>
    <x v="1"/>
    <x v="5"/>
    <n v="1"/>
    <n v="1"/>
    <m/>
    <n v="2"/>
  </r>
  <r>
    <x v="1"/>
    <x v="6"/>
    <n v="1"/>
    <n v="15"/>
    <n v="1"/>
    <n v="17"/>
  </r>
  <r>
    <x v="1"/>
    <x v="7"/>
    <n v="4"/>
    <m/>
    <m/>
    <n v="4"/>
  </r>
  <r>
    <x v="1"/>
    <x v="8"/>
    <n v="1"/>
    <n v="7"/>
    <m/>
    <n v="8"/>
  </r>
  <r>
    <x v="1"/>
    <x v="9"/>
    <n v="3"/>
    <m/>
    <m/>
    <n v="3"/>
  </r>
  <r>
    <x v="1"/>
    <x v="10"/>
    <n v="1"/>
    <n v="5"/>
    <m/>
    <n v="6"/>
  </r>
  <r>
    <x v="1"/>
    <x v="11"/>
    <n v="2"/>
    <m/>
    <m/>
    <n v="2"/>
  </r>
  <r>
    <x v="1"/>
    <x v="12"/>
    <n v="3"/>
    <n v="2"/>
    <m/>
    <n v="5"/>
  </r>
  <r>
    <x v="1"/>
    <x v="13"/>
    <n v="5"/>
    <n v="8"/>
    <m/>
    <n v="13"/>
  </r>
  <r>
    <x v="1"/>
    <x v="14"/>
    <n v="11"/>
    <m/>
    <m/>
    <n v="11"/>
  </r>
  <r>
    <x v="1"/>
    <x v="15"/>
    <n v="1"/>
    <n v="51"/>
    <n v="9"/>
    <n v="61"/>
  </r>
  <r>
    <x v="1"/>
    <x v="16"/>
    <n v="2"/>
    <n v="1"/>
    <m/>
    <n v="3"/>
  </r>
  <r>
    <x v="1"/>
    <x v="17"/>
    <n v="1"/>
    <n v="1"/>
    <m/>
    <n v="2"/>
  </r>
  <r>
    <x v="1"/>
    <x v="18"/>
    <n v="1"/>
    <n v="10"/>
    <n v="1"/>
    <n v="12"/>
  </r>
  <r>
    <x v="1"/>
    <x v="19"/>
    <m/>
    <n v="14"/>
    <m/>
    <n v="14"/>
  </r>
  <r>
    <x v="1"/>
    <x v="20"/>
    <n v="3"/>
    <n v="8"/>
    <n v="3"/>
    <n v="14"/>
  </r>
  <r>
    <x v="1"/>
    <x v="21"/>
    <n v="4"/>
    <n v="3"/>
    <m/>
    <n v="7"/>
  </r>
  <r>
    <x v="1"/>
    <x v="22"/>
    <m/>
    <n v="12"/>
    <m/>
    <n v="12"/>
  </r>
  <r>
    <x v="1"/>
    <x v="23"/>
    <n v="1"/>
    <n v="10"/>
    <n v="3"/>
    <n v="14"/>
  </r>
  <r>
    <x v="1"/>
    <x v="24"/>
    <n v="3"/>
    <m/>
    <m/>
    <n v="3"/>
  </r>
  <r>
    <x v="1"/>
    <x v="25"/>
    <n v="2"/>
    <n v="11"/>
    <m/>
    <n v="13"/>
  </r>
  <r>
    <x v="1"/>
    <x v="26"/>
    <m/>
    <n v="14"/>
    <m/>
    <n v="14"/>
  </r>
  <r>
    <x v="1"/>
    <x v="27"/>
    <n v="1"/>
    <n v="4"/>
    <m/>
    <n v="5"/>
  </r>
  <r>
    <x v="1"/>
    <x v="28"/>
    <n v="4"/>
    <n v="7"/>
    <n v="1"/>
    <n v="12"/>
  </r>
  <r>
    <x v="1"/>
    <x v="29"/>
    <n v="1"/>
    <n v="9"/>
    <m/>
    <n v="10"/>
  </r>
  <r>
    <x v="1"/>
    <x v="30"/>
    <n v="2"/>
    <n v="1"/>
    <m/>
    <n v="3"/>
  </r>
  <r>
    <x v="1"/>
    <x v="31"/>
    <n v="2"/>
    <n v="4"/>
    <m/>
    <n v="6"/>
  </r>
  <r>
    <x v="2"/>
    <x v="0"/>
    <n v="3"/>
    <n v="1"/>
    <m/>
    <n v="4"/>
  </r>
  <r>
    <x v="2"/>
    <x v="1"/>
    <n v="1"/>
    <n v="23"/>
    <m/>
    <n v="24"/>
  </r>
  <r>
    <x v="2"/>
    <x v="2"/>
    <n v="1"/>
    <n v="5"/>
    <m/>
    <n v="6"/>
  </r>
  <r>
    <x v="2"/>
    <x v="3"/>
    <n v="2"/>
    <n v="12"/>
    <n v="25"/>
    <n v="39"/>
  </r>
  <r>
    <x v="2"/>
    <x v="4"/>
    <n v="7"/>
    <n v="1"/>
    <m/>
    <n v="8"/>
  </r>
  <r>
    <x v="2"/>
    <x v="5"/>
    <n v="1"/>
    <n v="1"/>
    <m/>
    <n v="2"/>
  </r>
  <r>
    <x v="2"/>
    <x v="6"/>
    <n v="1"/>
    <n v="15"/>
    <n v="1"/>
    <n v="17"/>
  </r>
  <r>
    <x v="2"/>
    <x v="7"/>
    <n v="4"/>
    <m/>
    <m/>
    <n v="4"/>
  </r>
  <r>
    <x v="2"/>
    <x v="8"/>
    <n v="1"/>
    <n v="7"/>
    <m/>
    <n v="8"/>
  </r>
  <r>
    <x v="2"/>
    <x v="9"/>
    <n v="3"/>
    <m/>
    <m/>
    <n v="3"/>
  </r>
  <r>
    <x v="2"/>
    <x v="10"/>
    <n v="1"/>
    <n v="5"/>
    <m/>
    <n v="6"/>
  </r>
  <r>
    <x v="2"/>
    <x v="11"/>
    <n v="2"/>
    <m/>
    <m/>
    <n v="2"/>
  </r>
  <r>
    <x v="2"/>
    <x v="12"/>
    <n v="3"/>
    <n v="2"/>
    <m/>
    <n v="5"/>
  </r>
  <r>
    <x v="2"/>
    <x v="13"/>
    <n v="5"/>
    <n v="8"/>
    <m/>
    <n v="13"/>
  </r>
  <r>
    <x v="2"/>
    <x v="14"/>
    <n v="11"/>
    <m/>
    <m/>
    <n v="11"/>
  </r>
  <r>
    <x v="2"/>
    <x v="15"/>
    <n v="1"/>
    <n v="51"/>
    <n v="9"/>
    <n v="61"/>
  </r>
  <r>
    <x v="2"/>
    <x v="16"/>
    <n v="2"/>
    <n v="1"/>
    <m/>
    <n v="3"/>
  </r>
  <r>
    <x v="2"/>
    <x v="17"/>
    <n v="1"/>
    <n v="1"/>
    <m/>
    <n v="2"/>
  </r>
  <r>
    <x v="2"/>
    <x v="18"/>
    <n v="1"/>
    <n v="10"/>
    <n v="1"/>
    <n v="12"/>
  </r>
  <r>
    <x v="2"/>
    <x v="19"/>
    <m/>
    <n v="14"/>
    <m/>
    <n v="14"/>
  </r>
  <r>
    <x v="2"/>
    <x v="20"/>
    <n v="3"/>
    <n v="8"/>
    <n v="3"/>
    <n v="14"/>
  </r>
  <r>
    <x v="2"/>
    <x v="21"/>
    <n v="4"/>
    <n v="3"/>
    <m/>
    <n v="7"/>
  </r>
  <r>
    <x v="2"/>
    <x v="22"/>
    <m/>
    <n v="12"/>
    <m/>
    <n v="12"/>
  </r>
  <r>
    <x v="2"/>
    <x v="23"/>
    <n v="1"/>
    <n v="10"/>
    <n v="3"/>
    <n v="14"/>
  </r>
  <r>
    <x v="2"/>
    <x v="24"/>
    <n v="3"/>
    <m/>
    <m/>
    <n v="3"/>
  </r>
  <r>
    <x v="2"/>
    <x v="25"/>
    <n v="2"/>
    <n v="11"/>
    <m/>
    <n v="13"/>
  </r>
  <r>
    <x v="2"/>
    <x v="26"/>
    <m/>
    <n v="14"/>
    <m/>
    <n v="14"/>
  </r>
  <r>
    <x v="2"/>
    <x v="27"/>
    <n v="1"/>
    <n v="4"/>
    <m/>
    <n v="5"/>
  </r>
  <r>
    <x v="2"/>
    <x v="28"/>
    <n v="4"/>
    <n v="7"/>
    <n v="1"/>
    <n v="12"/>
  </r>
  <r>
    <x v="2"/>
    <x v="29"/>
    <n v="1"/>
    <n v="9"/>
    <m/>
    <n v="10"/>
  </r>
  <r>
    <x v="2"/>
    <x v="30"/>
    <n v="2"/>
    <n v="1"/>
    <m/>
    <n v="3"/>
  </r>
  <r>
    <x v="2"/>
    <x v="31"/>
    <n v="2"/>
    <n v="4"/>
    <m/>
    <n v="6"/>
  </r>
  <r>
    <x v="3"/>
    <x v="0"/>
    <n v="3"/>
    <n v="1"/>
    <m/>
    <n v="4"/>
  </r>
  <r>
    <x v="3"/>
    <x v="1"/>
    <n v="1"/>
    <n v="23"/>
    <m/>
    <n v="24"/>
  </r>
  <r>
    <x v="3"/>
    <x v="2"/>
    <n v="1"/>
    <n v="5"/>
    <m/>
    <n v="6"/>
  </r>
  <r>
    <x v="3"/>
    <x v="3"/>
    <n v="2"/>
    <n v="12"/>
    <n v="25"/>
    <n v="39"/>
  </r>
  <r>
    <x v="3"/>
    <x v="4"/>
    <n v="7"/>
    <n v="1"/>
    <m/>
    <n v="8"/>
  </r>
  <r>
    <x v="3"/>
    <x v="5"/>
    <n v="1"/>
    <n v="1"/>
    <m/>
    <n v="2"/>
  </r>
  <r>
    <x v="3"/>
    <x v="6"/>
    <n v="1"/>
    <n v="15"/>
    <n v="1"/>
    <n v="17"/>
  </r>
  <r>
    <x v="3"/>
    <x v="7"/>
    <n v="4"/>
    <m/>
    <m/>
    <n v="4"/>
  </r>
  <r>
    <x v="3"/>
    <x v="8"/>
    <n v="1"/>
    <n v="7"/>
    <m/>
    <n v="8"/>
  </r>
  <r>
    <x v="3"/>
    <x v="9"/>
    <n v="3"/>
    <m/>
    <m/>
    <n v="3"/>
  </r>
  <r>
    <x v="3"/>
    <x v="10"/>
    <n v="1"/>
    <n v="5"/>
    <m/>
    <n v="6"/>
  </r>
  <r>
    <x v="3"/>
    <x v="11"/>
    <n v="2"/>
    <m/>
    <m/>
    <n v="2"/>
  </r>
  <r>
    <x v="3"/>
    <x v="12"/>
    <n v="3"/>
    <n v="2"/>
    <m/>
    <n v="5"/>
  </r>
  <r>
    <x v="3"/>
    <x v="13"/>
    <n v="5"/>
    <n v="8"/>
    <m/>
    <n v="13"/>
  </r>
  <r>
    <x v="3"/>
    <x v="14"/>
    <n v="11"/>
    <m/>
    <m/>
    <n v="11"/>
  </r>
  <r>
    <x v="3"/>
    <x v="15"/>
    <n v="1"/>
    <n v="51"/>
    <n v="9"/>
    <n v="61"/>
  </r>
  <r>
    <x v="3"/>
    <x v="16"/>
    <n v="2"/>
    <n v="1"/>
    <m/>
    <n v="3"/>
  </r>
  <r>
    <x v="3"/>
    <x v="17"/>
    <n v="1"/>
    <n v="1"/>
    <m/>
    <n v="2"/>
  </r>
  <r>
    <x v="3"/>
    <x v="18"/>
    <n v="1"/>
    <n v="10"/>
    <n v="1"/>
    <n v="12"/>
  </r>
  <r>
    <x v="3"/>
    <x v="19"/>
    <m/>
    <n v="14"/>
    <m/>
    <n v="14"/>
  </r>
  <r>
    <x v="3"/>
    <x v="20"/>
    <n v="3"/>
    <n v="8"/>
    <n v="3"/>
    <n v="14"/>
  </r>
  <r>
    <x v="3"/>
    <x v="21"/>
    <n v="4"/>
    <n v="3"/>
    <m/>
    <n v="7"/>
  </r>
  <r>
    <x v="3"/>
    <x v="22"/>
    <m/>
    <n v="12"/>
    <m/>
    <n v="12"/>
  </r>
  <r>
    <x v="3"/>
    <x v="23"/>
    <n v="1"/>
    <n v="10"/>
    <n v="3"/>
    <n v="14"/>
  </r>
  <r>
    <x v="3"/>
    <x v="24"/>
    <n v="3"/>
    <m/>
    <m/>
    <n v="3"/>
  </r>
  <r>
    <x v="3"/>
    <x v="25"/>
    <n v="2"/>
    <n v="11"/>
    <m/>
    <n v="13"/>
  </r>
  <r>
    <x v="3"/>
    <x v="26"/>
    <m/>
    <n v="14"/>
    <m/>
    <n v="14"/>
  </r>
  <r>
    <x v="3"/>
    <x v="27"/>
    <n v="1"/>
    <n v="4"/>
    <m/>
    <n v="5"/>
  </r>
  <r>
    <x v="3"/>
    <x v="28"/>
    <n v="4"/>
    <n v="7"/>
    <n v="1"/>
    <n v="12"/>
  </r>
  <r>
    <x v="3"/>
    <x v="29"/>
    <n v="1"/>
    <n v="9"/>
    <m/>
    <n v="10"/>
  </r>
  <r>
    <x v="3"/>
    <x v="30"/>
    <n v="2"/>
    <n v="1"/>
    <m/>
    <n v="3"/>
  </r>
  <r>
    <x v="3"/>
    <x v="31"/>
    <n v="2"/>
    <n v="4"/>
    <m/>
    <n v="6"/>
  </r>
  <r>
    <x v="4"/>
    <x v="0"/>
    <n v="3"/>
    <n v="1"/>
    <m/>
    <n v="4"/>
  </r>
  <r>
    <x v="4"/>
    <x v="1"/>
    <n v="1"/>
    <n v="23"/>
    <m/>
    <n v="24"/>
  </r>
  <r>
    <x v="4"/>
    <x v="2"/>
    <n v="1"/>
    <n v="5"/>
    <m/>
    <n v="6"/>
  </r>
  <r>
    <x v="4"/>
    <x v="3"/>
    <n v="2"/>
    <n v="12"/>
    <n v="25"/>
    <n v="39"/>
  </r>
  <r>
    <x v="4"/>
    <x v="4"/>
    <n v="7"/>
    <n v="1"/>
    <m/>
    <n v="8"/>
  </r>
  <r>
    <x v="4"/>
    <x v="5"/>
    <n v="1"/>
    <n v="1"/>
    <m/>
    <n v="2"/>
  </r>
  <r>
    <x v="4"/>
    <x v="6"/>
    <n v="1"/>
    <n v="15"/>
    <n v="1"/>
    <n v="17"/>
  </r>
  <r>
    <x v="4"/>
    <x v="7"/>
    <n v="4"/>
    <m/>
    <m/>
    <n v="4"/>
  </r>
  <r>
    <x v="4"/>
    <x v="8"/>
    <n v="1"/>
    <n v="7"/>
    <m/>
    <n v="8"/>
  </r>
  <r>
    <x v="4"/>
    <x v="9"/>
    <n v="3"/>
    <m/>
    <m/>
    <n v="3"/>
  </r>
  <r>
    <x v="4"/>
    <x v="10"/>
    <n v="1"/>
    <n v="5"/>
    <m/>
    <n v="6"/>
  </r>
  <r>
    <x v="4"/>
    <x v="11"/>
    <n v="2"/>
    <m/>
    <m/>
    <n v="2"/>
  </r>
  <r>
    <x v="4"/>
    <x v="12"/>
    <n v="3"/>
    <n v="2"/>
    <m/>
    <n v="5"/>
  </r>
  <r>
    <x v="4"/>
    <x v="13"/>
    <n v="5"/>
    <n v="8"/>
    <m/>
    <n v="13"/>
  </r>
  <r>
    <x v="4"/>
    <x v="14"/>
    <n v="11"/>
    <m/>
    <m/>
    <n v="11"/>
  </r>
  <r>
    <x v="4"/>
    <x v="15"/>
    <n v="1"/>
    <n v="51"/>
    <n v="9"/>
    <n v="61"/>
  </r>
  <r>
    <x v="4"/>
    <x v="16"/>
    <n v="2"/>
    <n v="1"/>
    <m/>
    <n v="3"/>
  </r>
  <r>
    <x v="4"/>
    <x v="17"/>
    <n v="1"/>
    <n v="1"/>
    <m/>
    <n v="2"/>
  </r>
  <r>
    <x v="4"/>
    <x v="18"/>
    <n v="1"/>
    <n v="10"/>
    <n v="1"/>
    <n v="12"/>
  </r>
  <r>
    <x v="4"/>
    <x v="19"/>
    <m/>
    <n v="14"/>
    <m/>
    <n v="14"/>
  </r>
  <r>
    <x v="4"/>
    <x v="20"/>
    <n v="3"/>
    <n v="8"/>
    <n v="3"/>
    <n v="14"/>
  </r>
  <r>
    <x v="4"/>
    <x v="21"/>
    <n v="4"/>
    <n v="3"/>
    <m/>
    <n v="7"/>
  </r>
  <r>
    <x v="4"/>
    <x v="22"/>
    <m/>
    <n v="12"/>
    <m/>
    <n v="12"/>
  </r>
  <r>
    <x v="4"/>
    <x v="23"/>
    <n v="1"/>
    <n v="10"/>
    <n v="3"/>
    <n v="14"/>
  </r>
  <r>
    <x v="4"/>
    <x v="24"/>
    <n v="3"/>
    <m/>
    <m/>
    <n v="3"/>
  </r>
  <r>
    <x v="4"/>
    <x v="25"/>
    <n v="2"/>
    <n v="11"/>
    <m/>
    <n v="13"/>
  </r>
  <r>
    <x v="4"/>
    <x v="26"/>
    <m/>
    <n v="14"/>
    <m/>
    <n v="14"/>
  </r>
  <r>
    <x v="4"/>
    <x v="27"/>
    <n v="1"/>
    <n v="4"/>
    <m/>
    <n v="5"/>
  </r>
  <r>
    <x v="4"/>
    <x v="28"/>
    <n v="4"/>
    <n v="7"/>
    <n v="1"/>
    <n v="12"/>
  </r>
  <r>
    <x v="4"/>
    <x v="29"/>
    <n v="1"/>
    <n v="9"/>
    <m/>
    <n v="10"/>
  </r>
  <r>
    <x v="4"/>
    <x v="30"/>
    <n v="2"/>
    <n v="1"/>
    <m/>
    <n v="3"/>
  </r>
  <r>
    <x v="4"/>
    <x v="31"/>
    <n v="2"/>
    <n v="4"/>
    <m/>
    <n v="6"/>
  </r>
  <r>
    <x v="5"/>
    <x v="0"/>
    <n v="3"/>
    <n v="1"/>
    <m/>
    <n v="4"/>
  </r>
  <r>
    <x v="5"/>
    <x v="1"/>
    <n v="1"/>
    <n v="23"/>
    <m/>
    <n v="24"/>
  </r>
  <r>
    <x v="5"/>
    <x v="2"/>
    <n v="1"/>
    <n v="5"/>
    <m/>
    <n v="6"/>
  </r>
  <r>
    <x v="5"/>
    <x v="3"/>
    <n v="2"/>
    <n v="12"/>
    <n v="25"/>
    <n v="39"/>
  </r>
  <r>
    <x v="5"/>
    <x v="4"/>
    <n v="7"/>
    <n v="1"/>
    <m/>
    <n v="8"/>
  </r>
  <r>
    <x v="5"/>
    <x v="5"/>
    <n v="1"/>
    <n v="1"/>
    <m/>
    <n v="2"/>
  </r>
  <r>
    <x v="5"/>
    <x v="6"/>
    <n v="1"/>
    <n v="15"/>
    <n v="1"/>
    <n v="17"/>
  </r>
  <r>
    <x v="5"/>
    <x v="7"/>
    <n v="4"/>
    <m/>
    <m/>
    <n v="4"/>
  </r>
  <r>
    <x v="5"/>
    <x v="8"/>
    <n v="1"/>
    <n v="7"/>
    <m/>
    <n v="8"/>
  </r>
  <r>
    <x v="5"/>
    <x v="9"/>
    <n v="3"/>
    <m/>
    <m/>
    <n v="3"/>
  </r>
  <r>
    <x v="5"/>
    <x v="10"/>
    <n v="1"/>
    <n v="5"/>
    <m/>
    <n v="6"/>
  </r>
  <r>
    <x v="5"/>
    <x v="11"/>
    <n v="2"/>
    <m/>
    <m/>
    <n v="2"/>
  </r>
  <r>
    <x v="5"/>
    <x v="12"/>
    <n v="3"/>
    <n v="2"/>
    <m/>
    <n v="5"/>
  </r>
  <r>
    <x v="5"/>
    <x v="13"/>
    <n v="5"/>
    <n v="8"/>
    <m/>
    <n v="13"/>
  </r>
  <r>
    <x v="5"/>
    <x v="14"/>
    <n v="11"/>
    <m/>
    <m/>
    <n v="11"/>
  </r>
  <r>
    <x v="5"/>
    <x v="15"/>
    <n v="1"/>
    <n v="51"/>
    <n v="9"/>
    <n v="61"/>
  </r>
  <r>
    <x v="5"/>
    <x v="16"/>
    <n v="2"/>
    <n v="1"/>
    <m/>
    <n v="3"/>
  </r>
  <r>
    <x v="5"/>
    <x v="17"/>
    <n v="1"/>
    <n v="1"/>
    <m/>
    <n v="2"/>
  </r>
  <r>
    <x v="5"/>
    <x v="18"/>
    <n v="1"/>
    <n v="10"/>
    <n v="1"/>
    <n v="12"/>
  </r>
  <r>
    <x v="5"/>
    <x v="19"/>
    <m/>
    <n v="14"/>
    <m/>
    <n v="14"/>
  </r>
  <r>
    <x v="5"/>
    <x v="20"/>
    <n v="3"/>
    <n v="8"/>
    <n v="3"/>
    <n v="14"/>
  </r>
  <r>
    <x v="5"/>
    <x v="21"/>
    <n v="4"/>
    <n v="3"/>
    <m/>
    <n v="7"/>
  </r>
  <r>
    <x v="5"/>
    <x v="22"/>
    <m/>
    <n v="12"/>
    <m/>
    <n v="12"/>
  </r>
  <r>
    <x v="5"/>
    <x v="23"/>
    <n v="1"/>
    <n v="10"/>
    <n v="3"/>
    <n v="14"/>
  </r>
  <r>
    <x v="5"/>
    <x v="24"/>
    <n v="3"/>
    <m/>
    <m/>
    <n v="3"/>
  </r>
  <r>
    <x v="5"/>
    <x v="25"/>
    <n v="2"/>
    <n v="11"/>
    <m/>
    <n v="13"/>
  </r>
  <r>
    <x v="5"/>
    <x v="26"/>
    <m/>
    <n v="14"/>
    <m/>
    <n v="14"/>
  </r>
  <r>
    <x v="5"/>
    <x v="27"/>
    <n v="1"/>
    <n v="4"/>
    <m/>
    <n v="5"/>
  </r>
  <r>
    <x v="5"/>
    <x v="28"/>
    <n v="4"/>
    <n v="7"/>
    <n v="1"/>
    <n v="12"/>
  </r>
  <r>
    <x v="5"/>
    <x v="29"/>
    <n v="1"/>
    <n v="9"/>
    <m/>
    <n v="10"/>
  </r>
  <r>
    <x v="5"/>
    <x v="30"/>
    <n v="2"/>
    <n v="1"/>
    <m/>
    <n v="3"/>
  </r>
  <r>
    <x v="5"/>
    <x v="31"/>
    <n v="2"/>
    <n v="4"/>
    <m/>
    <n v="6"/>
  </r>
  <r>
    <x v="6"/>
    <x v="0"/>
    <n v="3"/>
    <n v="1"/>
    <m/>
    <n v="4"/>
  </r>
  <r>
    <x v="6"/>
    <x v="1"/>
    <n v="1"/>
    <n v="23"/>
    <m/>
    <n v="24"/>
  </r>
  <r>
    <x v="6"/>
    <x v="2"/>
    <n v="1"/>
    <n v="5"/>
    <m/>
    <n v="6"/>
  </r>
  <r>
    <x v="6"/>
    <x v="3"/>
    <n v="2"/>
    <n v="12"/>
    <n v="25"/>
    <n v="39"/>
  </r>
  <r>
    <x v="6"/>
    <x v="4"/>
    <n v="7"/>
    <n v="1"/>
    <m/>
    <n v="8"/>
  </r>
  <r>
    <x v="6"/>
    <x v="5"/>
    <n v="1"/>
    <n v="1"/>
    <m/>
    <n v="2"/>
  </r>
  <r>
    <x v="6"/>
    <x v="6"/>
    <n v="1"/>
    <n v="15"/>
    <n v="1"/>
    <n v="17"/>
  </r>
  <r>
    <x v="6"/>
    <x v="7"/>
    <n v="4"/>
    <m/>
    <m/>
    <n v="4"/>
  </r>
  <r>
    <x v="6"/>
    <x v="8"/>
    <n v="1"/>
    <n v="7"/>
    <m/>
    <n v="8"/>
  </r>
  <r>
    <x v="6"/>
    <x v="9"/>
    <n v="3"/>
    <m/>
    <m/>
    <n v="3"/>
  </r>
  <r>
    <x v="6"/>
    <x v="10"/>
    <n v="1"/>
    <n v="5"/>
    <m/>
    <n v="6"/>
  </r>
  <r>
    <x v="6"/>
    <x v="11"/>
    <n v="2"/>
    <m/>
    <m/>
    <n v="2"/>
  </r>
  <r>
    <x v="6"/>
    <x v="12"/>
    <n v="3"/>
    <n v="2"/>
    <m/>
    <n v="5"/>
  </r>
  <r>
    <x v="6"/>
    <x v="13"/>
    <n v="5"/>
    <n v="8"/>
    <m/>
    <n v="13"/>
  </r>
  <r>
    <x v="6"/>
    <x v="14"/>
    <n v="11"/>
    <m/>
    <m/>
    <n v="11"/>
  </r>
  <r>
    <x v="6"/>
    <x v="15"/>
    <n v="1"/>
    <n v="51"/>
    <n v="9"/>
    <n v="61"/>
  </r>
  <r>
    <x v="6"/>
    <x v="16"/>
    <n v="2"/>
    <n v="1"/>
    <m/>
    <n v="3"/>
  </r>
  <r>
    <x v="6"/>
    <x v="17"/>
    <n v="1"/>
    <n v="1"/>
    <m/>
    <n v="2"/>
  </r>
  <r>
    <x v="6"/>
    <x v="18"/>
    <n v="1"/>
    <n v="10"/>
    <n v="1"/>
    <n v="12"/>
  </r>
  <r>
    <x v="6"/>
    <x v="19"/>
    <m/>
    <n v="14"/>
    <m/>
    <n v="14"/>
  </r>
  <r>
    <x v="6"/>
    <x v="20"/>
    <n v="3"/>
    <n v="8"/>
    <n v="3"/>
    <n v="14"/>
  </r>
  <r>
    <x v="6"/>
    <x v="21"/>
    <n v="4"/>
    <n v="3"/>
    <m/>
    <n v="7"/>
  </r>
  <r>
    <x v="6"/>
    <x v="22"/>
    <m/>
    <n v="12"/>
    <m/>
    <n v="12"/>
  </r>
  <r>
    <x v="6"/>
    <x v="23"/>
    <n v="1"/>
    <n v="10"/>
    <n v="3"/>
    <n v="14"/>
  </r>
  <r>
    <x v="6"/>
    <x v="24"/>
    <n v="3"/>
    <m/>
    <m/>
    <n v="3"/>
  </r>
  <r>
    <x v="6"/>
    <x v="25"/>
    <n v="2"/>
    <n v="11"/>
    <m/>
    <n v="13"/>
  </r>
  <r>
    <x v="6"/>
    <x v="26"/>
    <m/>
    <n v="14"/>
    <m/>
    <n v="14"/>
  </r>
  <r>
    <x v="6"/>
    <x v="27"/>
    <n v="1"/>
    <n v="4"/>
    <m/>
    <n v="5"/>
  </r>
  <r>
    <x v="6"/>
    <x v="28"/>
    <n v="4"/>
    <n v="7"/>
    <n v="1"/>
    <n v="12"/>
  </r>
  <r>
    <x v="6"/>
    <x v="29"/>
    <n v="1"/>
    <n v="9"/>
    <m/>
    <n v="10"/>
  </r>
  <r>
    <x v="6"/>
    <x v="30"/>
    <n v="2"/>
    <n v="1"/>
    <m/>
    <n v="3"/>
  </r>
  <r>
    <x v="6"/>
    <x v="31"/>
    <n v="2"/>
    <n v="4"/>
    <m/>
    <n v="6"/>
  </r>
  <r>
    <x v="7"/>
    <x v="0"/>
    <n v="3"/>
    <n v="1"/>
    <m/>
    <n v="4"/>
  </r>
  <r>
    <x v="7"/>
    <x v="1"/>
    <n v="1"/>
    <n v="23"/>
    <m/>
    <n v="24"/>
  </r>
  <r>
    <x v="7"/>
    <x v="2"/>
    <n v="1"/>
    <n v="5"/>
    <m/>
    <n v="6"/>
  </r>
  <r>
    <x v="7"/>
    <x v="3"/>
    <n v="2"/>
    <n v="12"/>
    <n v="25"/>
    <n v="39"/>
  </r>
  <r>
    <x v="7"/>
    <x v="4"/>
    <n v="7"/>
    <n v="1"/>
    <m/>
    <n v="8"/>
  </r>
  <r>
    <x v="7"/>
    <x v="5"/>
    <n v="1"/>
    <n v="1"/>
    <m/>
    <n v="2"/>
  </r>
  <r>
    <x v="7"/>
    <x v="6"/>
    <n v="1"/>
    <n v="15"/>
    <n v="1"/>
    <n v="17"/>
  </r>
  <r>
    <x v="7"/>
    <x v="7"/>
    <n v="4"/>
    <m/>
    <m/>
    <n v="4"/>
  </r>
  <r>
    <x v="7"/>
    <x v="8"/>
    <n v="1"/>
    <n v="7"/>
    <m/>
    <n v="8"/>
  </r>
  <r>
    <x v="7"/>
    <x v="9"/>
    <n v="3"/>
    <m/>
    <m/>
    <n v="3"/>
  </r>
  <r>
    <x v="7"/>
    <x v="10"/>
    <n v="1"/>
    <n v="5"/>
    <m/>
    <n v="6"/>
  </r>
  <r>
    <x v="7"/>
    <x v="11"/>
    <n v="2"/>
    <m/>
    <m/>
    <n v="2"/>
  </r>
  <r>
    <x v="7"/>
    <x v="12"/>
    <n v="3"/>
    <n v="2"/>
    <m/>
    <n v="5"/>
  </r>
  <r>
    <x v="7"/>
    <x v="13"/>
    <n v="5"/>
    <n v="8"/>
    <m/>
    <n v="13"/>
  </r>
  <r>
    <x v="7"/>
    <x v="14"/>
    <n v="11"/>
    <m/>
    <m/>
    <n v="11"/>
  </r>
  <r>
    <x v="7"/>
    <x v="15"/>
    <n v="1"/>
    <n v="51"/>
    <n v="9"/>
    <n v="61"/>
  </r>
  <r>
    <x v="7"/>
    <x v="16"/>
    <n v="2"/>
    <n v="1"/>
    <m/>
    <n v="3"/>
  </r>
  <r>
    <x v="7"/>
    <x v="17"/>
    <n v="1"/>
    <n v="1"/>
    <m/>
    <n v="2"/>
  </r>
  <r>
    <x v="7"/>
    <x v="18"/>
    <n v="1"/>
    <n v="10"/>
    <n v="1"/>
    <n v="12"/>
  </r>
  <r>
    <x v="7"/>
    <x v="19"/>
    <m/>
    <n v="14"/>
    <m/>
    <n v="14"/>
  </r>
  <r>
    <x v="7"/>
    <x v="20"/>
    <n v="3"/>
    <n v="8"/>
    <n v="3"/>
    <n v="14"/>
  </r>
  <r>
    <x v="7"/>
    <x v="21"/>
    <n v="4"/>
    <n v="3"/>
    <m/>
    <n v="7"/>
  </r>
  <r>
    <x v="7"/>
    <x v="22"/>
    <m/>
    <n v="12"/>
    <m/>
    <n v="12"/>
  </r>
  <r>
    <x v="7"/>
    <x v="23"/>
    <n v="1"/>
    <n v="10"/>
    <n v="3"/>
    <n v="14"/>
  </r>
  <r>
    <x v="7"/>
    <x v="24"/>
    <n v="3"/>
    <m/>
    <m/>
    <n v="3"/>
  </r>
  <r>
    <x v="7"/>
    <x v="25"/>
    <n v="2"/>
    <n v="11"/>
    <m/>
    <n v="13"/>
  </r>
  <r>
    <x v="7"/>
    <x v="26"/>
    <m/>
    <n v="14"/>
    <m/>
    <n v="14"/>
  </r>
  <r>
    <x v="7"/>
    <x v="27"/>
    <n v="1"/>
    <n v="4"/>
    <m/>
    <n v="5"/>
  </r>
  <r>
    <x v="7"/>
    <x v="28"/>
    <n v="4"/>
    <n v="7"/>
    <n v="1"/>
    <n v="12"/>
  </r>
  <r>
    <x v="7"/>
    <x v="29"/>
    <n v="1"/>
    <n v="9"/>
    <m/>
    <n v="10"/>
  </r>
  <r>
    <x v="7"/>
    <x v="30"/>
    <n v="2"/>
    <n v="1"/>
    <m/>
    <n v="3"/>
  </r>
  <r>
    <x v="7"/>
    <x v="31"/>
    <n v="2"/>
    <n v="4"/>
    <m/>
    <n v="6"/>
  </r>
  <r>
    <x v="8"/>
    <x v="0"/>
    <n v="3"/>
    <n v="1"/>
    <m/>
    <n v="4"/>
  </r>
  <r>
    <x v="8"/>
    <x v="1"/>
    <n v="1"/>
    <n v="23"/>
    <m/>
    <n v="24"/>
  </r>
  <r>
    <x v="8"/>
    <x v="2"/>
    <n v="1"/>
    <n v="5"/>
    <m/>
    <n v="6"/>
  </r>
  <r>
    <x v="8"/>
    <x v="3"/>
    <n v="2"/>
    <n v="12"/>
    <n v="25"/>
    <n v="39"/>
  </r>
  <r>
    <x v="8"/>
    <x v="4"/>
    <n v="7"/>
    <n v="1"/>
    <m/>
    <n v="8"/>
  </r>
  <r>
    <x v="8"/>
    <x v="5"/>
    <n v="1"/>
    <n v="1"/>
    <m/>
    <n v="2"/>
  </r>
  <r>
    <x v="8"/>
    <x v="6"/>
    <n v="1"/>
    <n v="15"/>
    <n v="1"/>
    <n v="17"/>
  </r>
  <r>
    <x v="8"/>
    <x v="7"/>
    <n v="4"/>
    <m/>
    <m/>
    <n v="4"/>
  </r>
  <r>
    <x v="8"/>
    <x v="8"/>
    <n v="1"/>
    <n v="7"/>
    <m/>
    <n v="8"/>
  </r>
  <r>
    <x v="8"/>
    <x v="9"/>
    <n v="3"/>
    <m/>
    <m/>
    <n v="3"/>
  </r>
  <r>
    <x v="8"/>
    <x v="10"/>
    <n v="1"/>
    <n v="5"/>
    <m/>
    <n v="6"/>
  </r>
  <r>
    <x v="8"/>
    <x v="11"/>
    <n v="2"/>
    <m/>
    <m/>
    <n v="2"/>
  </r>
  <r>
    <x v="8"/>
    <x v="12"/>
    <n v="3"/>
    <n v="2"/>
    <m/>
    <n v="5"/>
  </r>
  <r>
    <x v="8"/>
    <x v="13"/>
    <n v="5"/>
    <n v="8"/>
    <m/>
    <n v="13"/>
  </r>
  <r>
    <x v="8"/>
    <x v="14"/>
    <n v="11"/>
    <m/>
    <m/>
    <n v="11"/>
  </r>
  <r>
    <x v="8"/>
    <x v="15"/>
    <n v="1"/>
    <n v="51"/>
    <n v="9"/>
    <n v="61"/>
  </r>
  <r>
    <x v="8"/>
    <x v="16"/>
    <n v="2"/>
    <n v="1"/>
    <m/>
    <n v="3"/>
  </r>
  <r>
    <x v="8"/>
    <x v="17"/>
    <n v="1"/>
    <n v="1"/>
    <m/>
    <n v="2"/>
  </r>
  <r>
    <x v="8"/>
    <x v="18"/>
    <n v="1"/>
    <n v="10"/>
    <n v="1"/>
    <n v="12"/>
  </r>
  <r>
    <x v="8"/>
    <x v="19"/>
    <m/>
    <n v="14"/>
    <m/>
    <n v="14"/>
  </r>
  <r>
    <x v="8"/>
    <x v="20"/>
    <n v="3"/>
    <n v="8"/>
    <n v="3"/>
    <n v="14"/>
  </r>
  <r>
    <x v="8"/>
    <x v="21"/>
    <n v="4"/>
    <n v="3"/>
    <m/>
    <n v="7"/>
  </r>
  <r>
    <x v="8"/>
    <x v="22"/>
    <m/>
    <n v="12"/>
    <m/>
    <n v="12"/>
  </r>
  <r>
    <x v="8"/>
    <x v="23"/>
    <n v="1"/>
    <n v="10"/>
    <n v="3"/>
    <n v="14"/>
  </r>
  <r>
    <x v="8"/>
    <x v="24"/>
    <n v="3"/>
    <m/>
    <m/>
    <n v="3"/>
  </r>
  <r>
    <x v="8"/>
    <x v="25"/>
    <n v="2"/>
    <n v="11"/>
    <m/>
    <n v="13"/>
  </r>
  <r>
    <x v="8"/>
    <x v="26"/>
    <m/>
    <n v="14"/>
    <m/>
    <n v="14"/>
  </r>
  <r>
    <x v="8"/>
    <x v="27"/>
    <n v="1"/>
    <n v="4"/>
    <m/>
    <n v="5"/>
  </r>
  <r>
    <x v="8"/>
    <x v="28"/>
    <n v="4"/>
    <n v="7"/>
    <n v="1"/>
    <n v="12"/>
  </r>
  <r>
    <x v="8"/>
    <x v="29"/>
    <n v="1"/>
    <n v="9"/>
    <m/>
    <n v="10"/>
  </r>
  <r>
    <x v="8"/>
    <x v="30"/>
    <n v="2"/>
    <n v="1"/>
    <m/>
    <n v="3"/>
  </r>
  <r>
    <x v="8"/>
    <x v="31"/>
    <n v="2"/>
    <n v="4"/>
    <m/>
    <n v="6"/>
  </r>
  <r>
    <x v="9"/>
    <x v="0"/>
    <n v="3"/>
    <n v="1"/>
    <m/>
    <n v="4"/>
  </r>
  <r>
    <x v="9"/>
    <x v="1"/>
    <n v="1"/>
    <n v="23"/>
    <m/>
    <n v="24"/>
  </r>
  <r>
    <x v="9"/>
    <x v="2"/>
    <n v="1"/>
    <n v="5"/>
    <m/>
    <n v="6"/>
  </r>
  <r>
    <x v="9"/>
    <x v="3"/>
    <n v="2"/>
    <n v="12"/>
    <n v="25"/>
    <n v="39"/>
  </r>
  <r>
    <x v="9"/>
    <x v="4"/>
    <n v="7"/>
    <n v="1"/>
    <m/>
    <n v="8"/>
  </r>
  <r>
    <x v="9"/>
    <x v="5"/>
    <n v="1"/>
    <n v="1"/>
    <m/>
    <n v="2"/>
  </r>
  <r>
    <x v="9"/>
    <x v="6"/>
    <n v="1"/>
    <n v="15"/>
    <n v="1"/>
    <n v="17"/>
  </r>
  <r>
    <x v="9"/>
    <x v="7"/>
    <n v="4"/>
    <m/>
    <m/>
    <n v="4"/>
  </r>
  <r>
    <x v="9"/>
    <x v="8"/>
    <n v="1"/>
    <n v="7"/>
    <m/>
    <n v="8"/>
  </r>
  <r>
    <x v="9"/>
    <x v="9"/>
    <n v="3"/>
    <m/>
    <m/>
    <n v="3"/>
  </r>
  <r>
    <x v="9"/>
    <x v="10"/>
    <n v="1"/>
    <n v="5"/>
    <m/>
    <n v="6"/>
  </r>
  <r>
    <x v="9"/>
    <x v="11"/>
    <n v="2"/>
    <m/>
    <m/>
    <n v="2"/>
  </r>
  <r>
    <x v="9"/>
    <x v="12"/>
    <n v="3"/>
    <n v="2"/>
    <m/>
    <n v="5"/>
  </r>
  <r>
    <x v="9"/>
    <x v="13"/>
    <n v="5"/>
    <n v="8"/>
    <m/>
    <n v="13"/>
  </r>
  <r>
    <x v="9"/>
    <x v="14"/>
    <n v="11"/>
    <m/>
    <m/>
    <n v="11"/>
  </r>
  <r>
    <x v="9"/>
    <x v="15"/>
    <n v="1"/>
    <n v="51"/>
    <n v="9"/>
    <n v="61"/>
  </r>
  <r>
    <x v="9"/>
    <x v="16"/>
    <n v="2"/>
    <n v="1"/>
    <m/>
    <n v="3"/>
  </r>
  <r>
    <x v="9"/>
    <x v="17"/>
    <n v="1"/>
    <n v="1"/>
    <m/>
    <n v="2"/>
  </r>
  <r>
    <x v="9"/>
    <x v="18"/>
    <n v="1"/>
    <n v="10"/>
    <n v="1"/>
    <n v="12"/>
  </r>
  <r>
    <x v="9"/>
    <x v="19"/>
    <m/>
    <n v="14"/>
    <m/>
    <n v="14"/>
  </r>
  <r>
    <x v="9"/>
    <x v="20"/>
    <n v="3"/>
    <n v="8"/>
    <n v="3"/>
    <n v="14"/>
  </r>
  <r>
    <x v="9"/>
    <x v="21"/>
    <n v="4"/>
    <n v="3"/>
    <m/>
    <n v="7"/>
  </r>
  <r>
    <x v="9"/>
    <x v="22"/>
    <m/>
    <n v="12"/>
    <m/>
    <n v="12"/>
  </r>
  <r>
    <x v="9"/>
    <x v="23"/>
    <n v="1"/>
    <n v="10"/>
    <n v="3"/>
    <n v="14"/>
  </r>
  <r>
    <x v="9"/>
    <x v="24"/>
    <n v="3"/>
    <m/>
    <m/>
    <n v="3"/>
  </r>
  <r>
    <x v="9"/>
    <x v="25"/>
    <n v="2"/>
    <n v="11"/>
    <m/>
    <n v="13"/>
  </r>
  <r>
    <x v="9"/>
    <x v="26"/>
    <m/>
    <n v="14"/>
    <m/>
    <n v="14"/>
  </r>
  <r>
    <x v="9"/>
    <x v="27"/>
    <n v="1"/>
    <n v="4"/>
    <m/>
    <n v="5"/>
  </r>
  <r>
    <x v="9"/>
    <x v="28"/>
    <n v="4"/>
    <n v="7"/>
    <m/>
    <n v="12"/>
  </r>
  <r>
    <x v="9"/>
    <x v="29"/>
    <n v="1"/>
    <n v="9"/>
    <m/>
    <n v="10"/>
  </r>
  <r>
    <x v="9"/>
    <x v="30"/>
    <n v="2"/>
    <n v="1"/>
    <m/>
    <n v="3"/>
  </r>
  <r>
    <x v="9"/>
    <x v="31"/>
    <n v="2"/>
    <n v="4"/>
    <m/>
    <n v="6"/>
  </r>
</pivotCacheRecords>
</file>

<file path=xl/pivotCache/pivotCacheRecords6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
  <r>
    <x v="0"/>
    <x v="0"/>
    <n v="56"/>
    <m/>
    <m/>
    <n v="223"/>
    <n v="237"/>
    <m/>
  </r>
  <r>
    <x v="1"/>
    <x v="1"/>
    <n v="387"/>
    <n v="0"/>
    <n v="18"/>
    <n v="0"/>
    <n v="0"/>
    <n v="0"/>
  </r>
  <r>
    <x v="1"/>
    <x v="2"/>
    <n v="146"/>
    <n v="0"/>
    <n v="0"/>
    <n v="0"/>
    <n v="0"/>
    <n v="0"/>
  </r>
  <r>
    <x v="2"/>
    <x v="0"/>
    <n v="88"/>
    <n v="0"/>
    <n v="0"/>
    <n v="174"/>
    <n v="920"/>
    <n v="0"/>
  </r>
  <r>
    <x v="3"/>
    <x v="0"/>
    <n v="50"/>
    <m/>
    <m/>
    <n v="230"/>
    <n v="238"/>
    <m/>
  </r>
  <r>
    <x v="4"/>
    <x v="0"/>
    <n v="182"/>
    <m/>
    <m/>
    <n v="165"/>
    <n v="267"/>
    <m/>
  </r>
  <r>
    <x v="5"/>
    <x v="1"/>
    <n v="379"/>
    <m/>
    <m/>
    <m/>
    <m/>
    <m/>
  </r>
  <r>
    <x v="6"/>
    <x v="1"/>
    <n v="327"/>
    <n v="0"/>
    <n v="55"/>
    <n v="0"/>
    <n v="0"/>
    <n v="0"/>
  </r>
  <r>
    <x v="6"/>
    <x v="0"/>
    <n v="84"/>
    <n v="0"/>
    <n v="0"/>
    <n v="171"/>
    <n v="887"/>
    <n v="0"/>
  </r>
  <r>
    <x v="0"/>
    <x v="2"/>
    <n v="268"/>
    <m/>
    <m/>
    <m/>
    <n v="724"/>
    <m/>
  </r>
  <r>
    <x v="3"/>
    <x v="3"/>
    <n v="3285"/>
    <n v="2950"/>
    <m/>
    <m/>
    <m/>
    <n v="378"/>
  </r>
  <r>
    <x v="1"/>
    <x v="3"/>
    <n v="2955"/>
    <n v="2935"/>
    <n v="0"/>
    <n v="0"/>
    <n v="0"/>
    <n v="321"/>
  </r>
  <r>
    <x v="7"/>
    <x v="3"/>
    <n v="2966"/>
    <n v="2937"/>
    <n v="0"/>
    <n v="0"/>
    <n v="0"/>
    <n v="315"/>
  </r>
  <r>
    <x v="7"/>
    <x v="1"/>
    <n v="383"/>
    <n v="0"/>
    <n v="36"/>
    <n v="0"/>
    <n v="0"/>
    <n v="0"/>
  </r>
  <r>
    <x v="8"/>
    <x v="1"/>
    <n v="328"/>
    <n v="0"/>
    <n v="55"/>
    <n v="0"/>
    <n v="0"/>
    <n v="0"/>
  </r>
  <r>
    <x v="6"/>
    <x v="3"/>
    <n v="2870"/>
    <n v="2708"/>
    <n v="0"/>
    <n v="0"/>
    <n v="0"/>
    <n v="269"/>
  </r>
  <r>
    <x v="9"/>
    <x v="1"/>
    <n v="376"/>
    <n v="0"/>
    <n v="54"/>
    <n v="0"/>
    <n v="0"/>
    <n v="0"/>
  </r>
  <r>
    <x v="2"/>
    <x v="1"/>
    <n v="378"/>
    <n v="0"/>
    <n v="53"/>
    <n v="0"/>
    <n v="0"/>
    <n v="0"/>
  </r>
  <r>
    <x v="8"/>
    <x v="2"/>
    <n v="256"/>
    <n v="0"/>
    <n v="0"/>
    <n v="0"/>
    <n v="0"/>
    <n v="0"/>
  </r>
  <r>
    <x v="0"/>
    <x v="1"/>
    <n v="285"/>
    <m/>
    <m/>
    <m/>
    <m/>
    <m/>
  </r>
  <r>
    <x v="5"/>
    <x v="3"/>
    <n v="2868"/>
    <n v="2863"/>
    <m/>
    <m/>
    <m/>
    <n v="336"/>
  </r>
  <r>
    <x v="1"/>
    <x v="0"/>
    <n v="149"/>
    <n v="0"/>
    <n v="0"/>
    <n v="207"/>
    <n v="792"/>
    <n v="0"/>
  </r>
  <r>
    <x v="9"/>
    <x v="3"/>
    <n v="2903"/>
    <n v="2872"/>
    <n v="0"/>
    <n v="0"/>
    <n v="0"/>
    <n v="303"/>
  </r>
  <r>
    <x v="8"/>
    <x v="0"/>
    <n v="69"/>
    <n v="0"/>
    <n v="0"/>
    <n v="172"/>
    <n v="901"/>
    <n v="0"/>
  </r>
  <r>
    <x v="10"/>
    <x v="1"/>
    <n v="385"/>
    <m/>
    <m/>
    <m/>
    <m/>
    <m/>
  </r>
  <r>
    <x v="10"/>
    <x v="0"/>
    <n v="195"/>
    <m/>
    <m/>
    <n v="203"/>
    <n v="297"/>
    <m/>
  </r>
  <r>
    <x v="4"/>
    <x v="3"/>
    <n v="2923"/>
    <n v="2870"/>
    <m/>
    <m/>
    <m/>
    <n v="320"/>
  </r>
  <r>
    <x v="5"/>
    <x v="2"/>
    <n v="156"/>
    <m/>
    <m/>
    <m/>
    <n v="569"/>
    <m/>
  </r>
  <r>
    <x v="5"/>
    <x v="0"/>
    <n v="143"/>
    <m/>
    <m/>
    <n v="189"/>
    <n v="277"/>
    <m/>
  </r>
  <r>
    <x v="0"/>
    <x v="3"/>
    <n v="3392"/>
    <n v="2940"/>
    <m/>
    <m/>
    <m/>
    <n v="359"/>
  </r>
  <r>
    <x v="3"/>
    <x v="2"/>
    <n v="251"/>
    <m/>
    <m/>
    <m/>
    <n v="629"/>
    <m/>
  </r>
  <r>
    <x v="7"/>
    <x v="2"/>
    <n v="197"/>
    <n v="0"/>
    <n v="0"/>
    <n v="0"/>
    <n v="0"/>
    <n v="0"/>
  </r>
  <r>
    <x v="9"/>
    <x v="2"/>
    <n v="212"/>
    <n v="0"/>
    <n v="0"/>
    <n v="0"/>
    <n v="0"/>
    <n v="0"/>
  </r>
  <r>
    <x v="9"/>
    <x v="0"/>
    <n v="90"/>
    <n v="0"/>
    <n v="0"/>
    <n v="182"/>
    <n v="835"/>
    <n v="0"/>
  </r>
  <r>
    <x v="8"/>
    <x v="3"/>
    <n v="2837"/>
    <n v="2735"/>
    <n v="0"/>
    <n v="0"/>
    <n v="0"/>
    <n v="266"/>
  </r>
  <r>
    <x v="6"/>
    <x v="2"/>
    <n v="141"/>
    <n v="0"/>
    <n v="0"/>
    <n v="0"/>
    <n v="0"/>
    <n v="0"/>
  </r>
  <r>
    <x v="3"/>
    <x v="1"/>
    <n v="270"/>
    <m/>
    <m/>
    <m/>
    <m/>
    <m/>
  </r>
  <r>
    <x v="10"/>
    <x v="3"/>
    <n v="3025"/>
    <n v="2870"/>
    <m/>
    <m/>
    <m/>
    <n v="342"/>
  </r>
  <r>
    <x v="10"/>
    <x v="2"/>
    <n v="85"/>
    <m/>
    <m/>
    <m/>
    <n v="531"/>
    <m/>
  </r>
  <r>
    <x v="4"/>
    <x v="1"/>
    <n v="389"/>
    <m/>
    <m/>
    <m/>
    <m/>
    <m/>
  </r>
  <r>
    <x v="4"/>
    <x v="2"/>
    <n v="151"/>
    <m/>
    <m/>
    <m/>
    <n v="571"/>
    <m/>
  </r>
  <r>
    <x v="7"/>
    <x v="0"/>
    <n v="90"/>
    <n v="0"/>
    <n v="0"/>
    <n v="188"/>
    <n v="817"/>
    <n v="0"/>
  </r>
  <r>
    <x v="2"/>
    <x v="3"/>
    <n v="2843"/>
    <n v="2758"/>
    <n v="0"/>
    <n v="0"/>
    <n v="0"/>
    <n v="277"/>
  </r>
  <r>
    <x v="2"/>
    <x v="2"/>
    <n v="221"/>
    <n v="0"/>
    <n v="0"/>
    <n v="0"/>
    <n v="0"/>
    <n v="0"/>
  </r>
</pivotCacheRecords>
</file>

<file path=xl/pivotCache/pivotCacheRecords6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
  <r>
    <x v="0"/>
    <x v="0"/>
    <n v="2870"/>
    <m/>
    <m/>
    <m/>
    <m/>
    <n v="262"/>
    <n v="543"/>
    <n v="2065"/>
  </r>
  <r>
    <x v="1"/>
    <x v="1"/>
    <n v="36"/>
    <m/>
    <m/>
    <m/>
    <m/>
    <n v="36"/>
    <m/>
    <m/>
  </r>
  <r>
    <x v="2"/>
    <x v="1"/>
    <n v="55"/>
    <m/>
    <m/>
    <m/>
    <m/>
    <n v="54"/>
    <n v="1"/>
    <m/>
  </r>
  <r>
    <x v="0"/>
    <x v="2"/>
    <n v="342"/>
    <m/>
    <m/>
    <m/>
    <m/>
    <n v="36"/>
    <n v="46"/>
    <n v="260"/>
  </r>
  <r>
    <x v="0"/>
    <x v="3"/>
    <n v="3690"/>
    <n v="4"/>
    <n v="35"/>
    <n v="90"/>
    <n v="126"/>
    <n v="577"/>
    <n v="600"/>
    <n v="2258"/>
  </r>
  <r>
    <x v="3"/>
    <x v="0"/>
    <n v="2872"/>
    <m/>
    <m/>
    <m/>
    <m/>
    <n v="267"/>
    <n v="522"/>
    <n v="2083"/>
  </r>
  <r>
    <x v="0"/>
    <x v="4"/>
    <n v="203"/>
    <m/>
    <m/>
    <n v="6"/>
    <n v="7"/>
    <n v="51"/>
    <n v="44"/>
    <n v="95"/>
  </r>
  <r>
    <x v="4"/>
    <x v="4"/>
    <n v="165"/>
    <m/>
    <m/>
    <n v="5"/>
    <n v="8"/>
    <n v="41"/>
    <n v="31"/>
    <n v="80"/>
  </r>
  <r>
    <x v="4"/>
    <x v="2"/>
    <n v="320"/>
    <m/>
    <m/>
    <m/>
    <m/>
    <n v="36"/>
    <n v="43"/>
    <n v="241"/>
  </r>
  <r>
    <x v="3"/>
    <x v="1"/>
    <n v="54"/>
    <m/>
    <m/>
    <m/>
    <m/>
    <n v="54"/>
    <m/>
    <m/>
  </r>
  <r>
    <x v="5"/>
    <x v="0"/>
    <n v="2708"/>
    <m/>
    <m/>
    <m/>
    <m/>
    <n v="251"/>
    <n v="525"/>
    <n v="1932"/>
  </r>
  <r>
    <x v="5"/>
    <x v="5"/>
    <n v="0"/>
    <m/>
    <m/>
    <m/>
    <m/>
    <m/>
    <m/>
    <m/>
  </r>
  <r>
    <x v="6"/>
    <x v="0"/>
    <n v="2940"/>
    <m/>
    <m/>
    <m/>
    <m/>
    <n v="278"/>
    <n v="535"/>
    <n v="2127"/>
  </r>
  <r>
    <x v="7"/>
    <x v="4"/>
    <n v="230"/>
    <m/>
    <m/>
    <n v="5"/>
    <n v="13"/>
    <n v="50"/>
    <n v="52"/>
    <n v="110"/>
  </r>
  <r>
    <x v="8"/>
    <x v="0"/>
    <n v="2863"/>
    <m/>
    <m/>
    <m/>
    <m/>
    <n v="261"/>
    <n v="525"/>
    <n v="2077"/>
  </r>
  <r>
    <x v="1"/>
    <x v="5"/>
    <n v="0"/>
    <m/>
    <m/>
    <m/>
    <m/>
    <m/>
    <m/>
    <m/>
  </r>
  <r>
    <x v="3"/>
    <x v="2"/>
    <n v="303"/>
    <m/>
    <m/>
    <m/>
    <m/>
    <n v="37"/>
    <n v="43"/>
    <n v="223"/>
  </r>
  <r>
    <x v="9"/>
    <x v="4"/>
    <n v="174"/>
    <m/>
    <n v="1"/>
    <n v="4"/>
    <n v="10"/>
    <n v="42"/>
    <n v="27"/>
    <n v="90"/>
  </r>
  <r>
    <x v="5"/>
    <x v="4"/>
    <n v="171"/>
    <m/>
    <n v="1"/>
    <n v="4"/>
    <n v="9"/>
    <n v="40"/>
    <n v="26"/>
    <n v="91"/>
  </r>
  <r>
    <x v="5"/>
    <x v="2"/>
    <n v="269"/>
    <m/>
    <m/>
    <m/>
    <m/>
    <n v="35"/>
    <n v="41"/>
    <n v="193"/>
  </r>
  <r>
    <x v="7"/>
    <x v="2"/>
    <n v="378"/>
    <m/>
    <m/>
    <m/>
    <m/>
    <n v="38"/>
    <n v="44"/>
    <n v="296"/>
  </r>
  <r>
    <x v="7"/>
    <x v="3"/>
    <n v="3856"/>
    <n v="7"/>
    <n v="33"/>
    <n v="103"/>
    <n v="130"/>
    <n v="664"/>
    <n v="634"/>
    <n v="2285"/>
  </r>
  <r>
    <x v="4"/>
    <x v="0"/>
    <n v="2870"/>
    <m/>
    <m/>
    <m/>
    <m/>
    <n v="260"/>
    <n v="549"/>
    <n v="2061"/>
  </r>
  <r>
    <x v="3"/>
    <x v="3"/>
    <n v="3581"/>
    <n v="5"/>
    <n v="35"/>
    <n v="79"/>
    <n v="152"/>
    <n v="603"/>
    <n v="687"/>
    <n v="2020"/>
  </r>
  <r>
    <x v="9"/>
    <x v="1"/>
    <n v="53"/>
    <m/>
    <m/>
    <m/>
    <m/>
    <n v="53"/>
    <m/>
    <m/>
  </r>
  <r>
    <x v="9"/>
    <x v="3"/>
    <n v="3530"/>
    <n v="5"/>
    <n v="35"/>
    <n v="76"/>
    <n v="157"/>
    <n v="607"/>
    <n v="660"/>
    <n v="1990"/>
  </r>
  <r>
    <x v="5"/>
    <x v="1"/>
    <n v="55"/>
    <m/>
    <m/>
    <m/>
    <m/>
    <n v="53"/>
    <n v="2"/>
    <m/>
  </r>
  <r>
    <x v="5"/>
    <x v="3"/>
    <n v="3422"/>
    <n v="5"/>
    <n v="31"/>
    <n v="71"/>
    <n v="156"/>
    <n v="607"/>
    <n v="640"/>
    <n v="1912"/>
  </r>
  <r>
    <x v="7"/>
    <x v="0"/>
    <n v="2950"/>
    <m/>
    <m/>
    <m/>
    <m/>
    <n v="280"/>
    <n v="546"/>
    <n v="2124"/>
  </r>
  <r>
    <x v="4"/>
    <x v="3"/>
    <n v="3645"/>
    <n v="4"/>
    <n v="34"/>
    <n v="70"/>
    <n v="151"/>
    <n v="590"/>
    <n v="635"/>
    <n v="2161"/>
  </r>
  <r>
    <x v="8"/>
    <x v="4"/>
    <n v="189"/>
    <m/>
    <m/>
    <n v="5"/>
    <n v="8"/>
    <n v="43"/>
    <n v="27"/>
    <n v="106"/>
  </r>
  <r>
    <x v="8"/>
    <x v="3"/>
    <n v="3546"/>
    <n v="4"/>
    <n v="34"/>
    <n v="74"/>
    <n v="153"/>
    <n v="603"/>
    <n v="689"/>
    <n v="1989"/>
  </r>
  <r>
    <x v="10"/>
    <x v="2"/>
    <n v="321"/>
    <m/>
    <m/>
    <m/>
    <m/>
    <n v="38"/>
    <n v="42"/>
    <n v="241"/>
  </r>
  <r>
    <x v="1"/>
    <x v="0"/>
    <n v="2937"/>
    <m/>
    <m/>
    <m/>
    <m/>
    <n v="262"/>
    <n v="520"/>
    <n v="2155"/>
  </r>
  <r>
    <x v="2"/>
    <x v="4"/>
    <n v="172"/>
    <m/>
    <n v="1"/>
    <n v="4"/>
    <n v="10"/>
    <n v="37"/>
    <n v="29"/>
    <n v="91"/>
  </r>
  <r>
    <x v="2"/>
    <x v="0"/>
    <n v="2735"/>
    <m/>
    <m/>
    <m/>
    <m/>
    <n v="262"/>
    <n v="521"/>
    <n v="1952"/>
  </r>
  <r>
    <x v="2"/>
    <x v="5"/>
    <n v="0"/>
    <m/>
    <m/>
    <m/>
    <m/>
    <m/>
    <m/>
    <m/>
  </r>
  <r>
    <x v="2"/>
    <x v="3"/>
    <n v="3490"/>
    <n v="5"/>
    <n v="31"/>
    <n v="78"/>
    <n v="148"/>
    <n v="601"/>
    <n v="655"/>
    <n v="1972"/>
  </r>
  <r>
    <x v="10"/>
    <x v="1"/>
    <n v="18"/>
    <m/>
    <m/>
    <m/>
    <m/>
    <m/>
    <m/>
    <m/>
  </r>
  <r>
    <x v="10"/>
    <x v="3"/>
    <n v="3637"/>
    <n v="4"/>
    <n v="33"/>
    <n v="80"/>
    <n v="147"/>
    <n v="611"/>
    <n v="687"/>
    <n v="2075"/>
  </r>
  <r>
    <x v="3"/>
    <x v="5"/>
    <n v="0"/>
    <m/>
    <m/>
    <m/>
    <m/>
    <m/>
    <m/>
    <m/>
  </r>
  <r>
    <x v="9"/>
    <x v="0"/>
    <n v="2758"/>
    <m/>
    <m/>
    <m/>
    <m/>
    <n v="265"/>
    <n v="526"/>
    <n v="1967"/>
  </r>
  <r>
    <x v="2"/>
    <x v="2"/>
    <n v="266"/>
    <m/>
    <m/>
    <m/>
    <m/>
    <n v="37"/>
    <n v="40"/>
    <n v="189"/>
  </r>
  <r>
    <x v="6"/>
    <x v="4"/>
    <n v="223"/>
    <m/>
    <m/>
    <n v="5"/>
    <n v="11"/>
    <n v="52"/>
    <n v="52"/>
    <n v="103"/>
  </r>
  <r>
    <x v="6"/>
    <x v="2"/>
    <n v="359"/>
    <m/>
    <m/>
    <m/>
    <m/>
    <n v="9"/>
    <n v="73"/>
    <n v="277"/>
  </r>
  <r>
    <x v="6"/>
    <x v="3"/>
    <n v="4001"/>
    <n v="9"/>
    <n v="28"/>
    <n v="115"/>
    <n v="136"/>
    <n v="679"/>
    <n v="660"/>
    <n v="2374"/>
  </r>
  <r>
    <x v="8"/>
    <x v="2"/>
    <n v="332"/>
    <m/>
    <m/>
    <m/>
    <m/>
    <n v="37"/>
    <n v="39"/>
    <n v="256"/>
  </r>
  <r>
    <x v="10"/>
    <x v="4"/>
    <n v="207"/>
    <m/>
    <n v="1"/>
    <n v="4"/>
    <n v="9"/>
    <n v="42"/>
    <n v="27"/>
    <n v="124"/>
  </r>
  <r>
    <x v="10"/>
    <x v="0"/>
    <n v="2935"/>
    <m/>
    <m/>
    <m/>
    <m/>
    <n v="261"/>
    <n v="533"/>
    <n v="2141"/>
  </r>
  <r>
    <x v="10"/>
    <x v="5"/>
    <n v="0"/>
    <m/>
    <m/>
    <m/>
    <m/>
    <m/>
    <m/>
    <m/>
  </r>
  <r>
    <x v="1"/>
    <x v="4"/>
    <n v="188"/>
    <m/>
    <n v="1"/>
    <n v="4"/>
    <n v="8"/>
    <n v="45"/>
    <n v="26"/>
    <n v="104"/>
  </r>
  <r>
    <x v="1"/>
    <x v="2"/>
    <n v="315"/>
    <m/>
    <m/>
    <m/>
    <m/>
    <n v="37"/>
    <n v="41"/>
    <n v="237"/>
  </r>
  <r>
    <x v="1"/>
    <x v="3"/>
    <n v="3636"/>
    <n v="6"/>
    <n v="31"/>
    <n v="80"/>
    <n v="153"/>
    <n v="608"/>
    <n v="688"/>
    <n v="2070"/>
  </r>
  <r>
    <x v="3"/>
    <x v="4"/>
    <n v="182"/>
    <m/>
    <n v="1"/>
    <n v="4"/>
    <n v="10"/>
    <n v="41"/>
    <n v="31"/>
    <n v="95"/>
  </r>
  <r>
    <x v="9"/>
    <x v="5"/>
    <n v="0"/>
    <m/>
    <m/>
    <m/>
    <m/>
    <m/>
    <m/>
    <m/>
  </r>
  <r>
    <x v="9"/>
    <x v="2"/>
    <n v="277"/>
    <m/>
    <m/>
    <m/>
    <m/>
    <n v="36"/>
    <n v="40"/>
    <n v="201"/>
  </r>
</pivotCacheRecords>
</file>

<file path=xl/pivotCache/pivotCacheRecords6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9">
  <r>
    <x v="0"/>
    <x v="0"/>
    <s v="S12000033"/>
    <n v="356"/>
    <n v="1936.75"/>
    <n v="13"/>
    <n v="138.5"/>
    <n v="2"/>
    <n v="19.25"/>
    <m/>
    <m/>
  </r>
  <r>
    <x v="0"/>
    <x v="1"/>
    <s v="S12000034"/>
    <n v="252"/>
    <n v="1725.5"/>
    <n v="15"/>
    <n v="162"/>
    <n v="1"/>
    <n v="38"/>
    <n v="1"/>
    <n v="7.5"/>
  </r>
  <r>
    <x v="0"/>
    <x v="2"/>
    <s v="S12000041"/>
    <n v="202"/>
    <n v="853.5"/>
    <n v="4"/>
    <n v="21.75"/>
    <m/>
    <m/>
    <m/>
    <m/>
  </r>
  <r>
    <x v="0"/>
    <x v="3"/>
    <s v="S12000035"/>
    <n v="250"/>
    <n v="1985.5"/>
    <n v="3"/>
    <n v="38.5"/>
    <m/>
    <m/>
    <m/>
    <m/>
  </r>
  <r>
    <x v="0"/>
    <x v="4"/>
    <s v="S12000036"/>
    <n v="903"/>
    <n v="3293.5"/>
    <n v="53"/>
    <n v="292"/>
    <n v="1"/>
    <n v="5.5"/>
    <m/>
    <m/>
  </r>
  <r>
    <x v="0"/>
    <x v="5"/>
    <s v="S12000005"/>
    <n v="42"/>
    <n v="247.25"/>
    <n v="2"/>
    <n v="16"/>
    <m/>
    <m/>
    <m/>
    <m/>
  </r>
  <r>
    <x v="0"/>
    <x v="6"/>
    <s v="S12000006"/>
    <n v="177"/>
    <n v="785.25"/>
    <n v="36"/>
    <n v="306.5"/>
    <m/>
    <m/>
    <n v="1"/>
    <n v="12.5"/>
  </r>
  <r>
    <x v="0"/>
    <x v="7"/>
    <s v="S12000042"/>
    <n v="456"/>
    <n v="1804.75"/>
    <n v="4"/>
    <n v="13.5"/>
    <m/>
    <m/>
    <m/>
    <m/>
  </r>
  <r>
    <x v="0"/>
    <x v="8"/>
    <s v="S12000008"/>
    <n v="142"/>
    <n v="914.75"/>
    <n v="11"/>
    <n v="90.75"/>
    <m/>
    <m/>
    <m/>
    <m/>
  </r>
  <r>
    <x v="0"/>
    <x v="9"/>
    <s v="S12000045"/>
    <n v="53"/>
    <n v="362.75"/>
    <n v="1"/>
    <n v="7.5"/>
    <m/>
    <m/>
    <m/>
    <m/>
  </r>
  <r>
    <x v="0"/>
    <x v="10"/>
    <s v="S12000010"/>
    <n v="96"/>
    <n v="335.5"/>
    <n v="6"/>
    <n v="37.5"/>
    <m/>
    <m/>
    <m/>
    <m/>
  </r>
  <r>
    <x v="0"/>
    <x v="11"/>
    <s v="S12000011"/>
    <n v="111"/>
    <n v="761.5"/>
    <n v="8"/>
    <n v="133"/>
    <m/>
    <m/>
    <m/>
    <m/>
  </r>
  <r>
    <x v="0"/>
    <x v="12"/>
    <s v="S12000014"/>
    <n v="232"/>
    <n v="1156"/>
    <n v="11"/>
    <n v="105.25"/>
    <m/>
    <m/>
    <m/>
    <m/>
  </r>
  <r>
    <x v="0"/>
    <x v="13"/>
    <s v="S12000015"/>
    <n v="483"/>
    <n v="1857.5"/>
    <n v="15"/>
    <n v="104.75"/>
    <m/>
    <m/>
    <m/>
    <m/>
  </r>
  <r>
    <x v="0"/>
    <x v="14"/>
    <s v="S12000046"/>
    <n v="1045"/>
    <n v="5340"/>
    <n v="77"/>
    <n v="444"/>
    <m/>
    <m/>
    <n v="1"/>
    <n v="5.5"/>
  </r>
  <r>
    <x v="0"/>
    <x v="15"/>
    <s v="S12000017"/>
    <n v="259"/>
    <n v="1846.75"/>
    <n v="17"/>
    <n v="253.25"/>
    <n v="5"/>
    <n v="112.5"/>
    <m/>
    <m/>
  </r>
  <r>
    <x v="0"/>
    <x v="16"/>
    <s v="S12000018"/>
    <n v="142"/>
    <n v="600.5"/>
    <n v="5"/>
    <n v="37.75"/>
    <m/>
    <m/>
    <m/>
    <m/>
  </r>
  <r>
    <x v="0"/>
    <x v="17"/>
    <s v="S12000019"/>
    <n v="122"/>
    <n v="365.5"/>
    <n v="4"/>
    <n v="31.25"/>
    <m/>
    <m/>
    <m/>
    <m/>
  </r>
  <r>
    <x v="0"/>
    <x v="18"/>
    <s v="S12000020"/>
    <n v="110"/>
    <n v="771.25"/>
    <n v="4"/>
    <n v="72.5"/>
    <m/>
    <m/>
    <m/>
    <m/>
  </r>
  <r>
    <x v="0"/>
    <x v="19"/>
    <s v="S12000013"/>
    <n v="18"/>
    <n v="138.5"/>
    <n v="1"/>
    <n v="13.25"/>
    <m/>
    <m/>
    <m/>
    <m/>
  </r>
  <r>
    <x v="0"/>
    <x v="20"/>
    <s v="S12000021"/>
    <n v="105"/>
    <n v="505.5"/>
    <n v="4"/>
    <n v="31"/>
    <m/>
    <m/>
    <m/>
    <m/>
  </r>
  <r>
    <x v="0"/>
    <x v="21"/>
    <s v="S12000044"/>
    <n v="298"/>
    <n v="2166.75"/>
    <n v="3"/>
    <n v="23.75"/>
    <m/>
    <m/>
    <m/>
    <m/>
  </r>
  <r>
    <x v="0"/>
    <x v="22"/>
    <s v="S12000023"/>
    <n v="16"/>
    <n v="108.5"/>
    <m/>
    <m/>
    <m/>
    <m/>
    <m/>
    <m/>
  </r>
  <r>
    <x v="0"/>
    <x v="23"/>
    <s v="S12000024"/>
    <n v="246"/>
    <n v="1269.25"/>
    <n v="1"/>
    <n v="10.25"/>
    <m/>
    <m/>
    <m/>
    <m/>
  </r>
  <r>
    <x v="0"/>
    <x v="24"/>
    <s v="S12000038"/>
    <n v="212"/>
    <n v="1318.75"/>
    <n v="3"/>
    <n v="28.75"/>
    <m/>
    <m/>
    <m/>
    <m/>
  </r>
  <r>
    <x v="0"/>
    <x v="25"/>
    <s v="S12000026"/>
    <n v="332"/>
    <n v="1463"/>
    <n v="49"/>
    <n v="381.75"/>
    <n v="1"/>
    <n v="31"/>
    <m/>
    <m/>
  </r>
  <r>
    <x v="0"/>
    <x v="26"/>
    <s v="S12000027"/>
    <n v="32"/>
    <n v="199.75"/>
    <m/>
    <m/>
    <m/>
    <m/>
    <m/>
    <m/>
  </r>
  <r>
    <x v="0"/>
    <x v="27"/>
    <s v="S12000028"/>
    <n v="239"/>
    <n v="1368.5"/>
    <n v="8"/>
    <n v="65.5"/>
    <m/>
    <m/>
    <m/>
    <m/>
  </r>
  <r>
    <x v="0"/>
    <x v="28"/>
    <s v="S12000029"/>
    <n v="278"/>
    <n v="2462.25"/>
    <n v="8"/>
    <n v="133.5"/>
    <m/>
    <m/>
    <m/>
    <m/>
  </r>
  <r>
    <x v="0"/>
    <x v="29"/>
    <s v="S12000030"/>
    <n v="210"/>
    <n v="875.75"/>
    <n v="7"/>
    <n v="49.25"/>
    <m/>
    <m/>
    <m/>
    <m/>
  </r>
  <r>
    <x v="0"/>
    <x v="30"/>
    <s v="S12000039"/>
    <n v="176"/>
    <n v="797.25"/>
    <m/>
    <m/>
    <m/>
    <m/>
    <m/>
    <m/>
  </r>
  <r>
    <x v="0"/>
    <x v="31"/>
    <s v="S12000040"/>
    <n v="221"/>
    <n v="867.25"/>
    <n v="17"/>
    <n v="91.25"/>
    <m/>
    <m/>
    <m/>
    <m/>
  </r>
  <r>
    <x v="1"/>
    <x v="0"/>
    <s v="S12000033"/>
    <n v="282"/>
    <n v="1395"/>
    <n v="33"/>
    <n v="340.75"/>
    <m/>
    <m/>
    <n v="1"/>
    <n v="3.75"/>
  </r>
  <r>
    <x v="1"/>
    <x v="1"/>
    <s v="S12000034"/>
    <n v="334"/>
    <n v="2016.25"/>
    <n v="39"/>
    <n v="438"/>
    <n v="1"/>
    <n v="28.25"/>
    <m/>
    <m/>
  </r>
  <r>
    <x v="1"/>
    <x v="2"/>
    <s v="S12000041"/>
    <n v="167"/>
    <n v="768.25"/>
    <n v="7"/>
    <n v="62"/>
    <m/>
    <m/>
    <m/>
    <m/>
  </r>
  <r>
    <x v="1"/>
    <x v="3"/>
    <s v="S12000035"/>
    <n v="328"/>
    <n v="2625.5"/>
    <n v="13"/>
    <n v="134"/>
    <n v="3"/>
    <n v="51.25"/>
    <m/>
    <m/>
  </r>
  <r>
    <x v="1"/>
    <x v="4"/>
    <s v="S12000036"/>
    <n v="790"/>
    <n v="2779.75"/>
    <n v="67"/>
    <n v="415"/>
    <n v="1"/>
    <n v="32"/>
    <m/>
    <m/>
  </r>
  <r>
    <x v="1"/>
    <x v="5"/>
    <s v="S12000005"/>
    <n v="51"/>
    <n v="190"/>
    <m/>
    <m/>
    <m/>
    <m/>
    <m/>
    <m/>
  </r>
  <r>
    <x v="1"/>
    <x v="6"/>
    <s v="S12000006"/>
    <n v="236"/>
    <n v="943.25"/>
    <n v="60"/>
    <n v="445.25"/>
    <m/>
    <m/>
    <m/>
    <m/>
  </r>
  <r>
    <x v="1"/>
    <x v="7"/>
    <s v="S12000042"/>
    <n v="588"/>
    <n v="2433.5"/>
    <n v="10"/>
    <n v="76.25"/>
    <m/>
    <m/>
    <m/>
    <m/>
  </r>
  <r>
    <x v="1"/>
    <x v="8"/>
    <s v="S12000008"/>
    <n v="131"/>
    <n v="1016"/>
    <n v="12"/>
    <n v="128.75"/>
    <n v="1"/>
    <n v="28.5"/>
    <m/>
    <m/>
  </r>
  <r>
    <x v="1"/>
    <x v="9"/>
    <s v="S12000045"/>
    <n v="93"/>
    <n v="607.5"/>
    <n v="2"/>
    <n v="26.25"/>
    <m/>
    <m/>
    <m/>
    <m/>
  </r>
  <r>
    <x v="1"/>
    <x v="10"/>
    <s v="S12000010"/>
    <n v="143"/>
    <n v="628"/>
    <n v="13"/>
    <n v="106"/>
    <m/>
    <m/>
    <m/>
    <m/>
  </r>
  <r>
    <x v="1"/>
    <x v="11"/>
    <s v="S12000011"/>
    <n v="54"/>
    <n v="343.75"/>
    <n v="3"/>
    <n v="60"/>
    <m/>
    <m/>
    <m/>
    <m/>
  </r>
  <r>
    <x v="1"/>
    <x v="12"/>
    <s v="S12000014"/>
    <n v="151"/>
    <n v="754.5"/>
    <n v="9"/>
    <n v="57.25"/>
    <m/>
    <m/>
    <n v="1"/>
    <n v="11.5"/>
  </r>
  <r>
    <x v="1"/>
    <x v="13"/>
    <s v="S12000015"/>
    <n v="600"/>
    <n v="2456.75"/>
    <n v="18"/>
    <n v="153.75"/>
    <n v="1"/>
    <n v="24.75"/>
    <m/>
    <m/>
  </r>
  <r>
    <x v="1"/>
    <x v="14"/>
    <s v="S12000046"/>
    <n v="1812"/>
    <n v="7682.25"/>
    <n v="144"/>
    <n v="952.25"/>
    <n v="1"/>
    <n v="37.25"/>
    <m/>
    <m/>
  </r>
  <r>
    <x v="1"/>
    <x v="15"/>
    <s v="S12000017"/>
    <n v="287"/>
    <n v="1820.25"/>
    <n v="49"/>
    <n v="847.75"/>
    <n v="10"/>
    <n v="256.5"/>
    <m/>
    <m/>
  </r>
  <r>
    <x v="1"/>
    <x v="16"/>
    <s v="S12000018"/>
    <n v="62"/>
    <n v="263.75"/>
    <n v="1"/>
    <n v="17.25"/>
    <m/>
    <m/>
    <m/>
    <m/>
  </r>
  <r>
    <x v="1"/>
    <x v="17"/>
    <s v="S12000019"/>
    <n v="96"/>
    <n v="321.75"/>
    <n v="2"/>
    <n v="7.75"/>
    <m/>
    <m/>
    <m/>
    <m/>
  </r>
  <r>
    <x v="1"/>
    <x v="18"/>
    <s v="S12000020"/>
    <n v="175"/>
    <n v="986.75"/>
    <n v="18"/>
    <n v="256.25"/>
    <n v="2"/>
    <n v="23"/>
    <m/>
    <m/>
  </r>
  <r>
    <x v="1"/>
    <x v="19"/>
    <s v="S12000013"/>
    <n v="5"/>
    <n v="27.25"/>
    <n v="4"/>
    <n v="78.75"/>
    <m/>
    <m/>
    <m/>
    <m/>
  </r>
  <r>
    <x v="1"/>
    <x v="20"/>
    <s v="S12000021"/>
    <n v="226"/>
    <n v="1330.25"/>
    <n v="37"/>
    <n v="348.75"/>
    <m/>
    <m/>
    <m/>
    <m/>
  </r>
  <r>
    <x v="1"/>
    <x v="21"/>
    <s v="S12000044"/>
    <n v="539"/>
    <n v="3321.5"/>
    <n v="15"/>
    <n v="152.25"/>
    <m/>
    <m/>
    <m/>
    <m/>
  </r>
  <r>
    <x v="1"/>
    <x v="22"/>
    <s v="S12000023"/>
    <n v="31"/>
    <n v="146.75"/>
    <n v="1"/>
    <n v="13.25"/>
    <m/>
    <m/>
    <m/>
    <m/>
  </r>
  <r>
    <x v="1"/>
    <x v="23"/>
    <s v="S12000024"/>
    <n v="269"/>
    <n v="1484.5"/>
    <n v="1"/>
    <n v="12"/>
    <m/>
    <m/>
    <m/>
    <m/>
  </r>
  <r>
    <x v="1"/>
    <x v="24"/>
    <s v="S12000038"/>
    <n v="238"/>
    <n v="1268.75"/>
    <m/>
    <m/>
    <m/>
    <m/>
    <m/>
    <m/>
  </r>
  <r>
    <x v="1"/>
    <x v="25"/>
    <s v="S12000026"/>
    <n v="251"/>
    <n v="1101.75"/>
    <n v="39"/>
    <n v="303.5"/>
    <m/>
    <m/>
    <n v="1"/>
    <n v="5.5"/>
  </r>
  <r>
    <x v="1"/>
    <x v="26"/>
    <s v="S12000027"/>
    <n v="24"/>
    <n v="127.25"/>
    <m/>
    <m/>
    <m/>
    <m/>
    <m/>
    <m/>
  </r>
  <r>
    <x v="1"/>
    <x v="27"/>
    <s v="S12000028"/>
    <n v="274"/>
    <n v="1590.25"/>
    <n v="14"/>
    <n v="122.25"/>
    <n v="1"/>
    <n v="18.25"/>
    <m/>
    <m/>
  </r>
  <r>
    <x v="1"/>
    <x v="28"/>
    <s v="S12000029"/>
    <n v="243"/>
    <n v="1871.5"/>
    <n v="7"/>
    <n v="246.25"/>
    <n v="1"/>
    <n v="90.5"/>
    <m/>
    <m/>
  </r>
  <r>
    <x v="1"/>
    <x v="29"/>
    <s v="S12000030"/>
    <n v="332"/>
    <n v="1013.5"/>
    <n v="8"/>
    <n v="39"/>
    <n v="1"/>
    <n v="21.75"/>
    <n v="1"/>
    <n v="2.5"/>
  </r>
  <r>
    <x v="1"/>
    <x v="30"/>
    <s v="S12000039"/>
    <n v="212"/>
    <n v="933.75"/>
    <n v="8"/>
    <n v="99.75"/>
    <m/>
    <m/>
    <m/>
    <m/>
  </r>
  <r>
    <x v="1"/>
    <x v="31"/>
    <s v="S12000040"/>
    <n v="161"/>
    <n v="715.25"/>
    <n v="15"/>
    <n v="129.25"/>
    <m/>
    <m/>
    <m/>
    <m/>
  </r>
  <r>
    <x v="2"/>
    <x v="0"/>
    <s v="S12000033"/>
    <n v="415"/>
    <n v="2311"/>
    <n v="20"/>
    <n v="156.5"/>
    <n v="7"/>
    <n v="48"/>
    <m/>
    <m/>
  </r>
  <r>
    <x v="2"/>
    <x v="1"/>
    <s v="S12000034"/>
    <n v="336"/>
    <n v="2384"/>
    <n v="26"/>
    <n v="277.5"/>
    <n v="1"/>
    <n v="6.5"/>
    <m/>
    <m/>
  </r>
  <r>
    <x v="2"/>
    <x v="2"/>
    <s v="S12000041"/>
    <n v="97"/>
    <n v="396"/>
    <n v="2"/>
    <n v="19.75"/>
    <m/>
    <m/>
    <m/>
    <m/>
  </r>
  <r>
    <x v="2"/>
    <x v="3"/>
    <s v="S12000035"/>
    <n v="317"/>
    <n v="2229.75"/>
    <n v="14"/>
    <n v="172.25"/>
    <n v="2"/>
    <n v="56.5"/>
    <m/>
    <m/>
  </r>
  <r>
    <x v="2"/>
    <x v="4"/>
    <s v="S12000036"/>
    <n v="733"/>
    <n v="2765"/>
    <n v="50"/>
    <n v="314"/>
    <n v="3"/>
    <n v="28"/>
    <n v="4"/>
    <n v="8.25"/>
  </r>
  <r>
    <x v="2"/>
    <x v="5"/>
    <s v="S12000005"/>
    <n v="65"/>
    <n v="226.75"/>
    <n v="3"/>
    <n v="16"/>
    <m/>
    <m/>
    <m/>
    <m/>
  </r>
  <r>
    <x v="2"/>
    <x v="6"/>
    <s v="S12000006"/>
    <n v="307"/>
    <n v="1238"/>
    <n v="56"/>
    <n v="490.5"/>
    <m/>
    <m/>
    <n v="1"/>
    <n v="10.5"/>
  </r>
  <r>
    <x v="2"/>
    <x v="7"/>
    <s v="S12000042"/>
    <n v="653"/>
    <n v="2216"/>
    <n v="3"/>
    <n v="17.25"/>
    <m/>
    <m/>
    <n v="2"/>
    <n v="16.5"/>
  </r>
  <r>
    <x v="2"/>
    <x v="8"/>
    <s v="S12000008"/>
    <n v="152"/>
    <n v="1162.5"/>
    <n v="12"/>
    <n v="126.25"/>
    <n v="1"/>
    <n v="12.75"/>
    <m/>
    <m/>
  </r>
  <r>
    <x v="2"/>
    <x v="9"/>
    <s v="S12000045"/>
    <n v="77"/>
    <n v="520.25"/>
    <n v="4"/>
    <n v="57"/>
    <m/>
    <m/>
    <m/>
    <m/>
  </r>
  <r>
    <x v="2"/>
    <x v="10"/>
    <s v="S12000010"/>
    <n v="126"/>
    <n v="481.75"/>
    <n v="13"/>
    <n v="102.25"/>
    <m/>
    <m/>
    <m/>
    <m/>
  </r>
  <r>
    <x v="2"/>
    <x v="11"/>
    <s v="S12000011"/>
    <n v="76"/>
    <n v="571.5"/>
    <n v="4"/>
    <n v="107.75"/>
    <m/>
    <m/>
    <m/>
    <m/>
  </r>
  <r>
    <x v="2"/>
    <x v="12"/>
    <s v="S12000014"/>
    <n v="152"/>
    <n v="799.75"/>
    <n v="8"/>
    <n v="89.25"/>
    <m/>
    <m/>
    <m/>
    <m/>
  </r>
  <r>
    <x v="2"/>
    <x v="13"/>
    <s v="S12000015"/>
    <n v="452"/>
    <n v="1850"/>
    <n v="30"/>
    <n v="353.5"/>
    <n v="1"/>
    <n v="76.75"/>
    <m/>
    <m/>
  </r>
  <r>
    <x v="2"/>
    <x v="14"/>
    <s v="S12000046"/>
    <n v="1457"/>
    <n v="6398"/>
    <n v="105"/>
    <n v="596"/>
    <m/>
    <m/>
    <m/>
    <m/>
  </r>
  <r>
    <x v="2"/>
    <x v="15"/>
    <s v="S12000017"/>
    <n v="241"/>
    <n v="1483.75"/>
    <n v="27"/>
    <n v="284.75"/>
    <n v="1"/>
    <n v="9.5"/>
    <n v="1"/>
    <n v="6.5"/>
  </r>
  <r>
    <x v="2"/>
    <x v="16"/>
    <s v="S12000018"/>
    <n v="107"/>
    <n v="429.5"/>
    <n v="8"/>
    <n v="55"/>
    <m/>
    <m/>
    <m/>
    <m/>
  </r>
  <r>
    <x v="2"/>
    <x v="17"/>
    <s v="S12000019"/>
    <n v="93"/>
    <n v="285.75"/>
    <n v="4"/>
    <n v="21"/>
    <m/>
    <m/>
    <m/>
    <m/>
  </r>
  <r>
    <x v="2"/>
    <x v="18"/>
    <s v="S12000020"/>
    <n v="136"/>
    <n v="833.25"/>
    <n v="6"/>
    <n v="94.25"/>
    <n v="1"/>
    <n v="7"/>
    <m/>
    <m/>
  </r>
  <r>
    <x v="2"/>
    <x v="19"/>
    <s v="S12000013"/>
    <n v="16"/>
    <n v="73.25"/>
    <n v="5"/>
    <n v="96.5"/>
    <n v="1"/>
    <n v="28.75"/>
    <m/>
    <m/>
  </r>
  <r>
    <x v="2"/>
    <x v="20"/>
    <s v="S12000021"/>
    <n v="212"/>
    <n v="982.75"/>
    <n v="18"/>
    <n v="181.75"/>
    <m/>
    <m/>
    <m/>
    <m/>
  </r>
  <r>
    <x v="2"/>
    <x v="21"/>
    <s v="S12000044"/>
    <n v="485"/>
    <n v="2741.25"/>
    <n v="11"/>
    <n v="112"/>
    <m/>
    <m/>
    <m/>
    <m/>
  </r>
  <r>
    <x v="2"/>
    <x v="22"/>
    <s v="S12000023"/>
    <n v="24"/>
    <n v="132.75"/>
    <n v="5"/>
    <n v="53.25"/>
    <m/>
    <m/>
    <m/>
    <m/>
  </r>
  <r>
    <x v="2"/>
    <x v="23"/>
    <s v="S12000024"/>
    <n v="279"/>
    <n v="1366.25"/>
    <n v="8"/>
    <n v="59.5"/>
    <m/>
    <m/>
    <m/>
    <m/>
  </r>
  <r>
    <x v="2"/>
    <x v="24"/>
    <s v="S12000038"/>
    <n v="164"/>
    <n v="1078.5"/>
    <n v="5"/>
    <n v="60"/>
    <m/>
    <m/>
    <m/>
    <m/>
  </r>
  <r>
    <x v="2"/>
    <x v="25"/>
    <s v="S12000026"/>
    <n v="243"/>
    <n v="1093.5"/>
    <n v="42"/>
    <n v="392.75"/>
    <n v="1"/>
    <n v="32"/>
    <n v="1"/>
    <n v="6.5"/>
  </r>
  <r>
    <x v="2"/>
    <x v="26"/>
    <s v="S12000027"/>
    <n v="14"/>
    <n v="67"/>
    <n v="2"/>
    <n v="22"/>
    <m/>
    <m/>
    <n v="3"/>
    <n v="24"/>
  </r>
  <r>
    <x v="2"/>
    <x v="27"/>
    <s v="S12000028"/>
    <n v="294"/>
    <n v="1861.5"/>
    <n v="16"/>
    <n v="121.75"/>
    <n v="1"/>
    <n v="17.25"/>
    <m/>
    <m/>
  </r>
  <r>
    <x v="2"/>
    <x v="28"/>
    <s v="S12000029"/>
    <n v="243"/>
    <n v="1452.5"/>
    <n v="8"/>
    <n v="235.75"/>
    <n v="1"/>
    <n v="72.25"/>
    <m/>
    <m/>
  </r>
  <r>
    <x v="2"/>
    <x v="29"/>
    <s v="S12000030"/>
    <n v="146"/>
    <n v="598.5"/>
    <n v="14"/>
    <n v="101.25"/>
    <m/>
    <m/>
    <m/>
    <m/>
  </r>
  <r>
    <x v="2"/>
    <x v="30"/>
    <s v="S12000039"/>
    <n v="118"/>
    <n v="596.75"/>
    <n v="3"/>
    <n v="39.25"/>
    <m/>
    <m/>
    <m/>
    <m/>
  </r>
  <r>
    <x v="2"/>
    <x v="31"/>
    <s v="S12000040"/>
    <n v="155"/>
    <n v="749"/>
    <n v="22"/>
    <n v="164.25"/>
    <m/>
    <m/>
    <m/>
    <m/>
  </r>
  <r>
    <x v="3"/>
    <x v="0"/>
    <s v="S12000033"/>
    <n v="294"/>
    <n v="1570.5"/>
    <n v="21"/>
    <n v="212.25"/>
    <n v="2"/>
    <n v="57.5"/>
    <n v="1"/>
    <n v="3.5"/>
  </r>
  <r>
    <x v="3"/>
    <x v="1"/>
    <s v="S12000034"/>
    <n v="317"/>
    <n v="2121"/>
    <n v="27"/>
    <n v="291.25"/>
    <m/>
    <m/>
    <n v="1"/>
    <n v="23.25"/>
  </r>
  <r>
    <x v="3"/>
    <x v="2"/>
    <s v="S12000041"/>
    <n v="99"/>
    <n v="422.25"/>
    <n v="20"/>
    <n v="92.5"/>
    <n v="2"/>
    <n v="11"/>
    <n v="1"/>
    <n v="7.5"/>
  </r>
  <r>
    <x v="3"/>
    <x v="3"/>
    <s v="S12000035"/>
    <n v="171"/>
    <n v="1143.75"/>
    <n v="14"/>
    <n v="157.75"/>
    <n v="1"/>
    <n v="14.5"/>
    <m/>
    <m/>
  </r>
  <r>
    <x v="3"/>
    <x v="4"/>
    <s v="S12000036"/>
    <n v="707"/>
    <n v="2618.75"/>
    <n v="37"/>
    <n v="234.5"/>
    <m/>
    <m/>
    <n v="4"/>
    <n v="10"/>
  </r>
  <r>
    <x v="3"/>
    <x v="5"/>
    <s v="S12000005"/>
    <n v="56"/>
    <n v="253.5"/>
    <n v="8"/>
    <n v="36.75"/>
    <m/>
    <m/>
    <n v="1"/>
    <n v="10.25"/>
  </r>
  <r>
    <x v="3"/>
    <x v="6"/>
    <s v="S12000006"/>
    <n v="346"/>
    <n v="1646"/>
    <n v="33"/>
    <n v="312.25"/>
    <m/>
    <m/>
    <m/>
    <m/>
  </r>
  <r>
    <x v="3"/>
    <x v="7"/>
    <s v="S12000042"/>
    <n v="299"/>
    <n v="1117.25"/>
    <n v="7"/>
    <n v="57.75"/>
    <m/>
    <m/>
    <n v="1"/>
    <n v="7"/>
  </r>
  <r>
    <x v="3"/>
    <x v="8"/>
    <s v="S12000008"/>
    <n v="155"/>
    <n v="975"/>
    <n v="10"/>
    <n v="143"/>
    <n v="1"/>
    <n v="51.75"/>
    <m/>
    <m/>
  </r>
  <r>
    <x v="3"/>
    <x v="9"/>
    <s v="S12000045"/>
    <n v="86"/>
    <n v="611"/>
    <n v="6"/>
    <n v="67.25"/>
    <m/>
    <m/>
    <m/>
    <m/>
  </r>
  <r>
    <x v="3"/>
    <x v="10"/>
    <s v="S12000010"/>
    <n v="138"/>
    <n v="536.5"/>
    <n v="6"/>
    <n v="35.75"/>
    <m/>
    <m/>
    <m/>
    <m/>
  </r>
  <r>
    <x v="3"/>
    <x v="11"/>
    <s v="S12000011"/>
    <n v="27"/>
    <n v="236.5"/>
    <n v="3"/>
    <n v="49.75"/>
    <m/>
    <m/>
    <m/>
    <m/>
  </r>
  <r>
    <x v="3"/>
    <x v="12"/>
    <s v="S12000014"/>
    <n v="148"/>
    <n v="843"/>
    <n v="11"/>
    <n v="143.25"/>
    <m/>
    <m/>
    <m/>
    <m/>
  </r>
  <r>
    <x v="3"/>
    <x v="13"/>
    <s v="S12000015"/>
    <n v="450"/>
    <n v="1686.5"/>
    <n v="14"/>
    <n v="150.5"/>
    <n v="2"/>
    <n v="38.75"/>
    <n v="2"/>
    <n v="19.5"/>
  </r>
  <r>
    <x v="3"/>
    <x v="14"/>
    <s v="S12000046"/>
    <n v="1125"/>
    <n v="4472.75"/>
    <n v="62"/>
    <n v="403"/>
    <m/>
    <m/>
    <m/>
    <m/>
  </r>
  <r>
    <x v="3"/>
    <x v="15"/>
    <s v="S12000017"/>
    <n v="227"/>
    <n v="1333"/>
    <n v="59"/>
    <n v="1064.25"/>
    <n v="6"/>
    <n v="232"/>
    <n v="4"/>
    <n v="38.5"/>
  </r>
  <r>
    <x v="3"/>
    <x v="16"/>
    <s v="S12000018"/>
    <n v="57"/>
    <n v="256.5"/>
    <n v="8"/>
    <n v="62"/>
    <m/>
    <m/>
    <m/>
    <m/>
  </r>
  <r>
    <x v="3"/>
    <x v="17"/>
    <s v="S12000019"/>
    <n v="94"/>
    <n v="477.5"/>
    <n v="1"/>
    <n v="4.25"/>
    <m/>
    <m/>
    <m/>
    <m/>
  </r>
  <r>
    <x v="3"/>
    <x v="18"/>
    <s v="S12000020"/>
    <n v="207"/>
    <n v="1131.25"/>
    <n v="9"/>
    <n v="130.75"/>
    <m/>
    <m/>
    <m/>
    <m/>
  </r>
  <r>
    <x v="3"/>
    <x v="19"/>
    <s v="S12000013"/>
    <n v="19"/>
    <n v="163.25"/>
    <n v="4"/>
    <n v="93.25"/>
    <n v="1"/>
    <n v="60"/>
    <m/>
    <m/>
  </r>
  <r>
    <x v="3"/>
    <x v="20"/>
    <s v="S12000021"/>
    <n v="94"/>
    <n v="542.75"/>
    <n v="8"/>
    <n v="85.75"/>
    <m/>
    <m/>
    <m/>
    <m/>
  </r>
  <r>
    <x v="3"/>
    <x v="21"/>
    <s v="S12000044"/>
    <n v="344"/>
    <n v="1826.5"/>
    <n v="7"/>
    <n v="65.5"/>
    <m/>
    <m/>
    <m/>
    <m/>
  </r>
  <r>
    <x v="3"/>
    <x v="22"/>
    <s v="S12000023"/>
    <n v="10"/>
    <n v="46.75"/>
    <n v="3"/>
    <n v="44.25"/>
    <m/>
    <m/>
    <m/>
    <m/>
  </r>
  <r>
    <x v="3"/>
    <x v="23"/>
    <s v="S12000024"/>
    <n v="284"/>
    <n v="1240.75"/>
    <n v="9"/>
    <n v="81.25"/>
    <m/>
    <m/>
    <m/>
    <m/>
  </r>
  <r>
    <x v="3"/>
    <x v="24"/>
    <s v="S12000038"/>
    <n v="82"/>
    <n v="508.5"/>
    <n v="9"/>
    <n v="126"/>
    <m/>
    <m/>
    <m/>
    <m/>
  </r>
  <r>
    <x v="3"/>
    <x v="25"/>
    <s v="S12000026"/>
    <n v="218"/>
    <n v="1084.25"/>
    <n v="13"/>
    <n v="97.75"/>
    <m/>
    <m/>
    <m/>
    <m/>
  </r>
  <r>
    <x v="3"/>
    <x v="26"/>
    <s v="S12000027"/>
    <n v="22"/>
    <n v="189"/>
    <n v="1"/>
    <n v="8"/>
    <m/>
    <m/>
    <n v="1"/>
    <n v="3.5"/>
  </r>
  <r>
    <x v="3"/>
    <x v="27"/>
    <s v="S12000028"/>
    <n v="310"/>
    <n v="1986.75"/>
    <n v="9"/>
    <n v="68.75"/>
    <m/>
    <m/>
    <m/>
    <m/>
  </r>
  <r>
    <x v="3"/>
    <x v="28"/>
    <s v="S12000029"/>
    <n v="321"/>
    <n v="1386.5"/>
    <n v="12"/>
    <n v="171.5"/>
    <m/>
    <m/>
    <m/>
    <m/>
  </r>
  <r>
    <x v="3"/>
    <x v="29"/>
    <s v="S12000030"/>
    <n v="203"/>
    <n v="910.5"/>
    <n v="21"/>
    <n v="135.5"/>
    <m/>
    <m/>
    <n v="1"/>
    <n v="5.5"/>
  </r>
  <r>
    <x v="3"/>
    <x v="30"/>
    <s v="S12000039"/>
    <n v="100"/>
    <n v="682.75"/>
    <n v="9"/>
    <n v="115.25"/>
    <m/>
    <m/>
    <m/>
    <m/>
  </r>
  <r>
    <x v="3"/>
    <x v="31"/>
    <s v="S12000040"/>
    <n v="157"/>
    <n v="667.75"/>
    <n v="7"/>
    <n v="40.5"/>
    <m/>
    <m/>
    <m/>
    <m/>
  </r>
  <r>
    <x v="4"/>
    <x v="0"/>
    <s v="S12000033"/>
    <n v="349"/>
    <n v="2090"/>
    <n v="15"/>
    <n v="161"/>
    <m/>
    <m/>
    <n v="2"/>
    <n v="4.5"/>
  </r>
  <r>
    <x v="4"/>
    <x v="1"/>
    <s v="S12000034"/>
    <n v="344"/>
    <n v="1895"/>
    <n v="29"/>
    <n v="240.5"/>
    <m/>
    <m/>
    <n v="1"/>
    <n v="7.5"/>
  </r>
  <r>
    <x v="4"/>
    <x v="2"/>
    <s v="S12000041"/>
    <n v="115"/>
    <n v="476.75"/>
    <n v="11"/>
    <n v="49.5"/>
    <n v="1"/>
    <n v="6"/>
    <m/>
    <m/>
  </r>
  <r>
    <x v="4"/>
    <x v="3"/>
    <s v="S12000035"/>
    <n v="205"/>
    <n v="1662"/>
    <n v="15"/>
    <n v="154.75"/>
    <m/>
    <m/>
    <m/>
    <m/>
  </r>
  <r>
    <x v="4"/>
    <x v="4"/>
    <s v="S12000036"/>
    <n v="672"/>
    <n v="2918.5"/>
    <n v="42"/>
    <n v="362.75"/>
    <n v="5"/>
    <n v="63.5"/>
    <n v="4"/>
    <n v="16"/>
  </r>
  <r>
    <x v="4"/>
    <x v="5"/>
    <s v="S12000005"/>
    <n v="69"/>
    <n v="332.5"/>
    <n v="1"/>
    <n v="8.5"/>
    <m/>
    <m/>
    <m/>
    <m/>
  </r>
  <r>
    <x v="4"/>
    <x v="6"/>
    <s v="S12000006"/>
    <n v="420"/>
    <n v="2070.25"/>
    <n v="20"/>
    <n v="205.5"/>
    <n v="2"/>
    <n v="17"/>
    <m/>
    <m/>
  </r>
  <r>
    <x v="4"/>
    <x v="7"/>
    <s v="S12000042"/>
    <n v="371"/>
    <n v="1559.5"/>
    <n v="10"/>
    <n v="90.75"/>
    <m/>
    <m/>
    <n v="3"/>
    <n v="23.5"/>
  </r>
  <r>
    <x v="4"/>
    <x v="8"/>
    <s v="S12000008"/>
    <n v="138"/>
    <n v="837.25"/>
    <n v="7"/>
    <n v="59"/>
    <m/>
    <m/>
    <m/>
    <m/>
  </r>
  <r>
    <x v="4"/>
    <x v="9"/>
    <s v="S12000045"/>
    <n v="82"/>
    <n v="447.75"/>
    <n v="2"/>
    <n v="30"/>
    <m/>
    <m/>
    <m/>
    <m/>
  </r>
  <r>
    <x v="4"/>
    <x v="10"/>
    <s v="S12000010"/>
    <n v="144"/>
    <n v="567.25"/>
    <n v="5"/>
    <n v="34.5"/>
    <m/>
    <m/>
    <m/>
    <m/>
  </r>
  <r>
    <x v="4"/>
    <x v="11"/>
    <s v="S12000011"/>
    <n v="34"/>
    <n v="234"/>
    <n v="2"/>
    <n v="18.75"/>
    <m/>
    <m/>
    <m/>
    <m/>
  </r>
  <r>
    <x v="4"/>
    <x v="12"/>
    <s v="S12000014"/>
    <n v="201"/>
    <n v="1063.25"/>
    <m/>
    <m/>
    <m/>
    <m/>
    <m/>
    <m/>
  </r>
  <r>
    <x v="4"/>
    <x v="13"/>
    <s v="S12000015"/>
    <n v="644"/>
    <n v="2085.75"/>
    <n v="13"/>
    <n v="127"/>
    <n v="2"/>
    <n v="52"/>
    <m/>
    <m/>
  </r>
  <r>
    <x v="4"/>
    <x v="14"/>
    <s v="S12000046"/>
    <n v="1067"/>
    <n v="4671"/>
    <n v="59"/>
    <n v="525.75"/>
    <n v="3"/>
    <n v="49.25"/>
    <m/>
    <m/>
  </r>
  <r>
    <x v="4"/>
    <x v="15"/>
    <s v="S12000017"/>
    <n v="172"/>
    <n v="1061.75"/>
    <n v="24"/>
    <n v="392.5"/>
    <n v="1"/>
    <n v="70.75"/>
    <n v="7"/>
    <n v="123"/>
  </r>
  <r>
    <x v="4"/>
    <x v="16"/>
    <s v="S12000018"/>
    <n v="73"/>
    <n v="338.75"/>
    <n v="5"/>
    <n v="63"/>
    <n v="1"/>
    <n v="33.25"/>
    <m/>
    <m/>
  </r>
  <r>
    <x v="4"/>
    <x v="17"/>
    <s v="S12000019"/>
    <n v="131"/>
    <n v="878.5"/>
    <n v="7"/>
    <n v="91.25"/>
    <m/>
    <m/>
    <m/>
    <m/>
  </r>
  <r>
    <x v="4"/>
    <x v="18"/>
    <s v="S12000020"/>
    <n v="124"/>
    <n v="579.75"/>
    <n v="6"/>
    <n v="75.25"/>
    <m/>
    <m/>
    <n v="1"/>
    <m/>
  </r>
  <r>
    <x v="4"/>
    <x v="19"/>
    <s v="S12000013"/>
    <n v="21"/>
    <n v="73.5"/>
    <m/>
    <m/>
    <m/>
    <m/>
    <m/>
    <m/>
  </r>
  <r>
    <x v="4"/>
    <x v="20"/>
    <s v="S12000021"/>
    <n v="239"/>
    <n v="1222.25"/>
    <n v="5"/>
    <n v="47"/>
    <m/>
    <m/>
    <m/>
    <m/>
  </r>
  <r>
    <x v="4"/>
    <x v="21"/>
    <s v="S12000044"/>
    <n v="294"/>
    <n v="1348"/>
    <n v="13"/>
    <n v="182.75"/>
    <n v="2"/>
    <n v="68.75"/>
    <n v="1"/>
    <n v="63"/>
  </r>
  <r>
    <x v="4"/>
    <x v="22"/>
    <s v="S12000023"/>
    <n v="9"/>
    <n v="42.5"/>
    <m/>
    <m/>
    <m/>
    <m/>
    <m/>
    <m/>
  </r>
  <r>
    <x v="4"/>
    <x v="23"/>
    <s v="S12000024"/>
    <n v="281"/>
    <n v="1204.5"/>
    <n v="12"/>
    <n v="81"/>
    <n v="1"/>
    <n v="14.25"/>
    <m/>
    <m/>
  </r>
  <r>
    <x v="4"/>
    <x v="24"/>
    <s v="S12000038"/>
    <n v="163"/>
    <n v="836"/>
    <n v="6"/>
    <n v="94"/>
    <m/>
    <m/>
    <m/>
    <m/>
  </r>
  <r>
    <x v="4"/>
    <x v="25"/>
    <s v="S12000026"/>
    <n v="202"/>
    <n v="998.75"/>
    <n v="17"/>
    <n v="142.5"/>
    <m/>
    <m/>
    <m/>
    <m/>
  </r>
  <r>
    <x v="4"/>
    <x v="26"/>
    <s v="S12000027"/>
    <n v="14"/>
    <n v="110.25"/>
    <n v="2"/>
    <n v="23.75"/>
    <m/>
    <m/>
    <m/>
    <m/>
  </r>
  <r>
    <x v="4"/>
    <x v="27"/>
    <s v="S12000028"/>
    <n v="216"/>
    <n v="1373.25"/>
    <n v="13"/>
    <n v="108"/>
    <n v="3"/>
    <n v="44.25"/>
    <n v="1"/>
    <m/>
  </r>
  <r>
    <x v="4"/>
    <x v="28"/>
    <s v="S12000029"/>
    <n v="242"/>
    <n v="1512.25"/>
    <n v="10"/>
    <n v="273"/>
    <n v="1"/>
    <n v="102.75"/>
    <m/>
    <m/>
  </r>
  <r>
    <x v="4"/>
    <x v="29"/>
    <s v="S12000030"/>
    <n v="190"/>
    <n v="759"/>
    <n v="3"/>
    <n v="38.75"/>
    <m/>
    <m/>
    <m/>
    <m/>
  </r>
  <r>
    <x v="4"/>
    <x v="30"/>
    <s v="S12000039"/>
    <n v="74"/>
    <n v="427"/>
    <n v="5"/>
    <n v="44.75"/>
    <m/>
    <m/>
    <m/>
    <m/>
  </r>
  <r>
    <x v="4"/>
    <x v="31"/>
    <s v="S12000040"/>
    <n v="208"/>
    <n v="775.5"/>
    <n v="5"/>
    <n v="33.5"/>
    <m/>
    <m/>
    <m/>
    <m/>
  </r>
  <r>
    <x v="5"/>
    <x v="0"/>
    <s v="S12000033"/>
    <n v="422"/>
    <m/>
    <n v="11"/>
    <m/>
    <m/>
    <m/>
    <n v="2"/>
    <m/>
  </r>
  <r>
    <x v="5"/>
    <x v="1"/>
    <s v="S12000034"/>
    <n v="345"/>
    <m/>
    <n v="6"/>
    <m/>
    <m/>
    <m/>
    <m/>
    <m/>
  </r>
  <r>
    <x v="5"/>
    <x v="2"/>
    <s v="S12000041"/>
    <n v="123"/>
    <m/>
    <m/>
    <m/>
    <m/>
    <m/>
    <m/>
    <m/>
  </r>
  <r>
    <x v="5"/>
    <x v="3"/>
    <s v="S12000035"/>
    <n v="275"/>
    <m/>
    <n v="7"/>
    <m/>
    <m/>
    <m/>
    <m/>
    <m/>
  </r>
  <r>
    <x v="5"/>
    <x v="4"/>
    <s v="S12000036"/>
    <n v="631"/>
    <m/>
    <n v="17"/>
    <m/>
    <m/>
    <m/>
    <n v="1"/>
    <m/>
  </r>
  <r>
    <x v="5"/>
    <x v="5"/>
    <s v="S12000005"/>
    <n v="49"/>
    <m/>
    <m/>
    <m/>
    <m/>
    <m/>
    <m/>
    <m/>
  </r>
  <r>
    <x v="5"/>
    <x v="6"/>
    <s v="S12000006"/>
    <n v="429"/>
    <m/>
    <n v="6"/>
    <m/>
    <m/>
    <m/>
    <m/>
    <m/>
  </r>
  <r>
    <x v="5"/>
    <x v="7"/>
    <s v="S12000042"/>
    <n v="419"/>
    <m/>
    <n v="5"/>
    <m/>
    <m/>
    <m/>
    <m/>
    <m/>
  </r>
  <r>
    <x v="5"/>
    <x v="8"/>
    <s v="S12000008"/>
    <n v="105"/>
    <m/>
    <n v="5"/>
    <m/>
    <m/>
    <m/>
    <m/>
    <m/>
  </r>
  <r>
    <x v="5"/>
    <x v="9"/>
    <s v="S12000045"/>
    <n v="97"/>
    <m/>
    <n v="4"/>
    <m/>
    <m/>
    <m/>
    <m/>
    <m/>
  </r>
  <r>
    <x v="5"/>
    <x v="10"/>
    <s v="S12000010"/>
    <n v="76"/>
    <m/>
    <n v="2"/>
    <m/>
    <m/>
    <m/>
    <m/>
    <m/>
  </r>
  <r>
    <x v="5"/>
    <x v="11"/>
    <s v="S12000011"/>
    <n v="28"/>
    <m/>
    <m/>
    <m/>
    <m/>
    <m/>
    <m/>
    <m/>
  </r>
  <r>
    <x v="5"/>
    <x v="12"/>
    <s v="S12000014"/>
    <n v="143"/>
    <m/>
    <n v="7"/>
    <m/>
    <m/>
    <m/>
    <m/>
    <m/>
  </r>
  <r>
    <x v="5"/>
    <x v="13"/>
    <s v="S12000015"/>
    <n v="335"/>
    <m/>
    <n v="82"/>
    <m/>
    <m/>
    <m/>
    <n v="2"/>
    <m/>
  </r>
  <r>
    <x v="5"/>
    <x v="14"/>
    <s v="S12000046"/>
    <n v="897"/>
    <m/>
    <n v="142"/>
    <m/>
    <m/>
    <m/>
    <n v="3"/>
    <m/>
  </r>
  <r>
    <x v="5"/>
    <x v="15"/>
    <s v="S12000017"/>
    <n v="462"/>
    <m/>
    <n v="31"/>
    <m/>
    <m/>
    <m/>
    <n v="3"/>
    <m/>
  </r>
  <r>
    <x v="5"/>
    <x v="16"/>
    <s v="S12000018"/>
    <n v="51"/>
    <m/>
    <n v="3"/>
    <m/>
    <m/>
    <m/>
    <m/>
    <m/>
  </r>
  <r>
    <x v="5"/>
    <x v="17"/>
    <s v="S12000019"/>
    <n v="64"/>
    <m/>
    <n v="6"/>
    <m/>
    <m/>
    <m/>
    <m/>
    <m/>
  </r>
  <r>
    <x v="5"/>
    <x v="18"/>
    <s v="S12000020"/>
    <n v="91"/>
    <m/>
    <n v="9"/>
    <m/>
    <m/>
    <m/>
    <n v="1"/>
    <m/>
  </r>
  <r>
    <x v="5"/>
    <x v="20"/>
    <s v="S12000021"/>
    <n v="145"/>
    <m/>
    <n v="3"/>
    <m/>
    <m/>
    <m/>
    <m/>
    <m/>
  </r>
  <r>
    <x v="5"/>
    <x v="21"/>
    <s v="S12000044"/>
    <n v="299"/>
    <m/>
    <n v="7"/>
    <m/>
    <m/>
    <m/>
    <m/>
    <m/>
  </r>
  <r>
    <x v="5"/>
    <x v="22"/>
    <s v="S12000023"/>
    <n v="23"/>
    <m/>
    <m/>
    <m/>
    <m/>
    <m/>
    <m/>
    <m/>
  </r>
  <r>
    <x v="5"/>
    <x v="23"/>
    <s v="S12000024"/>
    <n v="247"/>
    <m/>
    <n v="1"/>
    <m/>
    <m/>
    <m/>
    <m/>
    <m/>
  </r>
  <r>
    <x v="5"/>
    <x v="24"/>
    <s v="S12000038"/>
    <n v="140"/>
    <m/>
    <n v="9"/>
    <m/>
    <m/>
    <m/>
    <m/>
    <m/>
  </r>
  <r>
    <x v="5"/>
    <x v="25"/>
    <s v="S12000026"/>
    <n v="99"/>
    <m/>
    <n v="5"/>
    <m/>
    <m/>
    <m/>
    <m/>
    <m/>
  </r>
  <r>
    <x v="5"/>
    <x v="26"/>
    <s v="S12000027"/>
    <n v="11"/>
    <m/>
    <m/>
    <m/>
    <m/>
    <m/>
    <m/>
    <m/>
  </r>
  <r>
    <x v="5"/>
    <x v="27"/>
    <s v="S12000028"/>
    <n v="220"/>
    <m/>
    <n v="5"/>
    <m/>
    <m/>
    <m/>
    <m/>
    <m/>
  </r>
  <r>
    <x v="5"/>
    <x v="28"/>
    <s v="S12000029"/>
    <n v="154"/>
    <m/>
    <n v="5"/>
    <m/>
    <m/>
    <m/>
    <m/>
    <m/>
  </r>
  <r>
    <x v="5"/>
    <x v="29"/>
    <s v="S12000030"/>
    <n v="195"/>
    <m/>
    <n v="6"/>
    <m/>
    <m/>
    <m/>
    <m/>
    <m/>
  </r>
  <r>
    <x v="5"/>
    <x v="30"/>
    <s v="S12000039"/>
    <n v="125"/>
    <m/>
    <n v="3"/>
    <m/>
    <m/>
    <m/>
    <m/>
    <m/>
  </r>
  <r>
    <x v="5"/>
    <x v="31"/>
    <s v="S12000040"/>
    <n v="173"/>
    <m/>
    <n v="1"/>
    <m/>
    <n v="1"/>
    <m/>
    <m/>
    <m/>
  </r>
  <r>
    <x v="6"/>
    <x v="0"/>
    <s v="S12000033"/>
    <n v="176"/>
    <n v="1044.75"/>
    <n v="5"/>
    <n v="24.25"/>
    <m/>
    <m/>
    <n v="1"/>
    <n v="20"/>
  </r>
  <r>
    <x v="6"/>
    <x v="1"/>
    <s v="S12000034"/>
    <n v="77"/>
    <n v="586.25"/>
    <n v="4"/>
    <n v="57.25"/>
    <m/>
    <m/>
    <n v="1"/>
    <n v="4"/>
  </r>
  <r>
    <x v="6"/>
    <x v="2"/>
    <s v="S12000041"/>
    <n v="56"/>
    <n v="230.5"/>
    <n v="3"/>
    <n v="12.75"/>
    <m/>
    <m/>
    <m/>
    <m/>
  </r>
  <r>
    <x v="6"/>
    <x v="3"/>
    <s v="S12000035"/>
    <n v="106"/>
    <n v="628"/>
    <n v="14"/>
    <n v="237"/>
    <m/>
    <m/>
    <m/>
    <m/>
  </r>
  <r>
    <x v="6"/>
    <x v="4"/>
    <s v="S12000036"/>
    <n v="354"/>
    <n v="1313.75"/>
    <n v="10"/>
    <n v="192.75"/>
    <m/>
    <m/>
    <m/>
    <m/>
  </r>
  <r>
    <x v="6"/>
    <x v="5"/>
    <s v="S12000005"/>
    <n v="35"/>
    <n v="206.25"/>
    <m/>
    <m/>
    <m/>
    <m/>
    <m/>
    <m/>
  </r>
  <r>
    <x v="6"/>
    <x v="6"/>
    <s v="S12000006"/>
    <n v="122"/>
    <n v="533.25"/>
    <n v="5"/>
    <n v="39.25"/>
    <m/>
    <m/>
    <m/>
    <m/>
  </r>
  <r>
    <x v="6"/>
    <x v="7"/>
    <s v="S12000042"/>
    <n v="149"/>
    <n v="745.25"/>
    <n v="6"/>
    <n v="76.75"/>
    <n v="1"/>
    <n v="27.5"/>
    <m/>
    <m/>
  </r>
  <r>
    <x v="6"/>
    <x v="8"/>
    <s v="S12000008"/>
    <n v="67"/>
    <n v="266.75"/>
    <n v="2"/>
    <n v="17.5"/>
    <m/>
    <m/>
    <m/>
    <m/>
  </r>
  <r>
    <x v="6"/>
    <x v="9"/>
    <s v="S12000045"/>
    <n v="45"/>
    <n v="153.5"/>
    <m/>
    <m/>
    <m/>
    <m/>
    <m/>
    <m/>
  </r>
  <r>
    <x v="6"/>
    <x v="10"/>
    <s v="S12000010"/>
    <n v="43"/>
    <n v="252.75"/>
    <n v="1"/>
    <n v="11.5"/>
    <m/>
    <m/>
    <m/>
    <m/>
  </r>
  <r>
    <x v="6"/>
    <x v="11"/>
    <s v="S12000011"/>
    <n v="20"/>
    <n v="121.5"/>
    <n v="1"/>
    <n v="11"/>
    <m/>
    <m/>
    <m/>
    <m/>
  </r>
  <r>
    <x v="6"/>
    <x v="12"/>
    <s v="S12000014"/>
    <n v="62"/>
    <n v="270.5"/>
    <m/>
    <m/>
    <m/>
    <m/>
    <m/>
    <m/>
  </r>
  <r>
    <x v="6"/>
    <x v="13"/>
    <s v="S12000047"/>
    <n v="247"/>
    <n v="1035.25"/>
    <n v="3"/>
    <n v="52.75"/>
    <n v="1"/>
    <n v="41.25"/>
    <m/>
    <m/>
  </r>
  <r>
    <x v="6"/>
    <x v="14"/>
    <s v="S12000049"/>
    <n v="456"/>
    <n v="1818"/>
    <n v="23"/>
    <n v="113.75"/>
    <m/>
    <m/>
    <m/>
    <m/>
  </r>
  <r>
    <x v="6"/>
    <x v="15"/>
    <s v="S12000017"/>
    <n v="110"/>
    <n v="659"/>
    <n v="14"/>
    <n v="155.25"/>
    <m/>
    <m/>
    <m/>
    <m/>
  </r>
  <r>
    <x v="6"/>
    <x v="16"/>
    <s v="S12000018"/>
    <n v="29"/>
    <n v="163"/>
    <m/>
    <m/>
    <m/>
    <m/>
    <m/>
    <m/>
  </r>
  <r>
    <x v="6"/>
    <x v="17"/>
    <s v="S12000019"/>
    <n v="35"/>
    <n v="292.25"/>
    <n v="2"/>
    <n v="31.75"/>
    <m/>
    <m/>
    <m/>
    <m/>
  </r>
  <r>
    <x v="6"/>
    <x v="18"/>
    <s v="S12000020"/>
    <n v="41"/>
    <n v="252.75"/>
    <n v="1"/>
    <n v="5.5"/>
    <m/>
    <m/>
    <n v="1"/>
    <m/>
  </r>
  <r>
    <x v="6"/>
    <x v="19"/>
    <s v="S12000013"/>
    <n v="11"/>
    <n v="62.75"/>
    <m/>
    <m/>
    <m/>
    <m/>
    <m/>
    <m/>
  </r>
  <r>
    <x v="6"/>
    <x v="20"/>
    <s v="S12000021"/>
    <n v="89"/>
    <n v="599.25"/>
    <m/>
    <m/>
    <m/>
    <m/>
    <m/>
    <m/>
  </r>
  <r>
    <x v="6"/>
    <x v="21"/>
    <s v="S12000050"/>
    <n v="115"/>
    <n v="395.25"/>
    <n v="2"/>
    <n v="10.5"/>
    <m/>
    <m/>
    <m/>
    <m/>
  </r>
  <r>
    <x v="6"/>
    <x v="22"/>
    <s v="S12000023"/>
    <n v="8"/>
    <n v="37.75"/>
    <n v="1"/>
    <n v="34.75"/>
    <m/>
    <m/>
    <m/>
    <m/>
  </r>
  <r>
    <x v="6"/>
    <x v="23"/>
    <s v="S12000048"/>
    <n v="152"/>
    <n v="697"/>
    <m/>
    <m/>
    <m/>
    <m/>
    <m/>
    <m/>
  </r>
  <r>
    <x v="6"/>
    <x v="24"/>
    <s v="S12000038"/>
    <n v="73"/>
    <n v="355.75"/>
    <n v="7"/>
    <n v="62.75"/>
    <m/>
    <m/>
    <m/>
    <m/>
  </r>
  <r>
    <x v="6"/>
    <x v="25"/>
    <s v="S12000026"/>
    <n v="63"/>
    <n v="350"/>
    <n v="3"/>
    <n v="49.5"/>
    <m/>
    <m/>
    <m/>
    <m/>
  </r>
  <r>
    <x v="6"/>
    <x v="26"/>
    <s v="S12000027"/>
    <n v="10"/>
    <n v="101.75"/>
    <m/>
    <m/>
    <m/>
    <m/>
    <m/>
    <m/>
  </r>
  <r>
    <x v="6"/>
    <x v="27"/>
    <s v="S12000028"/>
    <n v="120"/>
    <n v="791.75"/>
    <n v="2"/>
    <n v="7.75"/>
    <m/>
    <m/>
    <m/>
    <m/>
  </r>
  <r>
    <x v="6"/>
    <x v="28"/>
    <s v="S12000029"/>
    <n v="141"/>
    <n v="1621"/>
    <n v="4"/>
    <n v="64.75"/>
    <m/>
    <m/>
    <m/>
    <m/>
  </r>
  <r>
    <x v="6"/>
    <x v="29"/>
    <s v="S12000030"/>
    <n v="74"/>
    <n v="377.5"/>
    <n v="6"/>
    <n v="138.5"/>
    <n v="1"/>
    <n v="54.5"/>
    <m/>
    <m/>
  </r>
  <r>
    <x v="6"/>
    <x v="30"/>
    <s v="S12000039"/>
    <n v="28"/>
    <n v="102.5"/>
    <m/>
    <m/>
    <m/>
    <m/>
    <m/>
    <m/>
  </r>
  <r>
    <x v="6"/>
    <x v="31"/>
    <s v="S12000040"/>
    <n v="86"/>
    <n v="305.5"/>
    <m/>
    <m/>
    <m/>
    <m/>
    <m/>
    <m/>
  </r>
  <r>
    <x v="7"/>
    <x v="0"/>
    <s v="S12000033"/>
    <n v="308"/>
    <n v="1977.5"/>
    <n v="7"/>
    <n v="69"/>
    <n v="1"/>
    <n v="11.5"/>
    <n v="1"/>
    <n v="1.25"/>
  </r>
  <r>
    <x v="7"/>
    <x v="1"/>
    <s v="S12000034"/>
    <n v="183"/>
    <n v="1899.75"/>
    <n v="3"/>
    <n v="48.5"/>
    <m/>
    <m/>
    <m/>
    <m/>
  </r>
  <r>
    <x v="7"/>
    <x v="2"/>
    <s v="S12000041"/>
    <n v="124"/>
    <n v="657"/>
    <m/>
    <m/>
    <m/>
    <m/>
    <m/>
    <m/>
  </r>
  <r>
    <x v="7"/>
    <x v="3"/>
    <s v="S12000035"/>
    <n v="173"/>
    <n v="911.75"/>
    <n v="16"/>
    <n v="148.75"/>
    <m/>
    <m/>
    <m/>
    <m/>
  </r>
  <r>
    <x v="7"/>
    <x v="4"/>
    <s v="S12000036"/>
    <n v="692"/>
    <n v="3146.25"/>
    <n v="18"/>
    <n v="259.5"/>
    <m/>
    <m/>
    <n v="1"/>
    <n v="13"/>
  </r>
  <r>
    <x v="7"/>
    <x v="5"/>
    <s v="S12000005"/>
    <n v="39"/>
    <n v="237.25"/>
    <n v="2"/>
    <n v="16.25"/>
    <m/>
    <m/>
    <m/>
    <m/>
  </r>
  <r>
    <x v="7"/>
    <x v="6"/>
    <s v="S12000006"/>
    <n v="140"/>
    <n v="836.25"/>
    <n v="1"/>
    <n v="6.25"/>
    <m/>
    <m/>
    <m/>
    <m/>
  </r>
  <r>
    <x v="7"/>
    <x v="7"/>
    <s v="S12000042"/>
    <n v="267"/>
    <n v="1285.25"/>
    <n v="4"/>
    <n v="39.25"/>
    <m/>
    <m/>
    <n v="1"/>
    <n v="7.5"/>
  </r>
  <r>
    <x v="7"/>
    <x v="8"/>
    <s v="S12000008"/>
    <n v="110"/>
    <n v="650"/>
    <m/>
    <m/>
    <m/>
    <m/>
    <m/>
    <m/>
  </r>
  <r>
    <x v="7"/>
    <x v="9"/>
    <s v="S12000045"/>
    <n v="67"/>
    <n v="330.5"/>
    <n v="5"/>
    <n v="29.25"/>
    <m/>
    <m/>
    <m/>
    <m/>
  </r>
  <r>
    <x v="7"/>
    <x v="10"/>
    <s v="S12000010"/>
    <n v="97"/>
    <n v="604.5"/>
    <n v="9"/>
    <n v="188.25"/>
    <n v="2"/>
    <n v="70.75"/>
    <m/>
    <m/>
  </r>
  <r>
    <x v="7"/>
    <x v="11"/>
    <s v="S12000011"/>
    <n v="23"/>
    <n v="152"/>
    <m/>
    <m/>
    <m/>
    <m/>
    <m/>
    <m/>
  </r>
  <r>
    <x v="7"/>
    <x v="12"/>
    <s v="S12000014"/>
    <n v="107"/>
    <n v="523"/>
    <n v="5"/>
    <n v="53.5"/>
    <m/>
    <m/>
    <m/>
    <m/>
  </r>
  <r>
    <x v="7"/>
    <x v="13"/>
    <s v="S12000015"/>
    <n v="365"/>
    <n v="1707.75"/>
    <n v="5"/>
    <n v="90.25"/>
    <m/>
    <m/>
    <n v="3"/>
    <n v="16.25"/>
  </r>
  <r>
    <x v="7"/>
    <x v="14"/>
    <s v="S12000046"/>
    <n v="1003"/>
    <n v="4540"/>
    <n v="42"/>
    <n v="236"/>
    <n v="1"/>
    <n v="22.75"/>
    <n v="1"/>
    <n v="8"/>
  </r>
  <r>
    <x v="7"/>
    <x v="15"/>
    <s v="S12000017"/>
    <n v="182"/>
    <n v="1196.25"/>
    <n v="25"/>
    <n v="340.25"/>
    <m/>
    <m/>
    <n v="1"/>
    <n v="3"/>
  </r>
  <r>
    <x v="7"/>
    <x v="16"/>
    <s v="S12000018"/>
    <n v="43"/>
    <n v="225.75"/>
    <m/>
    <m/>
    <m/>
    <m/>
    <m/>
    <m/>
  </r>
  <r>
    <x v="7"/>
    <x v="17"/>
    <s v="S12000019"/>
    <n v="83"/>
    <n v="501"/>
    <n v="5"/>
    <n v="92.25"/>
    <n v="1"/>
    <n v="65"/>
    <m/>
    <m/>
  </r>
  <r>
    <x v="7"/>
    <x v="18"/>
    <s v="S12000020"/>
    <n v="56"/>
    <n v="597.75"/>
    <n v="3"/>
    <n v="53.75"/>
    <m/>
    <m/>
    <m/>
    <m/>
  </r>
  <r>
    <x v="7"/>
    <x v="32"/>
    <s v="S12000013"/>
    <n v="4"/>
    <n v="16"/>
    <m/>
    <m/>
    <m/>
    <m/>
    <m/>
    <m/>
  </r>
  <r>
    <x v="7"/>
    <x v="20"/>
    <s v="S12000021"/>
    <n v="151"/>
    <n v="1309.75"/>
    <n v="2"/>
    <n v="43"/>
    <m/>
    <m/>
    <m/>
    <m/>
  </r>
  <r>
    <x v="7"/>
    <x v="21"/>
    <s v="S12000044"/>
    <n v="179"/>
    <n v="630.25"/>
    <n v="6"/>
    <n v="30"/>
    <m/>
    <m/>
    <m/>
    <m/>
  </r>
  <r>
    <x v="7"/>
    <x v="22"/>
    <s v="S12000023"/>
    <n v="15"/>
    <n v="208.5"/>
    <m/>
    <m/>
    <m/>
    <m/>
    <m/>
    <m/>
  </r>
  <r>
    <x v="7"/>
    <x v="23"/>
    <s v="S12000024"/>
    <n v="146"/>
    <n v="838.5"/>
    <m/>
    <m/>
    <m/>
    <m/>
    <m/>
    <m/>
  </r>
  <r>
    <x v="7"/>
    <x v="24"/>
    <s v="S12000038"/>
    <n v="94"/>
    <n v="625"/>
    <n v="1"/>
    <n v="6.25"/>
    <m/>
    <m/>
    <m/>
    <m/>
  </r>
  <r>
    <x v="7"/>
    <x v="25"/>
    <s v="S12000026"/>
    <n v="97"/>
    <n v="537.5"/>
    <n v="4"/>
    <n v="43.5"/>
    <m/>
    <m/>
    <m/>
    <m/>
  </r>
  <r>
    <x v="7"/>
    <x v="26"/>
    <s v="S12000027"/>
    <n v="36"/>
    <n v="322"/>
    <n v="1"/>
    <n v="4.75"/>
    <m/>
    <m/>
    <m/>
    <m/>
  </r>
  <r>
    <x v="7"/>
    <x v="27"/>
    <s v="S12000028"/>
    <n v="150"/>
    <n v="1427.75"/>
    <n v="4"/>
    <n v="48.75"/>
    <m/>
    <m/>
    <m/>
    <m/>
  </r>
  <r>
    <x v="7"/>
    <x v="28"/>
    <s v="S12000029"/>
    <n v="156"/>
    <n v="1502.5"/>
    <n v="9"/>
    <n v="137.25"/>
    <m/>
    <m/>
    <m/>
    <m/>
  </r>
  <r>
    <x v="7"/>
    <x v="29"/>
    <s v="S12000030"/>
    <n v="171"/>
    <n v="815.25"/>
    <n v="4"/>
    <n v="42.75"/>
    <m/>
    <m/>
    <m/>
    <m/>
  </r>
  <r>
    <x v="7"/>
    <x v="30"/>
    <s v="S12000039"/>
    <n v="67"/>
    <n v="251.75"/>
    <n v="2"/>
    <n v="9.75"/>
    <m/>
    <m/>
    <m/>
    <m/>
  </r>
  <r>
    <x v="7"/>
    <x v="31"/>
    <s v="S12000040"/>
    <n v="174"/>
    <n v="634"/>
    <n v="3"/>
    <n v="14.75"/>
    <m/>
    <m/>
    <m/>
    <m/>
  </r>
  <r>
    <x v="8"/>
    <x v="0"/>
    <s v="S12000033"/>
    <n v="350"/>
    <n v="2702.5"/>
    <n v="7"/>
    <n v="130.75"/>
    <m/>
    <m/>
    <m/>
    <m/>
  </r>
  <r>
    <x v="8"/>
    <x v="1"/>
    <s v="S12000034"/>
    <n v="421"/>
    <n v="3511"/>
    <n v="8"/>
    <n v="130.75"/>
    <m/>
    <m/>
    <m/>
    <m/>
  </r>
  <r>
    <x v="8"/>
    <x v="2"/>
    <s v="S12000041"/>
    <n v="104"/>
    <n v="594"/>
    <n v="1"/>
    <n v="3.25"/>
    <m/>
    <m/>
    <m/>
    <m/>
  </r>
  <r>
    <x v="8"/>
    <x v="3"/>
    <s v="S12000035"/>
    <n v="357"/>
    <n v="1988.5"/>
    <n v="22"/>
    <n v="418.25"/>
    <m/>
    <m/>
    <m/>
    <m/>
  </r>
  <r>
    <x v="8"/>
    <x v="4"/>
    <s v="S12000036"/>
    <n v="536"/>
    <n v="2521"/>
    <n v="28"/>
    <n v="135"/>
    <m/>
    <m/>
    <n v="2"/>
    <n v="8"/>
  </r>
  <r>
    <x v="8"/>
    <x v="5"/>
    <s v="S12000005"/>
    <n v="26"/>
    <n v="147.75"/>
    <n v="1"/>
    <n v="8.25"/>
    <m/>
    <m/>
    <m/>
    <m/>
  </r>
  <r>
    <x v="8"/>
    <x v="6"/>
    <s v="S12000006"/>
    <n v="361"/>
    <n v="2301"/>
    <n v="4"/>
    <n v="41.75"/>
    <m/>
    <m/>
    <m/>
    <m/>
  </r>
  <r>
    <x v="8"/>
    <x v="7"/>
    <s v="S12000042"/>
    <n v="249"/>
    <n v="1316.5"/>
    <n v="2"/>
    <n v="54.75"/>
    <m/>
    <m/>
    <m/>
    <m/>
  </r>
  <r>
    <x v="8"/>
    <x v="8"/>
    <s v="S12000008"/>
    <n v="146"/>
    <n v="706"/>
    <n v="4"/>
    <n v="42.5"/>
    <m/>
    <m/>
    <m/>
    <m/>
  </r>
  <r>
    <x v="8"/>
    <x v="9"/>
    <s v="S12000045"/>
    <n v="51"/>
    <n v="265.25"/>
    <n v="2"/>
    <n v="13.5"/>
    <m/>
    <m/>
    <m/>
    <m/>
  </r>
  <r>
    <x v="8"/>
    <x v="10"/>
    <s v="S12000010"/>
    <n v="116"/>
    <n v="695"/>
    <n v="3"/>
    <n v="32"/>
    <m/>
    <m/>
    <m/>
    <m/>
  </r>
  <r>
    <x v="8"/>
    <x v="11"/>
    <s v="S12000011"/>
    <n v="49"/>
    <n v="290.5"/>
    <m/>
    <m/>
    <m/>
    <m/>
    <m/>
    <m/>
  </r>
  <r>
    <x v="8"/>
    <x v="12"/>
    <s v="S12000014"/>
    <n v="88"/>
    <n v="450"/>
    <n v="3"/>
    <n v="17"/>
    <m/>
    <m/>
    <m/>
    <m/>
  </r>
  <r>
    <x v="8"/>
    <x v="13"/>
    <s v="S12000015"/>
    <n v="311"/>
    <n v="1554.25"/>
    <n v="2"/>
    <n v="22"/>
    <m/>
    <m/>
    <m/>
    <m/>
  </r>
  <r>
    <x v="8"/>
    <x v="14"/>
    <s v="S12000046"/>
    <n v="1019"/>
    <n v="5074.75"/>
    <n v="92"/>
    <n v="844"/>
    <m/>
    <m/>
    <n v="1"/>
    <n v="18"/>
  </r>
  <r>
    <x v="8"/>
    <x v="15"/>
    <s v="S12000017"/>
    <n v="224"/>
    <n v="1608.5"/>
    <n v="18"/>
    <n v="340"/>
    <m/>
    <m/>
    <m/>
    <m/>
  </r>
  <r>
    <x v="8"/>
    <x v="16"/>
    <s v="S12000018"/>
    <n v="73"/>
    <n v="511.75"/>
    <m/>
    <m/>
    <m/>
    <m/>
    <m/>
    <m/>
  </r>
  <r>
    <x v="8"/>
    <x v="17"/>
    <s v="S12000019"/>
    <n v="79"/>
    <n v="480"/>
    <n v="8"/>
    <n v="73.25"/>
    <m/>
    <m/>
    <m/>
    <m/>
  </r>
  <r>
    <x v="8"/>
    <x v="18"/>
    <s v="S12000020"/>
    <n v="139"/>
    <n v="1163"/>
    <n v="12"/>
    <n v="258.25"/>
    <m/>
    <m/>
    <m/>
    <m/>
  </r>
  <r>
    <x v="8"/>
    <x v="19"/>
    <s v="S12000013"/>
    <n v="32"/>
    <n v="144.75"/>
    <n v="2"/>
    <n v="12.5"/>
    <m/>
    <m/>
    <m/>
    <m/>
  </r>
  <r>
    <x v="8"/>
    <x v="20"/>
    <s v="S12000021"/>
    <n v="263"/>
    <n v="2036.75"/>
    <n v="8"/>
    <n v="119.5"/>
    <m/>
    <m/>
    <m/>
    <m/>
  </r>
  <r>
    <x v="8"/>
    <x v="21"/>
    <s v="S12000044"/>
    <n v="192"/>
    <n v="860"/>
    <n v="5"/>
    <n v="26.75"/>
    <m/>
    <m/>
    <m/>
    <m/>
  </r>
  <r>
    <x v="8"/>
    <x v="22"/>
    <s v="S12000023"/>
    <n v="8"/>
    <n v="46.5"/>
    <n v="1"/>
    <n v="12.75"/>
    <m/>
    <m/>
    <m/>
    <m/>
  </r>
  <r>
    <x v="8"/>
    <x v="23"/>
    <s v="S12000024"/>
    <n v="136"/>
    <n v="605.5"/>
    <n v="2"/>
    <n v="51"/>
    <m/>
    <m/>
    <m/>
    <m/>
  </r>
  <r>
    <x v="8"/>
    <x v="24"/>
    <s v="S12000038"/>
    <n v="187"/>
    <n v="947.75"/>
    <n v="3"/>
    <n v="24.5"/>
    <m/>
    <m/>
    <n v="1"/>
    <n v="11"/>
  </r>
  <r>
    <x v="8"/>
    <x v="25"/>
    <s v="S12000026"/>
    <n v="146"/>
    <n v="914"/>
    <n v="3"/>
    <n v="35"/>
    <m/>
    <m/>
    <m/>
    <m/>
  </r>
  <r>
    <x v="8"/>
    <x v="26"/>
    <s v="S12000027"/>
    <n v="64"/>
    <n v="447.25"/>
    <n v="2"/>
    <n v="2.25"/>
    <m/>
    <m/>
    <m/>
    <m/>
  </r>
  <r>
    <x v="8"/>
    <x v="27"/>
    <s v="S12000028"/>
    <n v="223"/>
    <n v="1582.75"/>
    <n v="17"/>
    <n v="265.5"/>
    <n v="2"/>
    <n v="98.25"/>
    <n v="1"/>
    <n v="15.5"/>
  </r>
  <r>
    <x v="8"/>
    <x v="28"/>
    <s v="S12000029"/>
    <n v="223"/>
    <n v="1791.75"/>
    <n v="15"/>
    <n v="195.5"/>
    <m/>
    <m/>
    <m/>
    <m/>
  </r>
  <r>
    <x v="8"/>
    <x v="29"/>
    <s v="S12000030"/>
    <n v="109"/>
    <n v="503"/>
    <n v="1"/>
    <n v="44.5"/>
    <m/>
    <m/>
    <m/>
    <m/>
  </r>
  <r>
    <x v="8"/>
    <x v="30"/>
    <s v="S12000039"/>
    <n v="41"/>
    <n v="221.25"/>
    <n v="2"/>
    <n v="20"/>
    <m/>
    <m/>
    <m/>
    <m/>
  </r>
  <r>
    <x v="8"/>
    <x v="31"/>
    <s v="S12000040"/>
    <n v="109"/>
    <n v="544"/>
    <n v="2"/>
    <n v="10"/>
    <m/>
    <m/>
    <m/>
    <m/>
  </r>
  <r>
    <x v="9"/>
    <x v="0"/>
    <s v="S12000033"/>
    <n v="343"/>
    <n v="2507.25"/>
    <n v="5"/>
    <n v="108.25"/>
    <m/>
    <m/>
    <m/>
    <m/>
  </r>
  <r>
    <x v="9"/>
    <x v="1"/>
    <s v="S12000034"/>
    <n v="323"/>
    <n v="2267"/>
    <n v="10"/>
    <n v="183"/>
    <m/>
    <m/>
    <m/>
    <m/>
  </r>
  <r>
    <x v="9"/>
    <x v="2"/>
    <s v="S12000041"/>
    <n v="101"/>
    <n v="520.5"/>
    <n v="2"/>
    <n v="23.75"/>
    <m/>
    <m/>
    <m/>
    <m/>
  </r>
  <r>
    <x v="9"/>
    <x v="3"/>
    <s v="S12000035"/>
    <n v="457"/>
    <n v="2465.75"/>
    <n v="24"/>
    <n v="236.5"/>
    <m/>
    <m/>
    <m/>
    <m/>
  </r>
  <r>
    <x v="9"/>
    <x v="4"/>
    <s v="S12000036"/>
    <n v="595"/>
    <n v="3046.75"/>
    <n v="53"/>
    <n v="553.5"/>
    <n v="1"/>
    <n v="30.25"/>
    <n v="1"/>
    <m/>
  </r>
  <r>
    <x v="9"/>
    <x v="5"/>
    <s v="S12000005"/>
    <n v="24"/>
    <n v="154.75"/>
    <n v="1"/>
    <n v="4.75"/>
    <m/>
    <m/>
    <m/>
    <m/>
  </r>
  <r>
    <x v="9"/>
    <x v="6"/>
    <s v="S12000006"/>
    <n v="387"/>
    <n v="2392.25"/>
    <n v="2"/>
    <n v="24.75"/>
    <m/>
    <m/>
    <n v="2"/>
    <n v="7.25"/>
  </r>
  <r>
    <x v="9"/>
    <x v="7"/>
    <s v="S12000042"/>
    <n v="320"/>
    <n v="1517"/>
    <n v="8"/>
    <n v="49.5"/>
    <m/>
    <m/>
    <m/>
    <m/>
  </r>
  <r>
    <x v="9"/>
    <x v="8"/>
    <s v="S12000008"/>
    <n v="173"/>
    <n v="738.5"/>
    <n v="10"/>
    <n v="84"/>
    <m/>
    <m/>
    <n v="1"/>
    <n v="57.25"/>
  </r>
  <r>
    <x v="9"/>
    <x v="9"/>
    <s v="S12000045"/>
    <n v="56"/>
    <n v="313.75"/>
    <n v="7"/>
    <n v="49.5"/>
    <m/>
    <m/>
    <m/>
    <m/>
  </r>
  <r>
    <x v="9"/>
    <x v="10"/>
    <s v="S12000010"/>
    <n v="110"/>
    <n v="654.5"/>
    <n v="7"/>
    <n v="111.75"/>
    <n v="1"/>
    <n v="73.25"/>
    <n v="3"/>
    <n v="35"/>
  </r>
  <r>
    <x v="9"/>
    <x v="11"/>
    <s v="S12000011"/>
    <n v="53"/>
    <n v="261.5"/>
    <n v="1"/>
    <n v="5.5"/>
    <m/>
    <m/>
    <m/>
    <m/>
  </r>
  <r>
    <x v="9"/>
    <x v="12"/>
    <s v="S12000014"/>
    <n v="121"/>
    <n v="721.75"/>
    <n v="1"/>
    <n v="33"/>
    <m/>
    <m/>
    <m/>
    <m/>
  </r>
  <r>
    <x v="9"/>
    <x v="13"/>
    <s v="S12000015"/>
    <n v="365"/>
    <n v="2189"/>
    <n v="11"/>
    <n v="118.5"/>
    <m/>
    <m/>
    <n v="1"/>
    <n v="4"/>
  </r>
  <r>
    <x v="9"/>
    <x v="14"/>
    <s v="S12000046"/>
    <n v="879"/>
    <n v="4383.5"/>
    <n v="35"/>
    <n v="318.5"/>
    <n v="1"/>
    <n v="25"/>
    <n v="1"/>
    <m/>
  </r>
  <r>
    <x v="9"/>
    <x v="15"/>
    <s v="S12000017"/>
    <n v="348"/>
    <n v="2388.75"/>
    <n v="14"/>
    <n v="500.25"/>
    <m/>
    <m/>
    <n v="2"/>
    <n v="108.75"/>
  </r>
  <r>
    <x v="9"/>
    <x v="16"/>
    <s v="S12000018"/>
    <n v="88"/>
    <n v="492"/>
    <n v="3"/>
    <n v="41.5"/>
    <m/>
    <m/>
    <m/>
    <m/>
  </r>
  <r>
    <x v="9"/>
    <x v="17"/>
    <s v="S12000019"/>
    <n v="126"/>
    <n v="829"/>
    <n v="6"/>
    <n v="40"/>
    <m/>
    <m/>
    <m/>
    <m/>
  </r>
  <r>
    <x v="9"/>
    <x v="18"/>
    <s v="S12000020"/>
    <n v="116"/>
    <n v="902"/>
    <n v="9"/>
    <n v="198.5"/>
    <m/>
    <m/>
    <m/>
    <m/>
  </r>
  <r>
    <x v="9"/>
    <x v="19"/>
    <s v="S12000013"/>
    <n v="33"/>
    <n v="186.75"/>
    <n v="1"/>
    <n v="12.25"/>
    <m/>
    <m/>
    <m/>
    <m/>
  </r>
  <r>
    <x v="9"/>
    <x v="20"/>
    <s v="S12000021"/>
    <n v="251"/>
    <n v="1773.5"/>
    <n v="8"/>
    <n v="169.25"/>
    <n v="1"/>
    <n v="19.25"/>
    <n v="1"/>
    <n v="78"/>
  </r>
  <r>
    <x v="9"/>
    <x v="21"/>
    <s v="S12000044"/>
    <n v="423"/>
    <n v="1918.25"/>
    <n v="8"/>
    <n v="61.75"/>
    <m/>
    <m/>
    <m/>
    <m/>
  </r>
  <r>
    <x v="9"/>
    <x v="22"/>
    <s v="S12000023"/>
    <n v="23"/>
    <n v="129.75"/>
    <n v="1"/>
    <n v="11.75"/>
    <m/>
    <m/>
    <m/>
    <m/>
  </r>
  <r>
    <x v="9"/>
    <x v="23"/>
    <s v="S12000024"/>
    <n v="226"/>
    <n v="1168.25"/>
    <n v="3"/>
    <n v="20.5"/>
    <m/>
    <m/>
    <m/>
    <m/>
  </r>
  <r>
    <x v="9"/>
    <x v="24"/>
    <s v="S12000038"/>
    <n v="194"/>
    <n v="1054.5"/>
    <n v="4"/>
    <n v="52.75"/>
    <m/>
    <m/>
    <m/>
    <m/>
  </r>
  <r>
    <x v="9"/>
    <x v="25"/>
    <s v="S12000026"/>
    <n v="146"/>
    <n v="737.5"/>
    <n v="14"/>
    <n v="142.75"/>
    <m/>
    <m/>
    <m/>
    <m/>
  </r>
  <r>
    <x v="9"/>
    <x v="26"/>
    <s v="S12000027"/>
    <n v="64"/>
    <n v="426.25"/>
    <n v="7"/>
    <n v="73.5"/>
    <m/>
    <m/>
    <m/>
    <m/>
  </r>
  <r>
    <x v="9"/>
    <x v="27"/>
    <s v="S12000028"/>
    <n v="243"/>
    <n v="1766"/>
    <n v="14"/>
    <n v="268.5"/>
    <m/>
    <m/>
    <m/>
    <m/>
  </r>
  <r>
    <x v="9"/>
    <x v="28"/>
    <s v="S12000029"/>
    <n v="365"/>
    <n v="2863.75"/>
    <n v="13"/>
    <n v="181"/>
    <m/>
    <m/>
    <m/>
    <m/>
  </r>
  <r>
    <x v="9"/>
    <x v="29"/>
    <s v="S12000030"/>
    <n v="92"/>
    <n v="504.5"/>
    <n v="3"/>
    <n v="83.5"/>
    <n v="1"/>
    <n v="67"/>
    <m/>
    <m/>
  </r>
  <r>
    <x v="9"/>
    <x v="30"/>
    <s v="S12000039"/>
    <n v="122"/>
    <n v="571.25"/>
    <n v="7"/>
    <n v="68.5"/>
    <m/>
    <m/>
    <m/>
    <m/>
  </r>
  <r>
    <x v="9"/>
    <x v="31"/>
    <s v="S12000040"/>
    <n v="195"/>
    <n v="974.5"/>
    <m/>
    <m/>
    <m/>
    <m/>
    <m/>
    <m/>
  </r>
</pivotCacheRecords>
</file>

<file path=xl/pivotCache/pivotCacheRecords6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4">
  <r>
    <x v="0"/>
    <x v="0"/>
    <s v="S12000005"/>
    <x v="0"/>
    <n v="43"/>
    <n v="0"/>
    <n v="0"/>
    <n v="9"/>
    <n v="30"/>
    <n v="0"/>
    <n v="0"/>
    <n v="4"/>
  </r>
  <r>
    <x v="0"/>
    <x v="0"/>
    <s v="S12000006"/>
    <x v="1"/>
    <n v="69"/>
    <n v="0"/>
    <n v="0"/>
    <n v="11"/>
    <n v="53"/>
    <n v="0"/>
    <n v="0"/>
    <n v="5"/>
  </r>
  <r>
    <x v="0"/>
    <x v="0"/>
    <s v="S12000008"/>
    <x v="2"/>
    <n v="59"/>
    <n v="0"/>
    <n v="0"/>
    <n v="11"/>
    <n v="40"/>
    <n v="0"/>
    <n v="0"/>
    <n v="8"/>
  </r>
  <r>
    <x v="0"/>
    <x v="0"/>
    <s v="S12000010"/>
    <x v="3"/>
    <n v="29"/>
    <n v="0"/>
    <n v="0"/>
    <n v="5"/>
    <n v="21"/>
    <n v="0"/>
    <n v="0"/>
    <n v="3"/>
  </r>
  <r>
    <x v="0"/>
    <x v="0"/>
    <s v="S12000011"/>
    <x v="4"/>
    <n v="59"/>
    <n v="0"/>
    <n v="0"/>
    <n v="14"/>
    <n v="34"/>
    <n v="0"/>
    <n v="0"/>
    <n v="11"/>
  </r>
  <r>
    <x v="0"/>
    <x v="0"/>
    <s v="S12000013"/>
    <x v="5"/>
    <n v="0"/>
    <n v="0"/>
    <n v="0"/>
    <n v="0"/>
    <n v="0"/>
    <n v="0"/>
    <n v="0"/>
    <n v="0"/>
  </r>
  <r>
    <x v="0"/>
    <x v="0"/>
    <s v="S12000014"/>
    <x v="6"/>
    <n v="96"/>
    <n v="0"/>
    <n v="0"/>
    <n v="18"/>
    <n v="65"/>
    <n v="0"/>
    <n v="1"/>
    <n v="12"/>
  </r>
  <r>
    <x v="0"/>
    <x v="0"/>
    <s v="S12000017"/>
    <x v="7"/>
    <n v="81"/>
    <n v="0"/>
    <n v="0"/>
    <n v="9"/>
    <n v="60"/>
    <n v="0"/>
    <n v="2"/>
    <n v="10"/>
  </r>
  <r>
    <x v="0"/>
    <x v="0"/>
    <s v="S12000018"/>
    <x v="8"/>
    <n v="78"/>
    <n v="0"/>
    <n v="0"/>
    <n v="18"/>
    <n v="49"/>
    <n v="0"/>
    <n v="0"/>
    <n v="11"/>
  </r>
  <r>
    <x v="0"/>
    <x v="0"/>
    <s v="S12000019"/>
    <x v="9"/>
    <n v="35"/>
    <n v="0"/>
    <n v="0"/>
    <n v="4"/>
    <n v="26"/>
    <n v="0"/>
    <n v="0"/>
    <n v="5"/>
  </r>
  <r>
    <x v="0"/>
    <x v="0"/>
    <s v="S12000020"/>
    <x v="10"/>
    <n v="20"/>
    <n v="0"/>
    <n v="0"/>
    <n v="2"/>
    <n v="15"/>
    <n v="0"/>
    <n v="0"/>
    <n v="3"/>
  </r>
  <r>
    <x v="0"/>
    <x v="0"/>
    <s v="S12000021"/>
    <x v="11"/>
    <n v="76"/>
    <n v="0"/>
    <n v="0"/>
    <n v="13"/>
    <n v="50"/>
    <n v="0"/>
    <n v="0"/>
    <n v="13"/>
  </r>
  <r>
    <x v="0"/>
    <x v="0"/>
    <s v="S12000023"/>
    <x v="12"/>
    <n v="0"/>
    <n v="0"/>
    <n v="0"/>
    <n v="0"/>
    <n v="0"/>
    <n v="0"/>
    <n v="0"/>
    <n v="0"/>
  </r>
  <r>
    <x v="0"/>
    <x v="0"/>
    <s v="S12000024"/>
    <x v="13"/>
    <n v="88"/>
    <n v="0"/>
    <n v="0"/>
    <n v="14"/>
    <n v="61"/>
    <n v="0"/>
    <n v="2"/>
    <n v="11"/>
  </r>
  <r>
    <x v="0"/>
    <x v="0"/>
    <s v="S12000026"/>
    <x v="14"/>
    <n v="75"/>
    <n v="0"/>
    <n v="0"/>
    <n v="11"/>
    <n v="54"/>
    <n v="0"/>
    <n v="0"/>
    <n v="10"/>
  </r>
  <r>
    <x v="0"/>
    <x v="0"/>
    <s v="S12000027"/>
    <x v="15"/>
    <n v="0"/>
    <n v="0"/>
    <n v="0"/>
    <n v="0"/>
    <n v="0"/>
    <n v="0"/>
    <n v="0"/>
    <n v="0"/>
  </r>
  <r>
    <x v="0"/>
    <x v="0"/>
    <s v="S12000028"/>
    <x v="16"/>
    <n v="65"/>
    <n v="0"/>
    <n v="0"/>
    <n v="10"/>
    <n v="47"/>
    <n v="0"/>
    <n v="0"/>
    <n v="8"/>
  </r>
  <r>
    <x v="0"/>
    <x v="0"/>
    <s v="S12000029"/>
    <x v="17"/>
    <n v="190"/>
    <n v="0"/>
    <n v="0"/>
    <n v="33"/>
    <n v="129"/>
    <n v="0"/>
    <n v="2"/>
    <n v="26"/>
  </r>
  <r>
    <x v="0"/>
    <x v="0"/>
    <s v="S12000030"/>
    <x v="18"/>
    <n v="61.76"/>
    <n v="0"/>
    <n v="0"/>
    <n v="10"/>
    <n v="41.76"/>
    <n v="0"/>
    <n v="0"/>
    <n v="10"/>
  </r>
  <r>
    <x v="0"/>
    <x v="0"/>
    <s v="S12000033"/>
    <x v="19"/>
    <n v="174"/>
    <n v="0"/>
    <n v="0"/>
    <n v="24"/>
    <n v="128"/>
    <n v="0"/>
    <n v="0"/>
    <n v="22"/>
  </r>
  <r>
    <x v="0"/>
    <x v="0"/>
    <s v="S12000034"/>
    <x v="20"/>
    <n v="23"/>
    <n v="0"/>
    <n v="0"/>
    <n v="3"/>
    <n v="16"/>
    <n v="0"/>
    <n v="0"/>
    <n v="4"/>
  </r>
  <r>
    <x v="0"/>
    <x v="0"/>
    <s v="S12000035"/>
    <x v="21"/>
    <n v="58"/>
    <n v="0"/>
    <n v="0"/>
    <n v="10"/>
    <n v="31"/>
    <n v="0"/>
    <n v="2"/>
    <n v="15"/>
  </r>
  <r>
    <x v="0"/>
    <x v="0"/>
    <s v="S12000036"/>
    <x v="22"/>
    <n v="370"/>
    <n v="0"/>
    <n v="0"/>
    <n v="70"/>
    <n v="275"/>
    <n v="0"/>
    <n v="0"/>
    <n v="25"/>
  </r>
  <r>
    <x v="0"/>
    <x v="0"/>
    <s v="S12000038"/>
    <x v="23"/>
    <n v="116"/>
    <n v="0"/>
    <n v="0"/>
    <n v="22"/>
    <n v="74"/>
    <n v="0"/>
    <n v="1"/>
    <n v="19"/>
  </r>
  <r>
    <x v="0"/>
    <x v="0"/>
    <s v="S12000039"/>
    <x v="24"/>
    <n v="80"/>
    <n v="0"/>
    <n v="0"/>
    <n v="18"/>
    <n v="52"/>
    <n v="0"/>
    <n v="0"/>
    <n v="10"/>
  </r>
  <r>
    <x v="0"/>
    <x v="0"/>
    <s v="S12000040"/>
    <x v="25"/>
    <n v="85"/>
    <n v="0"/>
    <n v="0"/>
    <n v="14"/>
    <n v="61"/>
    <n v="0"/>
    <n v="0"/>
    <n v="10"/>
  </r>
  <r>
    <x v="0"/>
    <x v="0"/>
    <s v="S12000041"/>
    <x v="26"/>
    <n v="35"/>
    <n v="0"/>
    <n v="0"/>
    <n v="0"/>
    <n v="25"/>
    <n v="0"/>
    <n v="1"/>
    <n v="9"/>
  </r>
  <r>
    <x v="0"/>
    <x v="0"/>
    <s v="S12000042"/>
    <x v="27"/>
    <n v="215"/>
    <n v="0"/>
    <n v="0"/>
    <n v="29"/>
    <n v="162"/>
    <n v="0"/>
    <n v="1"/>
    <n v="23"/>
  </r>
  <r>
    <x v="0"/>
    <x v="0"/>
    <s v="S12000044"/>
    <x v="28"/>
    <n v="188"/>
    <n v="0"/>
    <n v="0"/>
    <n v="34"/>
    <n v="129"/>
    <n v="0"/>
    <n v="1"/>
    <n v="24"/>
  </r>
  <r>
    <x v="0"/>
    <x v="0"/>
    <s v="S12000045"/>
    <x v="29"/>
    <n v="74"/>
    <n v="0"/>
    <n v="0"/>
    <n v="15"/>
    <n v="45"/>
    <n v="0"/>
    <n v="0"/>
    <n v="14"/>
  </r>
  <r>
    <x v="0"/>
    <x v="0"/>
    <s v="S12000046"/>
    <x v="30"/>
    <n v="560"/>
    <n v="0"/>
    <n v="0"/>
    <n v="119"/>
    <n v="373"/>
    <n v="0"/>
    <n v="0"/>
    <n v="68"/>
  </r>
  <r>
    <x v="0"/>
    <x v="0"/>
    <s v="S12000047"/>
    <x v="31"/>
    <n v="289"/>
    <n v="0"/>
    <n v="0"/>
    <n v="58"/>
    <n v="208"/>
    <n v="0"/>
    <n v="0"/>
    <n v="23"/>
  </r>
  <r>
    <x v="0"/>
    <x v="1"/>
    <s v="S39000001"/>
    <x v="19"/>
    <n v="23"/>
    <n v="1"/>
    <n v="0"/>
    <n v="0"/>
    <n v="1"/>
    <n v="7"/>
    <n v="6"/>
    <n v="8"/>
  </r>
  <r>
    <x v="0"/>
    <x v="1"/>
    <s v="S39000002"/>
    <x v="32"/>
    <n v="15"/>
    <n v="1"/>
    <n v="0"/>
    <n v="0"/>
    <n v="0"/>
    <n v="2"/>
    <n v="4"/>
    <n v="8"/>
  </r>
  <r>
    <x v="0"/>
    <x v="1"/>
    <s v="S39000003"/>
    <x v="33"/>
    <n v="22"/>
    <n v="1"/>
    <n v="0"/>
    <n v="1"/>
    <n v="1"/>
    <n v="3"/>
    <n v="6"/>
    <n v="10"/>
  </r>
  <r>
    <x v="0"/>
    <x v="1"/>
    <s v="S39000004"/>
    <x v="1"/>
    <n v="16"/>
    <n v="0"/>
    <n v="0"/>
    <n v="0"/>
    <n v="0"/>
    <n v="2"/>
    <n v="5"/>
    <n v="9"/>
  </r>
  <r>
    <x v="0"/>
    <x v="1"/>
    <s v="S39000006"/>
    <x v="34"/>
    <n v="21"/>
    <n v="1"/>
    <n v="0"/>
    <n v="0"/>
    <n v="5"/>
    <n v="7"/>
    <n v="0"/>
    <n v="8"/>
  </r>
  <r>
    <x v="0"/>
    <x v="1"/>
    <s v="S39000007"/>
    <x v="35"/>
    <n v="12"/>
    <n v="1"/>
    <n v="0"/>
    <n v="0"/>
    <n v="1"/>
    <n v="3"/>
    <n v="5"/>
    <n v="2"/>
  </r>
  <r>
    <x v="0"/>
    <x v="1"/>
    <s v="S39000008"/>
    <x v="36"/>
    <n v="23"/>
    <n v="1"/>
    <n v="0"/>
    <n v="0"/>
    <n v="0"/>
    <n v="9"/>
    <n v="7"/>
    <n v="6"/>
  </r>
  <r>
    <x v="0"/>
    <x v="1"/>
    <s v="S39000009"/>
    <x v="37"/>
    <n v="26"/>
    <n v="2"/>
    <n v="0"/>
    <n v="3"/>
    <n v="2"/>
    <n v="9"/>
    <n v="3"/>
    <n v="7"/>
  </r>
  <r>
    <x v="0"/>
    <x v="1"/>
    <s v="S39000010"/>
    <x v="38"/>
    <n v="13"/>
    <n v="1"/>
    <n v="0"/>
    <n v="0"/>
    <n v="2"/>
    <n v="2"/>
    <n v="2"/>
    <n v="6"/>
  </r>
  <r>
    <x v="0"/>
    <x v="1"/>
    <s v="S39000012"/>
    <x v="30"/>
    <n v="28"/>
    <n v="1"/>
    <n v="0"/>
    <n v="0"/>
    <n v="3"/>
    <n v="4"/>
    <n v="10"/>
    <n v="10"/>
  </r>
  <r>
    <x v="0"/>
    <x v="1"/>
    <s v="S39000013"/>
    <x v="39"/>
    <n v="13"/>
    <n v="1"/>
    <n v="0"/>
    <n v="0"/>
    <n v="0"/>
    <n v="4"/>
    <n v="7"/>
    <n v="1"/>
  </r>
  <r>
    <x v="0"/>
    <x v="1"/>
    <s v="S39000014"/>
    <x v="28"/>
    <n v="14"/>
    <n v="1"/>
    <n v="0"/>
    <n v="1"/>
    <n v="0"/>
    <n v="2"/>
    <n v="6"/>
    <n v="4"/>
  </r>
  <r>
    <x v="0"/>
    <x v="1"/>
    <s v="S39000015"/>
    <x v="17"/>
    <n v="10"/>
    <n v="1"/>
    <n v="0"/>
    <n v="0"/>
    <n v="0"/>
    <n v="3"/>
    <n v="4"/>
    <n v="2"/>
  </r>
  <r>
    <x v="0"/>
    <x v="1"/>
    <s v="S39000016"/>
    <x v="40"/>
    <n v="8"/>
    <n v="1"/>
    <n v="0"/>
    <n v="0"/>
    <n v="0"/>
    <n v="3"/>
    <n v="4"/>
    <n v="0"/>
  </r>
  <r>
    <x v="0"/>
    <x v="1"/>
    <s v="S39000017"/>
    <x v="41"/>
    <n v="9"/>
    <n v="1"/>
    <n v="0"/>
    <n v="0"/>
    <n v="0"/>
    <n v="3"/>
    <n v="5"/>
    <n v="0"/>
  </r>
  <r>
    <x v="0"/>
    <x v="1"/>
    <s v="S39000018"/>
    <x v="42"/>
    <n v="11"/>
    <n v="1"/>
    <n v="0"/>
    <n v="0"/>
    <n v="0"/>
    <n v="3"/>
    <n v="5"/>
    <n v="2"/>
  </r>
  <r>
    <x v="0"/>
    <x v="1"/>
    <s v="S39000019"/>
    <x v="31"/>
    <n v="21"/>
    <n v="1"/>
    <n v="0"/>
    <n v="0"/>
    <n v="0"/>
    <n v="3"/>
    <n v="6"/>
    <n v="11"/>
  </r>
  <r>
    <x v="0"/>
    <x v="2"/>
    <s v="S40000003"/>
    <x v="43"/>
    <n v="111"/>
    <n v="3"/>
    <n v="1"/>
    <n v="8"/>
    <n v="0"/>
    <n v="12"/>
    <n v="8"/>
    <n v="79"/>
  </r>
  <r>
    <x v="0"/>
    <x v="2"/>
    <s v="S40000004"/>
    <x v="44"/>
    <n v="80"/>
    <n v="1"/>
    <n v="1"/>
    <n v="8"/>
    <n v="3"/>
    <n v="3"/>
    <n v="15"/>
    <n v="49"/>
  </r>
  <r>
    <x v="0"/>
    <x v="2"/>
    <s v="S40000005"/>
    <x v="45"/>
    <n v="77"/>
    <n v="2"/>
    <n v="1"/>
    <n v="24"/>
    <n v="1"/>
    <n v="9"/>
    <n v="10"/>
    <n v="30"/>
  </r>
  <r>
    <x v="0"/>
    <x v="3"/>
    <s v="S92000003"/>
    <x v="46"/>
    <n v="56"/>
    <n v="5"/>
    <n v="6"/>
    <n v="7"/>
    <n v="0"/>
    <n v="22"/>
    <n v="5"/>
    <n v="11"/>
  </r>
  <r>
    <x v="0"/>
    <x v="4"/>
    <s v="S92000003"/>
    <x v="46"/>
    <n v="4000.76"/>
    <n v="28"/>
    <n v="9"/>
    <n v="660"/>
    <n v="2373.7600000000002"/>
    <n v="115"/>
    <n v="136"/>
    <n v="679"/>
  </r>
  <r>
    <x v="1"/>
    <x v="0"/>
    <s v="S12000005"/>
    <x v="0"/>
    <n v="37"/>
    <m/>
    <m/>
    <n v="8"/>
    <n v="25"/>
    <m/>
    <n v="0"/>
    <n v="4"/>
  </r>
  <r>
    <x v="1"/>
    <x v="0"/>
    <s v="S12000006"/>
    <x v="1"/>
    <n v="69"/>
    <m/>
    <m/>
    <n v="11"/>
    <n v="52"/>
    <m/>
    <n v="0"/>
    <n v="6"/>
  </r>
  <r>
    <x v="1"/>
    <x v="0"/>
    <s v="S12000008"/>
    <x v="2"/>
    <n v="56"/>
    <m/>
    <m/>
    <n v="9"/>
    <n v="39"/>
    <m/>
    <n v="0"/>
    <n v="8"/>
  </r>
  <r>
    <x v="1"/>
    <x v="0"/>
    <s v="S12000010"/>
    <x v="3"/>
    <n v="28"/>
    <m/>
    <m/>
    <n v="3"/>
    <n v="21"/>
    <m/>
    <n v="0"/>
    <n v="4"/>
  </r>
  <r>
    <x v="1"/>
    <x v="0"/>
    <s v="S12000011"/>
    <x v="4"/>
    <n v="57"/>
    <m/>
    <m/>
    <n v="13"/>
    <n v="35"/>
    <m/>
    <n v="0"/>
    <n v="9"/>
  </r>
  <r>
    <x v="1"/>
    <x v="0"/>
    <s v="S12000013"/>
    <x v="5"/>
    <n v="0"/>
    <m/>
    <m/>
    <n v="0"/>
    <n v="0"/>
    <m/>
    <n v="0"/>
    <n v="0"/>
  </r>
  <r>
    <x v="1"/>
    <x v="0"/>
    <s v="S12000014"/>
    <x v="6"/>
    <n v="94"/>
    <m/>
    <m/>
    <n v="17"/>
    <n v="60"/>
    <m/>
    <n v="2"/>
    <n v="15"/>
  </r>
  <r>
    <x v="1"/>
    <x v="0"/>
    <s v="S12000017"/>
    <x v="7"/>
    <n v="81"/>
    <m/>
    <m/>
    <n v="11"/>
    <n v="57"/>
    <m/>
    <n v="1"/>
    <n v="12"/>
  </r>
  <r>
    <x v="1"/>
    <x v="0"/>
    <s v="S12000018"/>
    <x v="8"/>
    <n v="77"/>
    <m/>
    <m/>
    <n v="16"/>
    <n v="49"/>
    <m/>
    <n v="0"/>
    <n v="12"/>
  </r>
  <r>
    <x v="1"/>
    <x v="0"/>
    <s v="S12000019"/>
    <x v="9"/>
    <n v="35"/>
    <m/>
    <m/>
    <n v="4"/>
    <n v="26"/>
    <m/>
    <n v="0"/>
    <n v="5"/>
  </r>
  <r>
    <x v="1"/>
    <x v="0"/>
    <s v="S12000020"/>
    <x v="10"/>
    <n v="21"/>
    <m/>
    <m/>
    <n v="3"/>
    <n v="14"/>
    <m/>
    <n v="0"/>
    <n v="4"/>
  </r>
  <r>
    <x v="1"/>
    <x v="0"/>
    <s v="S12000021"/>
    <x v="11"/>
    <n v="78"/>
    <m/>
    <m/>
    <n v="14"/>
    <n v="50"/>
    <m/>
    <n v="0"/>
    <n v="14"/>
  </r>
  <r>
    <x v="1"/>
    <x v="0"/>
    <s v="S12000023"/>
    <x v="12"/>
    <n v="0"/>
    <m/>
    <m/>
    <n v="0"/>
    <n v="0"/>
    <m/>
    <n v="0"/>
    <n v="0"/>
  </r>
  <r>
    <x v="1"/>
    <x v="0"/>
    <s v="S12000024"/>
    <x v="13"/>
    <n v="86"/>
    <m/>
    <m/>
    <n v="16"/>
    <n v="58"/>
    <m/>
    <n v="1"/>
    <n v="11"/>
  </r>
  <r>
    <x v="1"/>
    <x v="0"/>
    <s v="S12000026"/>
    <x v="14"/>
    <n v="73"/>
    <m/>
    <m/>
    <n v="11"/>
    <n v="51"/>
    <m/>
    <n v="0"/>
    <n v="11"/>
  </r>
  <r>
    <x v="1"/>
    <x v="0"/>
    <s v="S12000027"/>
    <x v="15"/>
    <n v="0"/>
    <m/>
    <m/>
    <n v="0"/>
    <n v="0"/>
    <m/>
    <n v="0"/>
    <n v="0"/>
  </r>
  <r>
    <x v="1"/>
    <x v="0"/>
    <s v="S12000028"/>
    <x v="16"/>
    <n v="60"/>
    <m/>
    <m/>
    <n v="9"/>
    <n v="43"/>
    <m/>
    <n v="0"/>
    <n v="8"/>
  </r>
  <r>
    <x v="1"/>
    <x v="0"/>
    <s v="S12000029"/>
    <x v="17"/>
    <n v="187"/>
    <m/>
    <m/>
    <n v="35"/>
    <n v="126"/>
    <m/>
    <n v="2"/>
    <n v="24"/>
  </r>
  <r>
    <x v="1"/>
    <x v="0"/>
    <s v="S12000030"/>
    <x v="18"/>
    <n v="55"/>
    <m/>
    <m/>
    <n v="10"/>
    <n v="37"/>
    <m/>
    <n v="0"/>
    <n v="8"/>
  </r>
  <r>
    <x v="1"/>
    <x v="0"/>
    <s v="S12000033"/>
    <x v="19"/>
    <n v="173"/>
    <m/>
    <m/>
    <n v="25"/>
    <n v="122"/>
    <m/>
    <n v="0"/>
    <n v="26"/>
  </r>
  <r>
    <x v="1"/>
    <x v="0"/>
    <s v="S12000034"/>
    <x v="20"/>
    <n v="23"/>
    <m/>
    <m/>
    <n v="3"/>
    <n v="18"/>
    <m/>
    <n v="0"/>
    <n v="2"/>
  </r>
  <r>
    <x v="1"/>
    <x v="0"/>
    <s v="S12000035"/>
    <x v="21"/>
    <n v="54"/>
    <m/>
    <m/>
    <n v="10"/>
    <n v="27"/>
    <m/>
    <n v="2"/>
    <n v="15"/>
  </r>
  <r>
    <x v="1"/>
    <x v="0"/>
    <s v="S12000036"/>
    <x v="22"/>
    <n v="348"/>
    <m/>
    <m/>
    <n v="64"/>
    <n v="257"/>
    <m/>
    <n v="1"/>
    <n v="26"/>
  </r>
  <r>
    <x v="1"/>
    <x v="0"/>
    <s v="S12000038"/>
    <x v="23"/>
    <n v="115"/>
    <m/>
    <m/>
    <n v="23"/>
    <n v="72"/>
    <m/>
    <n v="0"/>
    <n v="20"/>
  </r>
  <r>
    <x v="1"/>
    <x v="0"/>
    <s v="S12000039"/>
    <x v="24"/>
    <n v="74"/>
    <m/>
    <m/>
    <n v="20"/>
    <n v="45"/>
    <m/>
    <n v="0"/>
    <n v="9"/>
  </r>
  <r>
    <x v="1"/>
    <x v="0"/>
    <s v="S12000040"/>
    <x v="25"/>
    <n v="79"/>
    <m/>
    <m/>
    <n v="9"/>
    <n v="59"/>
    <m/>
    <n v="1"/>
    <n v="10"/>
  </r>
  <r>
    <x v="1"/>
    <x v="0"/>
    <s v="S12000041"/>
    <x v="26"/>
    <n v="27"/>
    <m/>
    <m/>
    <n v="0"/>
    <n v="22"/>
    <m/>
    <n v="1"/>
    <n v="4"/>
  </r>
  <r>
    <x v="1"/>
    <x v="0"/>
    <s v="S12000042"/>
    <x v="27"/>
    <n v="207"/>
    <m/>
    <m/>
    <n v="27"/>
    <n v="158"/>
    <m/>
    <n v="1"/>
    <n v="21"/>
  </r>
  <r>
    <x v="1"/>
    <x v="0"/>
    <s v="S12000044"/>
    <x v="28"/>
    <n v="187"/>
    <m/>
    <m/>
    <n v="37"/>
    <n v="125"/>
    <m/>
    <n v="1"/>
    <n v="24"/>
  </r>
  <r>
    <x v="1"/>
    <x v="0"/>
    <s v="S12000045"/>
    <x v="29"/>
    <n v="72"/>
    <m/>
    <m/>
    <n v="14"/>
    <n v="44"/>
    <m/>
    <n v="0"/>
    <n v="14"/>
  </r>
  <r>
    <x v="1"/>
    <x v="0"/>
    <s v="S12000046"/>
    <x v="30"/>
    <n v="544"/>
    <m/>
    <m/>
    <n v="116"/>
    <n v="362"/>
    <m/>
    <n v="1"/>
    <n v="65"/>
  </r>
  <r>
    <x v="1"/>
    <x v="0"/>
    <s v="S12000047"/>
    <x v="31"/>
    <n v="288"/>
    <m/>
    <m/>
    <n v="54"/>
    <n v="209"/>
    <m/>
    <n v="0"/>
    <n v="25"/>
  </r>
  <r>
    <x v="1"/>
    <x v="1"/>
    <s v="S39000001"/>
    <x v="19"/>
    <n v="18"/>
    <n v="1"/>
    <m/>
    <n v="0"/>
    <n v="0"/>
    <n v="3"/>
    <n v="7"/>
    <n v="7"/>
  </r>
  <r>
    <x v="1"/>
    <x v="1"/>
    <s v="S39000002"/>
    <x v="32"/>
    <n v="18"/>
    <n v="1"/>
    <m/>
    <n v="0"/>
    <n v="2"/>
    <n v="1"/>
    <n v="4"/>
    <n v="10"/>
  </r>
  <r>
    <x v="1"/>
    <x v="1"/>
    <s v="S39000003"/>
    <x v="33"/>
    <n v="21"/>
    <n v="1"/>
    <m/>
    <n v="0"/>
    <n v="1"/>
    <n v="7"/>
    <n v="5"/>
    <n v="7"/>
  </r>
  <r>
    <x v="1"/>
    <x v="1"/>
    <s v="S39000004"/>
    <x v="1"/>
    <n v="18"/>
    <n v="0"/>
    <m/>
    <n v="0"/>
    <n v="1"/>
    <n v="2"/>
    <n v="5"/>
    <n v="10"/>
  </r>
  <r>
    <x v="1"/>
    <x v="1"/>
    <s v="S39000006"/>
    <x v="34"/>
    <n v="20"/>
    <n v="1"/>
    <m/>
    <n v="0"/>
    <n v="0"/>
    <n v="7"/>
    <n v="7"/>
    <n v="5"/>
  </r>
  <r>
    <x v="1"/>
    <x v="1"/>
    <s v="S39000007"/>
    <x v="35"/>
    <n v="17"/>
    <n v="1"/>
    <m/>
    <n v="0"/>
    <n v="4"/>
    <n v="5"/>
    <n v="1"/>
    <n v="6"/>
  </r>
  <r>
    <x v="1"/>
    <x v="1"/>
    <s v="S39000008"/>
    <x v="36"/>
    <n v="12"/>
    <n v="1"/>
    <m/>
    <n v="0"/>
    <n v="0"/>
    <n v="3"/>
    <n v="5"/>
    <n v="3"/>
  </r>
  <r>
    <x v="1"/>
    <x v="1"/>
    <s v="S39000009"/>
    <x v="37"/>
    <n v="24"/>
    <n v="2"/>
    <m/>
    <n v="2"/>
    <n v="2"/>
    <n v="8"/>
    <n v="4"/>
    <n v="6"/>
  </r>
  <r>
    <x v="1"/>
    <x v="1"/>
    <s v="S39000010"/>
    <x v="38"/>
    <n v="13"/>
    <n v="1"/>
    <m/>
    <n v="0"/>
    <n v="1"/>
    <n v="3"/>
    <n v="3"/>
    <n v="5"/>
  </r>
  <r>
    <x v="1"/>
    <x v="1"/>
    <s v="S39000012"/>
    <x v="30"/>
    <n v="25"/>
    <n v="1"/>
    <m/>
    <n v="1"/>
    <n v="2"/>
    <n v="4"/>
    <n v="8"/>
    <n v="9"/>
  </r>
  <r>
    <x v="1"/>
    <x v="1"/>
    <s v="S39000013"/>
    <x v="39"/>
    <n v="13"/>
    <n v="1"/>
    <m/>
    <n v="0"/>
    <n v="0"/>
    <n v="6"/>
    <n v="5"/>
    <n v="1"/>
  </r>
  <r>
    <x v="1"/>
    <x v="1"/>
    <s v="S39000014"/>
    <x v="28"/>
    <n v="16"/>
    <n v="2"/>
    <m/>
    <n v="1"/>
    <n v="1"/>
    <n v="3"/>
    <n v="5"/>
    <n v="4"/>
  </r>
  <r>
    <x v="1"/>
    <x v="1"/>
    <s v="S39000015"/>
    <x v="17"/>
    <n v="10"/>
    <n v="1"/>
    <m/>
    <n v="0"/>
    <n v="0"/>
    <n v="4"/>
    <n v="2"/>
    <n v="3"/>
  </r>
  <r>
    <x v="1"/>
    <x v="1"/>
    <s v="S39000016"/>
    <x v="40"/>
    <n v="5"/>
    <n v="0"/>
    <m/>
    <n v="0"/>
    <n v="0"/>
    <n v="1"/>
    <n v="4"/>
    <n v="0"/>
  </r>
  <r>
    <x v="1"/>
    <x v="1"/>
    <s v="S39000017"/>
    <x v="41"/>
    <n v="7"/>
    <n v="1"/>
    <m/>
    <n v="0"/>
    <n v="0"/>
    <n v="3"/>
    <n v="3"/>
    <n v="0"/>
  </r>
  <r>
    <x v="1"/>
    <x v="1"/>
    <s v="S39000018"/>
    <x v="42"/>
    <n v="12"/>
    <n v="1"/>
    <m/>
    <n v="0"/>
    <n v="0"/>
    <n v="3"/>
    <n v="5"/>
    <n v="3"/>
  </r>
  <r>
    <x v="1"/>
    <x v="1"/>
    <s v="S39000019"/>
    <x v="31"/>
    <n v="21"/>
    <n v="2"/>
    <m/>
    <n v="0"/>
    <n v="0"/>
    <n v="2"/>
    <n v="6"/>
    <n v="11"/>
  </r>
  <r>
    <x v="1"/>
    <x v="2"/>
    <s v="S40000003"/>
    <x v="43"/>
    <n v="105"/>
    <n v="2"/>
    <m/>
    <n v="9"/>
    <n v="0"/>
    <n v="15"/>
    <n v="4"/>
    <n v="75"/>
  </r>
  <r>
    <x v="1"/>
    <x v="2"/>
    <s v="S40000004"/>
    <x v="44"/>
    <n v="78"/>
    <n v="1"/>
    <m/>
    <n v="4"/>
    <n v="6"/>
    <n v="4"/>
    <n v="17"/>
    <n v="46"/>
  </r>
  <r>
    <x v="1"/>
    <x v="2"/>
    <s v="S40000005"/>
    <x v="45"/>
    <n v="66"/>
    <n v="1"/>
    <m/>
    <n v="21"/>
    <n v="1"/>
    <n v="7"/>
    <n v="10"/>
    <n v="26"/>
  </r>
  <r>
    <x v="1"/>
    <x v="3"/>
    <s v="S92000003"/>
    <x v="46"/>
    <n v="52"/>
    <n v="11"/>
    <n v="7"/>
    <n v="4"/>
    <n v="1"/>
    <n v="12"/>
    <n v="6"/>
    <n v="11"/>
  </r>
  <r>
    <x v="1"/>
    <x v="4"/>
    <s v="S92000003"/>
    <x v="46"/>
    <n v="3856"/>
    <n v="33"/>
    <n v="7"/>
    <n v="634"/>
    <n v="2285"/>
    <n v="103"/>
    <n v="130"/>
    <n v="664"/>
  </r>
  <r>
    <x v="2"/>
    <x v="0"/>
    <s v="S12000005"/>
    <x v="0"/>
    <n v="26"/>
    <m/>
    <m/>
    <n v="5"/>
    <n v="17"/>
    <m/>
    <n v="0"/>
    <n v="4"/>
  </r>
  <r>
    <x v="2"/>
    <x v="0"/>
    <s v="S12000006"/>
    <x v="1"/>
    <n v="65"/>
    <m/>
    <m/>
    <n v="14"/>
    <n v="48"/>
    <m/>
    <n v="0"/>
    <n v="3"/>
  </r>
  <r>
    <x v="2"/>
    <x v="0"/>
    <s v="S12000008"/>
    <x v="2"/>
    <n v="53"/>
    <m/>
    <m/>
    <n v="7"/>
    <n v="41"/>
    <m/>
    <n v="0"/>
    <n v="5"/>
  </r>
  <r>
    <x v="2"/>
    <x v="0"/>
    <s v="S12000010"/>
    <x v="3"/>
    <n v="27"/>
    <m/>
    <m/>
    <n v="4"/>
    <n v="19"/>
    <m/>
    <n v="0"/>
    <n v="4"/>
  </r>
  <r>
    <x v="2"/>
    <x v="0"/>
    <s v="S12000011"/>
    <x v="4"/>
    <n v="53"/>
    <m/>
    <m/>
    <n v="10"/>
    <n v="34"/>
    <m/>
    <n v="0"/>
    <n v="9"/>
  </r>
  <r>
    <x v="2"/>
    <x v="0"/>
    <s v="S12000013"/>
    <x v="5"/>
    <n v="95"/>
    <m/>
    <m/>
    <n v="17"/>
    <n v="66"/>
    <m/>
    <n v="0"/>
    <n v="12"/>
  </r>
  <r>
    <x v="2"/>
    <x v="0"/>
    <s v="S12000014"/>
    <x v="6"/>
    <n v="277.07499999999999"/>
    <m/>
    <m/>
    <n v="47"/>
    <n v="210.07499999999999"/>
    <m/>
    <n v="0"/>
    <n v="20"/>
  </r>
  <r>
    <x v="2"/>
    <x v="0"/>
    <s v="S12000017"/>
    <x v="7"/>
    <n v="70"/>
    <m/>
    <m/>
    <n v="12"/>
    <n v="48"/>
    <m/>
    <n v="1"/>
    <n v="9"/>
  </r>
  <r>
    <x v="2"/>
    <x v="0"/>
    <s v="S12000018"/>
    <x v="8"/>
    <n v="23"/>
    <m/>
    <m/>
    <n v="4"/>
    <n v="16"/>
    <m/>
    <n v="0"/>
    <n v="3"/>
  </r>
  <r>
    <x v="2"/>
    <x v="0"/>
    <s v="S12000019"/>
    <x v="9"/>
    <n v="31"/>
    <m/>
    <m/>
    <n v="5"/>
    <n v="21"/>
    <m/>
    <n v="0"/>
    <n v="5"/>
  </r>
  <r>
    <x v="2"/>
    <x v="0"/>
    <s v="S12000020"/>
    <x v="10"/>
    <n v="0"/>
    <m/>
    <m/>
    <n v="0"/>
    <n v="0"/>
    <m/>
    <n v="0"/>
    <n v="0"/>
  </r>
  <r>
    <x v="2"/>
    <x v="0"/>
    <s v="S12000021"/>
    <x v="11"/>
    <n v="75.095238095238102"/>
    <m/>
    <m/>
    <n v="13.095238095238095"/>
    <n v="50"/>
    <m/>
    <n v="0"/>
    <n v="12"/>
  </r>
  <r>
    <x v="2"/>
    <x v="0"/>
    <s v="S12000023"/>
    <x v="12"/>
    <n v="0"/>
    <m/>
    <m/>
    <n v="0"/>
    <n v="0"/>
    <m/>
    <n v="0"/>
    <n v="0"/>
  </r>
  <r>
    <x v="2"/>
    <x v="0"/>
    <s v="S12000024"/>
    <x v="13"/>
    <n v="72.75"/>
    <m/>
    <m/>
    <n v="13"/>
    <n v="55.75"/>
    <m/>
    <n v="0"/>
    <n v="4"/>
  </r>
  <r>
    <x v="2"/>
    <x v="0"/>
    <s v="S12000026"/>
    <x v="14"/>
    <n v="69.075000000000003"/>
    <m/>
    <m/>
    <n v="12"/>
    <n v="48.075000000000003"/>
    <m/>
    <n v="0"/>
    <n v="9"/>
  </r>
  <r>
    <x v="2"/>
    <x v="0"/>
    <s v="S12000027"/>
    <x v="15"/>
    <n v="0"/>
    <m/>
    <m/>
    <n v="0"/>
    <n v="0"/>
    <m/>
    <n v="0"/>
    <n v="0"/>
  </r>
  <r>
    <x v="2"/>
    <x v="0"/>
    <s v="S12000028"/>
    <x v="16"/>
    <n v="55"/>
    <m/>
    <m/>
    <n v="10"/>
    <n v="40"/>
    <m/>
    <n v="0"/>
    <n v="5"/>
  </r>
  <r>
    <x v="2"/>
    <x v="0"/>
    <s v="S12000029"/>
    <x v="17"/>
    <n v="178"/>
    <m/>
    <m/>
    <n v="28"/>
    <n v="132"/>
    <m/>
    <n v="0"/>
    <n v="18"/>
  </r>
  <r>
    <x v="2"/>
    <x v="0"/>
    <s v="S12000030"/>
    <x v="18"/>
    <n v="51"/>
    <m/>
    <m/>
    <n v="9"/>
    <n v="40"/>
    <m/>
    <n v="0"/>
    <n v="2"/>
  </r>
  <r>
    <x v="2"/>
    <x v="0"/>
    <s v="S12000033"/>
    <x v="19"/>
    <n v="142"/>
    <m/>
    <m/>
    <n v="22"/>
    <n v="107"/>
    <m/>
    <n v="0"/>
    <n v="13"/>
  </r>
  <r>
    <x v="2"/>
    <x v="0"/>
    <s v="S12000034"/>
    <x v="20"/>
    <n v="32"/>
    <m/>
    <m/>
    <n v="6"/>
    <n v="22"/>
    <m/>
    <n v="0"/>
    <n v="4"/>
  </r>
  <r>
    <x v="2"/>
    <x v="0"/>
    <s v="S12000035"/>
    <x v="21"/>
    <n v="55"/>
    <m/>
    <m/>
    <n v="8"/>
    <n v="37"/>
    <m/>
    <n v="0"/>
    <n v="10"/>
  </r>
  <r>
    <x v="2"/>
    <x v="0"/>
    <s v="S12000036"/>
    <x v="22"/>
    <n v="315"/>
    <m/>
    <m/>
    <n v="48"/>
    <n v="248"/>
    <m/>
    <n v="0"/>
    <n v="19"/>
  </r>
  <r>
    <x v="2"/>
    <x v="0"/>
    <s v="S12000038"/>
    <x v="23"/>
    <n v="92"/>
    <m/>
    <m/>
    <n v="15"/>
    <n v="62"/>
    <m/>
    <n v="0"/>
    <n v="15"/>
  </r>
  <r>
    <x v="2"/>
    <x v="0"/>
    <s v="S12000039"/>
    <x v="24"/>
    <n v="70"/>
    <m/>
    <m/>
    <n v="11"/>
    <n v="49"/>
    <m/>
    <n v="0"/>
    <n v="10"/>
  </r>
  <r>
    <x v="2"/>
    <x v="0"/>
    <s v="S12000040"/>
    <x v="25"/>
    <n v="61"/>
    <m/>
    <m/>
    <n v="9"/>
    <n v="44"/>
    <m/>
    <n v="0"/>
    <n v="8"/>
  </r>
  <r>
    <x v="2"/>
    <x v="0"/>
    <s v="S12000041"/>
    <x v="26"/>
    <n v="36"/>
    <m/>
    <m/>
    <n v="8"/>
    <n v="25"/>
    <m/>
    <n v="0"/>
    <n v="3"/>
  </r>
  <r>
    <x v="2"/>
    <x v="0"/>
    <s v="S12000042"/>
    <x v="27"/>
    <n v="176"/>
    <m/>
    <m/>
    <n v="26"/>
    <n v="135"/>
    <m/>
    <n v="1"/>
    <n v="14"/>
  </r>
  <r>
    <x v="2"/>
    <x v="0"/>
    <s v="S12000044"/>
    <x v="28"/>
    <n v="179.75"/>
    <m/>
    <m/>
    <n v="27.75"/>
    <n v="136"/>
    <m/>
    <n v="0"/>
    <n v="16"/>
  </r>
  <r>
    <x v="2"/>
    <x v="0"/>
    <s v="S12000045"/>
    <x v="29"/>
    <n v="70"/>
    <m/>
    <m/>
    <n v="9"/>
    <n v="46"/>
    <m/>
    <n v="0"/>
    <n v="15"/>
  </r>
  <r>
    <x v="2"/>
    <x v="0"/>
    <s v="S12000046"/>
    <x v="30"/>
    <n v="68"/>
    <m/>
    <m/>
    <n v="11"/>
    <n v="53"/>
    <m/>
    <n v="0"/>
    <n v="4"/>
  </r>
  <r>
    <x v="2"/>
    <x v="0"/>
    <s v="S12000047"/>
    <x v="31"/>
    <n v="498.15952380952382"/>
    <m/>
    <m/>
    <n v="98.5"/>
    <n v="350"/>
    <m/>
    <n v="0"/>
    <n v="49.659523809523812"/>
  </r>
  <r>
    <x v="2"/>
    <x v="1"/>
    <s v="S39000001"/>
    <x v="19"/>
    <n v="16"/>
    <n v="1"/>
    <m/>
    <n v="0"/>
    <n v="3"/>
    <n v="3"/>
    <n v="2"/>
    <n v="7"/>
  </r>
  <r>
    <x v="2"/>
    <x v="1"/>
    <s v="S39000002"/>
    <x v="32"/>
    <n v="27"/>
    <n v="1"/>
    <m/>
    <n v="7"/>
    <n v="1"/>
    <n v="2"/>
    <n v="6"/>
    <n v="10"/>
  </r>
  <r>
    <x v="2"/>
    <x v="1"/>
    <s v="S39000003"/>
    <x v="33"/>
    <n v="25"/>
    <n v="1"/>
    <m/>
    <n v="2"/>
    <n v="4"/>
    <n v="5"/>
    <n v="7"/>
    <n v="6"/>
  </r>
  <r>
    <x v="2"/>
    <x v="1"/>
    <s v="S39000004"/>
    <x v="1"/>
    <n v="19"/>
    <n v="0"/>
    <m/>
    <n v="0"/>
    <n v="2"/>
    <n v="2"/>
    <n v="5"/>
    <n v="10"/>
  </r>
  <r>
    <x v="2"/>
    <x v="1"/>
    <s v="S39000006"/>
    <x v="34"/>
    <n v="28.885714285714286"/>
    <n v="1"/>
    <m/>
    <n v="4"/>
    <n v="1.8857142857142857"/>
    <n v="6"/>
    <n v="7"/>
    <n v="9"/>
  </r>
  <r>
    <x v="2"/>
    <x v="1"/>
    <s v="S39000007"/>
    <x v="35"/>
    <n v="38"/>
    <n v="1"/>
    <m/>
    <n v="10"/>
    <n v="5"/>
    <n v="5"/>
    <n v="6"/>
    <n v="11"/>
  </r>
  <r>
    <x v="2"/>
    <x v="1"/>
    <s v="S39000008"/>
    <x v="36"/>
    <n v="17"/>
    <n v="1"/>
    <m/>
    <n v="1"/>
    <n v="3"/>
    <n v="2"/>
    <n v="3"/>
    <n v="7"/>
  </r>
  <r>
    <x v="2"/>
    <x v="1"/>
    <s v="S39000009"/>
    <x v="37"/>
    <n v="27"/>
    <n v="0"/>
    <m/>
    <n v="5"/>
    <n v="4"/>
    <n v="7"/>
    <n v="2"/>
    <n v="9"/>
  </r>
  <r>
    <x v="2"/>
    <x v="1"/>
    <s v="S39000010"/>
    <x v="38"/>
    <n v="25"/>
    <n v="1"/>
    <m/>
    <n v="1"/>
    <n v="2"/>
    <n v="2"/>
    <n v="3"/>
    <n v="16"/>
  </r>
  <r>
    <x v="2"/>
    <x v="1"/>
    <s v="S39000012"/>
    <x v="30"/>
    <n v="31.659523809523812"/>
    <n v="1"/>
    <m/>
    <n v="1"/>
    <n v="2"/>
    <n v="5"/>
    <n v="8"/>
    <n v="14.65952380952381"/>
  </r>
  <r>
    <x v="2"/>
    <x v="1"/>
    <s v="S39000013"/>
    <x v="39"/>
    <n v="29"/>
    <n v="1"/>
    <m/>
    <n v="7"/>
    <n v="0"/>
    <n v="6"/>
    <n v="8"/>
    <n v="7"/>
  </r>
  <r>
    <x v="2"/>
    <x v="1"/>
    <s v="S39000014"/>
    <x v="28"/>
    <n v="20"/>
    <n v="1"/>
    <m/>
    <n v="3"/>
    <n v="0"/>
    <n v="3"/>
    <n v="4"/>
    <n v="9"/>
  </r>
  <r>
    <x v="2"/>
    <x v="1"/>
    <s v="S39000015"/>
    <x v="17"/>
    <n v="16"/>
    <n v="1"/>
    <m/>
    <n v="3"/>
    <n v="1"/>
    <n v="3"/>
    <n v="5"/>
    <n v="3"/>
  </r>
  <r>
    <x v="2"/>
    <x v="1"/>
    <s v="S39000016"/>
    <x v="40"/>
    <n v="13"/>
    <n v="0"/>
    <m/>
    <n v="2"/>
    <n v="1"/>
    <n v="2"/>
    <n v="5"/>
    <n v="3"/>
  </r>
  <r>
    <x v="2"/>
    <x v="1"/>
    <s v="S39000017"/>
    <x v="41"/>
    <n v="11"/>
    <n v="1"/>
    <m/>
    <n v="1"/>
    <n v="0"/>
    <n v="3"/>
    <n v="5"/>
    <n v="1"/>
  </r>
  <r>
    <x v="2"/>
    <x v="1"/>
    <s v="S39000018"/>
    <x v="42"/>
    <n v="24"/>
    <n v="1"/>
    <m/>
    <n v="0"/>
    <n v="1"/>
    <n v="4"/>
    <n v="10"/>
    <n v="8"/>
  </r>
  <r>
    <x v="2"/>
    <x v="1"/>
    <s v="S39000019"/>
    <x v="31"/>
    <n v="26"/>
    <n v="1"/>
    <m/>
    <n v="3"/>
    <n v="4"/>
    <n v="2"/>
    <n v="5"/>
    <n v="11"/>
  </r>
  <r>
    <x v="2"/>
    <x v="2"/>
    <s v="S40000003"/>
    <x v="43"/>
    <n v="16"/>
    <n v="1"/>
    <m/>
    <n v="3"/>
    <n v="0"/>
    <n v="5"/>
    <n v="3"/>
    <n v="4"/>
  </r>
  <r>
    <x v="2"/>
    <x v="2"/>
    <s v="S40000004"/>
    <x v="44"/>
    <n v="25"/>
    <n v="1"/>
    <m/>
    <n v="2"/>
    <n v="0"/>
    <n v="2"/>
    <n v="3"/>
    <n v="17"/>
  </r>
  <r>
    <x v="2"/>
    <x v="2"/>
    <s v="S40000005"/>
    <x v="45"/>
    <n v="44"/>
    <n v="1"/>
    <m/>
    <n v="8"/>
    <n v="0"/>
    <n v="2"/>
    <n v="8"/>
    <n v="25"/>
  </r>
  <r>
    <x v="2"/>
    <x v="3"/>
    <s v="S92000003"/>
    <x v="46"/>
    <n v="195"/>
    <n v="18"/>
    <n v="10"/>
    <n v="26"/>
    <n v="16"/>
    <n v="19"/>
    <n v="19"/>
    <n v="93"/>
  </r>
  <r>
    <x v="2"/>
    <x v="4"/>
    <s v="S92000003"/>
    <x v="46"/>
    <n v="3690"/>
    <n v="35"/>
    <n v="4"/>
    <n v="598.34523809523807"/>
    <n v="2250.7857142857142"/>
    <n v="90"/>
    <n v="126"/>
    <n v="585.31904761904764"/>
  </r>
  <r>
    <x v="3"/>
    <x v="0"/>
    <s v="S12000005"/>
    <x v="0"/>
    <n v="22"/>
    <n v="0"/>
    <n v="0"/>
    <n v="4"/>
    <n v="14"/>
    <n v="0"/>
    <n v="0"/>
    <n v="4"/>
  </r>
  <r>
    <x v="3"/>
    <x v="0"/>
    <s v="S12000006"/>
    <x v="1"/>
    <n v="63"/>
    <n v="0"/>
    <n v="0"/>
    <n v="11"/>
    <n v="48"/>
    <n v="0"/>
    <n v="0"/>
    <n v="4"/>
  </r>
  <r>
    <x v="3"/>
    <x v="0"/>
    <s v="S12000008"/>
    <x v="2"/>
    <n v="46"/>
    <n v="0"/>
    <n v="0"/>
    <n v="9"/>
    <n v="32"/>
    <n v="0"/>
    <n v="0"/>
    <n v="5"/>
  </r>
  <r>
    <x v="3"/>
    <x v="0"/>
    <s v="S12000010"/>
    <x v="3"/>
    <n v="27"/>
    <n v="0"/>
    <n v="0"/>
    <n v="4"/>
    <n v="19"/>
    <n v="0"/>
    <n v="0"/>
    <n v="4"/>
  </r>
  <r>
    <x v="3"/>
    <x v="0"/>
    <s v="S12000011"/>
    <x v="4"/>
    <n v="50"/>
    <n v="0"/>
    <n v="0"/>
    <n v="10"/>
    <n v="30"/>
    <n v="0"/>
    <n v="0"/>
    <n v="10"/>
  </r>
  <r>
    <x v="3"/>
    <x v="0"/>
    <s v="S12000013"/>
    <x v="5"/>
    <n v="0"/>
    <n v="0"/>
    <n v="0"/>
    <n v="0"/>
    <n v="0"/>
    <n v="0"/>
    <n v="0"/>
    <n v="0"/>
  </r>
  <r>
    <x v="3"/>
    <x v="0"/>
    <s v="S12000014"/>
    <x v="6"/>
    <n v="86"/>
    <n v="0"/>
    <n v="0"/>
    <n v="16"/>
    <n v="57"/>
    <n v="0"/>
    <n v="0"/>
    <n v="13"/>
  </r>
  <r>
    <x v="3"/>
    <x v="0"/>
    <s v="S12000017"/>
    <x v="7"/>
    <n v="67"/>
    <n v="0"/>
    <n v="0"/>
    <n v="11"/>
    <n v="52"/>
    <n v="0"/>
    <n v="0"/>
    <n v="4"/>
  </r>
  <r>
    <x v="3"/>
    <x v="0"/>
    <s v="S12000018"/>
    <x v="8"/>
    <n v="68"/>
    <n v="0"/>
    <n v="0"/>
    <n v="13"/>
    <n v="43"/>
    <n v="0"/>
    <n v="1"/>
    <n v="11"/>
  </r>
  <r>
    <x v="3"/>
    <x v="0"/>
    <s v="S12000019"/>
    <x v="9"/>
    <n v="22"/>
    <n v="0"/>
    <n v="0"/>
    <n v="4"/>
    <n v="14"/>
    <n v="0"/>
    <n v="0"/>
    <n v="4"/>
  </r>
  <r>
    <x v="3"/>
    <x v="0"/>
    <s v="S12000020"/>
    <x v="10"/>
    <n v="27"/>
    <n v="0"/>
    <n v="0"/>
    <n v="4"/>
    <n v="19"/>
    <n v="0"/>
    <n v="0"/>
    <n v="4"/>
  </r>
  <r>
    <x v="3"/>
    <x v="0"/>
    <s v="S12000021"/>
    <x v="11"/>
    <n v="78"/>
    <n v="0"/>
    <n v="0"/>
    <n v="17"/>
    <n v="46"/>
    <n v="0"/>
    <n v="0"/>
    <n v="15"/>
  </r>
  <r>
    <x v="3"/>
    <x v="0"/>
    <s v="S12000023"/>
    <x v="12"/>
    <n v="0"/>
    <n v="0"/>
    <n v="0"/>
    <n v="0"/>
    <n v="0"/>
    <n v="0"/>
    <n v="0"/>
    <n v="0"/>
  </r>
  <r>
    <x v="3"/>
    <x v="0"/>
    <s v="S12000024"/>
    <x v="13"/>
    <n v="68"/>
    <n v="0"/>
    <n v="0"/>
    <n v="12"/>
    <n v="52"/>
    <n v="0"/>
    <n v="0"/>
    <n v="4"/>
  </r>
  <r>
    <x v="3"/>
    <x v="0"/>
    <s v="S12000026"/>
    <x v="14"/>
    <n v="56"/>
    <n v="0"/>
    <n v="0"/>
    <n v="8"/>
    <n v="40"/>
    <n v="0"/>
    <n v="0"/>
    <n v="8"/>
  </r>
  <r>
    <x v="3"/>
    <x v="0"/>
    <s v="S12000027"/>
    <x v="15"/>
    <n v="0"/>
    <n v="0"/>
    <n v="0"/>
    <n v="0"/>
    <n v="0"/>
    <n v="0"/>
    <n v="0"/>
    <n v="0"/>
  </r>
  <r>
    <x v="3"/>
    <x v="0"/>
    <s v="S12000028"/>
    <x v="16"/>
    <n v="54"/>
    <n v="0"/>
    <n v="0"/>
    <n v="10"/>
    <n v="39"/>
    <n v="0"/>
    <n v="0"/>
    <n v="5"/>
  </r>
  <r>
    <x v="3"/>
    <x v="0"/>
    <s v="S12000029"/>
    <x v="17"/>
    <n v="171"/>
    <n v="0"/>
    <n v="0"/>
    <n v="34"/>
    <n v="117"/>
    <n v="0"/>
    <n v="0"/>
    <n v="20"/>
  </r>
  <r>
    <x v="3"/>
    <x v="0"/>
    <s v="S12000030"/>
    <x v="18"/>
    <n v="53"/>
    <n v="0"/>
    <n v="0"/>
    <n v="9"/>
    <n v="40"/>
    <n v="0"/>
    <n v="0"/>
    <n v="4"/>
  </r>
  <r>
    <x v="3"/>
    <x v="0"/>
    <s v="S12000033"/>
    <x v="19"/>
    <n v="155"/>
    <n v="0"/>
    <n v="0"/>
    <n v="26"/>
    <n v="113"/>
    <n v="0"/>
    <n v="0"/>
    <n v="16"/>
  </r>
  <r>
    <x v="3"/>
    <x v="0"/>
    <s v="S12000034"/>
    <x v="20"/>
    <n v="25"/>
    <n v="0"/>
    <n v="0"/>
    <n v="4"/>
    <n v="17"/>
    <n v="0"/>
    <n v="0"/>
    <n v="4"/>
  </r>
  <r>
    <x v="3"/>
    <x v="0"/>
    <s v="S12000035"/>
    <x v="21"/>
    <n v="43"/>
    <n v="0"/>
    <n v="0"/>
    <n v="9"/>
    <n v="24"/>
    <n v="0"/>
    <n v="0"/>
    <n v="10"/>
  </r>
  <r>
    <x v="3"/>
    <x v="0"/>
    <s v="S12000036"/>
    <x v="22"/>
    <n v="313"/>
    <n v="0"/>
    <n v="0"/>
    <n v="60"/>
    <n v="227"/>
    <n v="0"/>
    <n v="0"/>
    <n v="26"/>
  </r>
  <r>
    <x v="3"/>
    <x v="0"/>
    <s v="S12000038"/>
    <x v="23"/>
    <n v="97"/>
    <n v="0"/>
    <n v="0"/>
    <n v="21"/>
    <n v="60"/>
    <n v="0"/>
    <n v="0"/>
    <n v="16"/>
  </r>
  <r>
    <x v="3"/>
    <x v="0"/>
    <s v="S12000039"/>
    <x v="24"/>
    <n v="69"/>
    <n v="0"/>
    <n v="0"/>
    <n v="15"/>
    <n v="44"/>
    <n v="0"/>
    <n v="0"/>
    <n v="10"/>
  </r>
  <r>
    <x v="3"/>
    <x v="0"/>
    <s v="S12000040"/>
    <x v="25"/>
    <n v="60"/>
    <n v="0"/>
    <n v="0"/>
    <n v="10"/>
    <n v="42"/>
    <n v="0"/>
    <n v="0"/>
    <n v="8"/>
  </r>
  <r>
    <x v="3"/>
    <x v="0"/>
    <s v="S12000041"/>
    <x v="26"/>
    <n v="25"/>
    <n v="0"/>
    <n v="0"/>
    <n v="4"/>
    <n v="18"/>
    <n v="0"/>
    <n v="0"/>
    <n v="3"/>
  </r>
  <r>
    <x v="3"/>
    <x v="0"/>
    <s v="S12000042"/>
    <x v="27"/>
    <n v="192"/>
    <n v="0"/>
    <n v="0"/>
    <n v="30"/>
    <n v="144"/>
    <n v="0"/>
    <n v="0"/>
    <n v="18"/>
  </r>
  <r>
    <x v="3"/>
    <x v="0"/>
    <s v="S12000044"/>
    <x v="28"/>
    <n v="173"/>
    <n v="0"/>
    <n v="0"/>
    <n v="30"/>
    <n v="123"/>
    <n v="0"/>
    <n v="0"/>
    <n v="20"/>
  </r>
  <r>
    <x v="3"/>
    <x v="0"/>
    <s v="S12000045"/>
    <x v="29"/>
    <n v="68"/>
    <n v="0"/>
    <n v="0"/>
    <n v="14"/>
    <n v="39"/>
    <n v="0"/>
    <n v="0"/>
    <n v="15"/>
  </r>
  <r>
    <x v="3"/>
    <x v="0"/>
    <s v="S12000046"/>
    <x v="30"/>
    <n v="475"/>
    <n v="0"/>
    <n v="0"/>
    <n v="105"/>
    <n v="313"/>
    <n v="0"/>
    <n v="0"/>
    <n v="57"/>
  </r>
  <r>
    <x v="3"/>
    <x v="0"/>
    <s v="S12000047"/>
    <x v="31"/>
    <n v="270"/>
    <n v="0"/>
    <n v="0"/>
    <n v="48"/>
    <n v="201"/>
    <n v="0"/>
    <n v="0"/>
    <n v="21"/>
  </r>
  <r>
    <x v="3"/>
    <x v="1"/>
    <s v="S39000001"/>
    <x v="19"/>
    <n v="14"/>
    <n v="1"/>
    <n v="0"/>
    <n v="2"/>
    <n v="2"/>
    <n v="1"/>
    <n v="3"/>
    <n v="5"/>
  </r>
  <r>
    <x v="3"/>
    <x v="1"/>
    <s v="S39000002"/>
    <x v="32"/>
    <n v="25"/>
    <n v="1"/>
    <n v="0"/>
    <n v="5"/>
    <n v="0"/>
    <n v="2"/>
    <n v="8"/>
    <n v="9"/>
  </r>
  <r>
    <x v="3"/>
    <x v="1"/>
    <s v="S39000003"/>
    <x v="33"/>
    <n v="26"/>
    <n v="1"/>
    <n v="0"/>
    <n v="4"/>
    <n v="2"/>
    <n v="3"/>
    <n v="9"/>
    <n v="7"/>
  </r>
  <r>
    <x v="3"/>
    <x v="1"/>
    <s v="S39000004"/>
    <x v="1"/>
    <n v="21"/>
    <n v="1"/>
    <n v="0"/>
    <n v="3"/>
    <n v="0"/>
    <n v="2"/>
    <n v="6"/>
    <n v="9"/>
  </r>
  <r>
    <x v="3"/>
    <x v="1"/>
    <s v="S39000006"/>
    <x v="34"/>
    <n v="29"/>
    <n v="1"/>
    <n v="0"/>
    <n v="5"/>
    <n v="1"/>
    <n v="4"/>
    <n v="9"/>
    <n v="9"/>
  </r>
  <r>
    <x v="3"/>
    <x v="1"/>
    <s v="S39000007"/>
    <x v="35"/>
    <n v="31"/>
    <n v="1"/>
    <n v="0"/>
    <n v="5"/>
    <n v="5"/>
    <n v="4"/>
    <n v="8"/>
    <n v="8"/>
  </r>
  <r>
    <x v="3"/>
    <x v="1"/>
    <s v="S39000008"/>
    <x v="36"/>
    <n v="18"/>
    <n v="1"/>
    <n v="0"/>
    <n v="2"/>
    <n v="1"/>
    <n v="3"/>
    <n v="4"/>
    <n v="7"/>
  </r>
  <r>
    <x v="3"/>
    <x v="1"/>
    <s v="S39000009"/>
    <x v="37"/>
    <n v="27"/>
    <n v="1"/>
    <n v="0"/>
    <n v="2"/>
    <n v="4"/>
    <n v="3"/>
    <n v="6"/>
    <n v="11"/>
  </r>
  <r>
    <x v="3"/>
    <x v="1"/>
    <s v="S39000010"/>
    <x v="38"/>
    <n v="21"/>
    <n v="1"/>
    <n v="0"/>
    <n v="3"/>
    <n v="2"/>
    <n v="2"/>
    <n v="6"/>
    <n v="7"/>
  </r>
  <r>
    <x v="3"/>
    <x v="1"/>
    <s v="S39000012"/>
    <x v="30"/>
    <n v="25"/>
    <n v="1"/>
    <n v="0"/>
    <n v="3"/>
    <n v="2"/>
    <n v="4"/>
    <n v="9"/>
    <n v="6"/>
  </r>
  <r>
    <x v="3"/>
    <x v="1"/>
    <s v="S39000013"/>
    <x v="39"/>
    <n v="36"/>
    <n v="1"/>
    <n v="0"/>
    <n v="10"/>
    <n v="0"/>
    <n v="4"/>
    <n v="13"/>
    <n v="8"/>
  </r>
  <r>
    <x v="3"/>
    <x v="1"/>
    <s v="S39000014"/>
    <x v="28"/>
    <n v="15"/>
    <n v="1"/>
    <n v="0"/>
    <n v="1"/>
    <n v="1"/>
    <n v="2"/>
    <n v="5"/>
    <n v="5"/>
  </r>
  <r>
    <x v="3"/>
    <x v="1"/>
    <s v="S39000015"/>
    <x v="17"/>
    <n v="15"/>
    <n v="1"/>
    <n v="0"/>
    <n v="2"/>
    <n v="1"/>
    <n v="2"/>
    <n v="5"/>
    <n v="4"/>
  </r>
  <r>
    <x v="3"/>
    <x v="1"/>
    <s v="S39000016"/>
    <x v="40"/>
    <n v="15"/>
    <n v="0"/>
    <n v="0"/>
    <n v="3"/>
    <n v="1"/>
    <n v="2"/>
    <n v="4"/>
    <n v="5"/>
  </r>
  <r>
    <x v="3"/>
    <x v="1"/>
    <s v="S39000017"/>
    <x v="41"/>
    <n v="16"/>
    <n v="1"/>
    <n v="0"/>
    <n v="6"/>
    <n v="0"/>
    <n v="3"/>
    <n v="5"/>
    <n v="1"/>
  </r>
  <r>
    <x v="3"/>
    <x v="1"/>
    <s v="S39000018"/>
    <x v="42"/>
    <n v="28"/>
    <n v="1"/>
    <n v="0"/>
    <n v="2"/>
    <n v="2"/>
    <n v="4"/>
    <n v="9"/>
    <n v="10"/>
  </r>
  <r>
    <x v="3"/>
    <x v="1"/>
    <s v="S39000019"/>
    <x v="31"/>
    <n v="24"/>
    <n v="1"/>
    <n v="0"/>
    <n v="3"/>
    <n v="3"/>
    <n v="2"/>
    <n v="7"/>
    <n v="8"/>
  </r>
  <r>
    <x v="3"/>
    <x v="2"/>
    <s v="S40000003"/>
    <x v="43"/>
    <n v="68"/>
    <n v="1"/>
    <n v="0"/>
    <n v="10"/>
    <n v="1"/>
    <n v="3"/>
    <n v="11"/>
    <n v="42"/>
  </r>
  <r>
    <x v="3"/>
    <x v="2"/>
    <s v="S40000004"/>
    <x v="44"/>
    <n v="38"/>
    <n v="1"/>
    <n v="0"/>
    <n v="6"/>
    <n v="1"/>
    <n v="5"/>
    <n v="5"/>
    <n v="20"/>
  </r>
  <r>
    <x v="3"/>
    <x v="2"/>
    <s v="S40000005"/>
    <x v="45"/>
    <n v="45"/>
    <n v="1"/>
    <n v="0"/>
    <n v="6"/>
    <n v="1"/>
    <n v="4"/>
    <n v="9"/>
    <n v="24"/>
  </r>
  <r>
    <x v="3"/>
    <x v="3"/>
    <s v="S92000003"/>
    <x v="46"/>
    <n v="182"/>
    <n v="15"/>
    <n v="4"/>
    <n v="0"/>
    <n v="101"/>
    <n v="11"/>
    <n v="9"/>
    <n v="42"/>
  </r>
  <r>
    <x v="3"/>
    <x v="4"/>
    <s v="S92000003"/>
    <x v="46"/>
    <n v="3644"/>
    <n v="34"/>
    <n v="4"/>
    <n v="635"/>
    <n v="2158"/>
    <n v="70"/>
    <n v="151"/>
    <n v="590"/>
  </r>
  <r>
    <x v="4"/>
    <x v="0"/>
    <s v="S12000005"/>
    <x v="0"/>
    <n v="25"/>
    <m/>
    <m/>
    <n v="5"/>
    <n v="15"/>
    <m/>
    <m/>
    <n v="5"/>
  </r>
  <r>
    <x v="4"/>
    <x v="0"/>
    <s v="S12000006"/>
    <x v="1"/>
    <n v="54"/>
    <m/>
    <m/>
    <n v="11"/>
    <n v="38"/>
    <m/>
    <m/>
    <n v="5"/>
  </r>
  <r>
    <x v="4"/>
    <x v="0"/>
    <s v="S12000008"/>
    <x v="2"/>
    <n v="49"/>
    <m/>
    <m/>
    <n v="10"/>
    <n v="34"/>
    <m/>
    <m/>
    <n v="5"/>
  </r>
  <r>
    <x v="4"/>
    <x v="0"/>
    <s v="S12000010"/>
    <x v="3"/>
    <n v="23"/>
    <m/>
    <m/>
    <n v="5"/>
    <n v="13"/>
    <m/>
    <m/>
    <n v="5"/>
  </r>
  <r>
    <x v="4"/>
    <x v="0"/>
    <s v="S12000011"/>
    <x v="4"/>
    <n v="51"/>
    <m/>
    <m/>
    <n v="10"/>
    <n v="30"/>
    <m/>
    <m/>
    <n v="11"/>
  </r>
  <r>
    <x v="4"/>
    <x v="0"/>
    <s v="S12000014"/>
    <x v="6"/>
    <n v="87"/>
    <m/>
    <m/>
    <n v="22"/>
    <n v="49"/>
    <m/>
    <m/>
    <n v="16"/>
  </r>
  <r>
    <x v="4"/>
    <x v="0"/>
    <s v="S12000017"/>
    <x v="7"/>
    <n v="68"/>
    <m/>
    <m/>
    <n v="15"/>
    <n v="49"/>
    <m/>
    <m/>
    <n v="4"/>
  </r>
  <r>
    <x v="4"/>
    <x v="0"/>
    <s v="S12000018"/>
    <x v="8"/>
    <n v="72"/>
    <m/>
    <m/>
    <n v="15"/>
    <n v="44"/>
    <m/>
    <m/>
    <n v="13"/>
  </r>
  <r>
    <x v="4"/>
    <x v="0"/>
    <s v="S12000019"/>
    <x v="9"/>
    <n v="28"/>
    <m/>
    <m/>
    <n v="5"/>
    <n v="18"/>
    <m/>
    <m/>
    <n v="5"/>
  </r>
  <r>
    <x v="4"/>
    <x v="0"/>
    <s v="S12000020"/>
    <x v="10"/>
    <n v="29"/>
    <m/>
    <m/>
    <n v="5"/>
    <n v="19"/>
    <m/>
    <m/>
    <n v="5"/>
  </r>
  <r>
    <x v="4"/>
    <x v="0"/>
    <s v="S12000021"/>
    <x v="11"/>
    <n v="76"/>
    <m/>
    <m/>
    <n v="16"/>
    <n v="45"/>
    <m/>
    <m/>
    <n v="15"/>
  </r>
  <r>
    <x v="4"/>
    <x v="0"/>
    <s v="S12000024"/>
    <x v="13"/>
    <n v="69"/>
    <m/>
    <m/>
    <n v="10"/>
    <n v="54"/>
    <m/>
    <m/>
    <n v="5"/>
  </r>
  <r>
    <x v="4"/>
    <x v="0"/>
    <s v="S12000026"/>
    <x v="14"/>
    <n v="51"/>
    <m/>
    <m/>
    <n v="9"/>
    <n v="32"/>
    <m/>
    <m/>
    <n v="10"/>
  </r>
  <r>
    <x v="4"/>
    <x v="0"/>
    <s v="S12000028"/>
    <x v="16"/>
    <n v="50"/>
    <m/>
    <m/>
    <n v="10"/>
    <n v="35"/>
    <m/>
    <m/>
    <n v="5"/>
  </r>
  <r>
    <x v="4"/>
    <x v="0"/>
    <s v="S12000029"/>
    <x v="17"/>
    <n v="166"/>
    <m/>
    <m/>
    <n v="35"/>
    <n v="111"/>
    <m/>
    <m/>
    <n v="20"/>
  </r>
  <r>
    <x v="4"/>
    <x v="0"/>
    <s v="S12000030"/>
    <x v="18"/>
    <n v="48"/>
    <m/>
    <m/>
    <n v="9"/>
    <n v="34"/>
    <m/>
    <m/>
    <n v="5"/>
  </r>
  <r>
    <x v="4"/>
    <x v="0"/>
    <s v="S12000033"/>
    <x v="19"/>
    <n v="145"/>
    <m/>
    <m/>
    <n v="33"/>
    <n v="97"/>
    <m/>
    <m/>
    <n v="15"/>
  </r>
  <r>
    <x v="4"/>
    <x v="0"/>
    <s v="S12000034"/>
    <x v="20"/>
    <n v="24"/>
    <m/>
    <m/>
    <n v="5"/>
    <n v="14"/>
    <m/>
    <m/>
    <n v="5"/>
  </r>
  <r>
    <x v="4"/>
    <x v="0"/>
    <s v="S12000035"/>
    <x v="21"/>
    <n v="50"/>
    <m/>
    <m/>
    <n v="10"/>
    <n v="30"/>
    <m/>
    <m/>
    <n v="10"/>
  </r>
  <r>
    <x v="4"/>
    <x v="0"/>
    <s v="S12000036"/>
    <x v="22"/>
    <n v="293"/>
    <m/>
    <m/>
    <n v="54"/>
    <n v="204"/>
    <m/>
    <m/>
    <n v="35"/>
  </r>
  <r>
    <x v="4"/>
    <x v="0"/>
    <s v="S12000038"/>
    <x v="23"/>
    <n v="94"/>
    <m/>
    <m/>
    <n v="20"/>
    <n v="59"/>
    <m/>
    <m/>
    <n v="15"/>
  </r>
  <r>
    <x v="4"/>
    <x v="0"/>
    <s v="S12000039"/>
    <x v="24"/>
    <n v="68"/>
    <m/>
    <m/>
    <n v="15"/>
    <n v="43"/>
    <m/>
    <m/>
    <n v="10"/>
  </r>
  <r>
    <x v="4"/>
    <x v="0"/>
    <s v="S12000040"/>
    <x v="25"/>
    <n v="58"/>
    <m/>
    <m/>
    <n v="11"/>
    <n v="37"/>
    <m/>
    <m/>
    <n v="10"/>
  </r>
  <r>
    <x v="4"/>
    <x v="0"/>
    <s v="S12000041"/>
    <x v="26"/>
    <n v="28"/>
    <m/>
    <m/>
    <n v="5"/>
    <n v="18"/>
    <m/>
    <m/>
    <n v="5"/>
  </r>
  <r>
    <x v="4"/>
    <x v="0"/>
    <s v="S12000042"/>
    <x v="27"/>
    <n v="178"/>
    <m/>
    <m/>
    <n v="35"/>
    <n v="122"/>
    <m/>
    <m/>
    <n v="21"/>
  </r>
  <r>
    <x v="4"/>
    <x v="0"/>
    <s v="S12000044"/>
    <x v="28"/>
    <n v="163"/>
    <m/>
    <m/>
    <n v="31"/>
    <n v="113"/>
    <m/>
    <m/>
    <n v="19"/>
  </r>
  <r>
    <x v="4"/>
    <x v="0"/>
    <s v="S12000045"/>
    <x v="29"/>
    <n v="78"/>
    <m/>
    <m/>
    <n v="15"/>
    <n v="48"/>
    <m/>
    <m/>
    <n v="15"/>
  </r>
  <r>
    <x v="4"/>
    <x v="0"/>
    <s v="S12000046"/>
    <x v="30"/>
    <n v="489"/>
    <m/>
    <m/>
    <n v="113"/>
    <n v="319"/>
    <m/>
    <m/>
    <n v="57"/>
  </r>
  <r>
    <x v="4"/>
    <x v="0"/>
    <s v="S12000047"/>
    <x v="31"/>
    <n v="254"/>
    <m/>
    <m/>
    <n v="49"/>
    <n v="181"/>
    <m/>
    <m/>
    <n v="24"/>
  </r>
  <r>
    <x v="4"/>
    <x v="1"/>
    <s v="S39000001"/>
    <x v="19"/>
    <n v="15"/>
    <n v="1"/>
    <m/>
    <n v="2"/>
    <n v="2"/>
    <n v="2"/>
    <n v="3"/>
    <n v="5"/>
  </r>
  <r>
    <x v="4"/>
    <x v="1"/>
    <s v="S39000002"/>
    <x v="32"/>
    <n v="25"/>
    <n v="1"/>
    <m/>
    <n v="7"/>
    <m/>
    <n v="2"/>
    <n v="7"/>
    <n v="8"/>
  </r>
  <r>
    <x v="4"/>
    <x v="1"/>
    <s v="S39000003"/>
    <x v="33"/>
    <n v="26"/>
    <n v="1"/>
    <m/>
    <n v="6"/>
    <n v="1"/>
    <n v="3"/>
    <n v="9"/>
    <n v="6"/>
  </r>
  <r>
    <x v="4"/>
    <x v="1"/>
    <s v="S39000004"/>
    <x v="1"/>
    <n v="22"/>
    <n v="1"/>
    <m/>
    <n v="4"/>
    <n v="2"/>
    <n v="2"/>
    <n v="6"/>
    <n v="7"/>
  </r>
  <r>
    <x v="4"/>
    <x v="1"/>
    <s v="S39000006"/>
    <x v="34"/>
    <n v="27"/>
    <n v="1"/>
    <m/>
    <n v="5"/>
    <n v="1"/>
    <n v="3"/>
    <n v="9"/>
    <n v="8"/>
  </r>
  <r>
    <x v="4"/>
    <x v="1"/>
    <s v="S39000007"/>
    <x v="35"/>
    <n v="27"/>
    <n v="1"/>
    <m/>
    <n v="3"/>
    <n v="5"/>
    <n v="3"/>
    <n v="7"/>
    <n v="8"/>
  </r>
  <r>
    <x v="4"/>
    <x v="1"/>
    <s v="S39000008"/>
    <x v="36"/>
    <n v="16"/>
    <n v="1"/>
    <m/>
    <n v="2"/>
    <n v="2"/>
    <n v="3"/>
    <n v="4"/>
    <n v="4"/>
  </r>
  <r>
    <x v="4"/>
    <x v="1"/>
    <s v="S39000009"/>
    <x v="37"/>
    <n v="31"/>
    <n v="1"/>
    <m/>
    <n v="6"/>
    <n v="3"/>
    <n v="3"/>
    <n v="7"/>
    <n v="11"/>
  </r>
  <r>
    <x v="4"/>
    <x v="1"/>
    <s v="S39000010"/>
    <x v="38"/>
    <n v="19"/>
    <n v="1"/>
    <m/>
    <n v="3"/>
    <n v="2"/>
    <n v="2"/>
    <n v="5"/>
    <n v="6"/>
  </r>
  <r>
    <x v="4"/>
    <x v="1"/>
    <s v="S39000012"/>
    <x v="30"/>
    <n v="22"/>
    <n v="1"/>
    <m/>
    <n v="2"/>
    <n v="1"/>
    <n v="4"/>
    <n v="8"/>
    <n v="6"/>
  </r>
  <r>
    <x v="4"/>
    <x v="1"/>
    <s v="S39000013"/>
    <x v="39"/>
    <n v="32"/>
    <n v="1"/>
    <m/>
    <n v="7"/>
    <n v="1"/>
    <n v="4"/>
    <n v="12"/>
    <n v="7"/>
  </r>
  <r>
    <x v="4"/>
    <x v="1"/>
    <s v="S39000014"/>
    <x v="28"/>
    <n v="17"/>
    <n v="1"/>
    <m/>
    <n v="2"/>
    <n v="1"/>
    <n v="2"/>
    <n v="6"/>
    <n v="5"/>
  </r>
  <r>
    <x v="4"/>
    <x v="1"/>
    <s v="S39000015"/>
    <x v="17"/>
    <n v="16"/>
    <n v="1"/>
    <m/>
    <n v="2"/>
    <n v="1"/>
    <n v="2"/>
    <n v="6"/>
    <n v="4"/>
  </r>
  <r>
    <x v="4"/>
    <x v="1"/>
    <s v="S39000016"/>
    <x v="40"/>
    <n v="18"/>
    <n v="1"/>
    <m/>
    <n v="3"/>
    <n v="1"/>
    <n v="3"/>
    <n v="5"/>
    <n v="5"/>
  </r>
  <r>
    <x v="4"/>
    <x v="1"/>
    <s v="S39000017"/>
    <x v="41"/>
    <n v="18"/>
    <n v="1"/>
    <m/>
    <n v="5"/>
    <m/>
    <n v="2"/>
    <n v="6"/>
    <n v="4"/>
  </r>
  <r>
    <x v="4"/>
    <x v="1"/>
    <s v="S39000018"/>
    <x v="42"/>
    <n v="28"/>
    <n v="1"/>
    <m/>
    <n v="3"/>
    <n v="2"/>
    <n v="4"/>
    <n v="9"/>
    <n v="9"/>
  </r>
  <r>
    <x v="4"/>
    <x v="1"/>
    <s v="S39000019"/>
    <x v="31"/>
    <n v="19"/>
    <m/>
    <m/>
    <n v="1"/>
    <n v="4"/>
    <n v="2"/>
    <n v="6"/>
    <n v="6"/>
  </r>
  <r>
    <x v="4"/>
    <x v="2"/>
    <s v="S40000003"/>
    <x v="43"/>
    <n v="73"/>
    <n v="1"/>
    <m/>
    <n v="18"/>
    <m/>
    <n v="4"/>
    <n v="13"/>
    <n v="37"/>
  </r>
  <r>
    <x v="4"/>
    <x v="2"/>
    <s v="S40000004"/>
    <x v="44"/>
    <n v="37"/>
    <n v="1"/>
    <m/>
    <n v="9"/>
    <m/>
    <n v="5"/>
    <n v="6"/>
    <n v="16"/>
  </r>
  <r>
    <x v="4"/>
    <x v="2"/>
    <s v="S40000005"/>
    <x v="45"/>
    <n v="46"/>
    <n v="1"/>
    <m/>
    <n v="11"/>
    <m/>
    <n v="6"/>
    <n v="10"/>
    <n v="18"/>
  </r>
  <r>
    <x v="4"/>
    <x v="3"/>
    <s v="S92000003"/>
    <x v="46"/>
    <n v="143"/>
    <n v="15"/>
    <n v="4"/>
    <m/>
    <n v="55"/>
    <n v="13"/>
    <n v="9"/>
    <n v="47"/>
  </r>
  <r>
    <x v="4"/>
    <x v="4"/>
    <s v="S92000003"/>
    <x v="46"/>
    <n v="3544"/>
    <n v="34"/>
    <n v="4"/>
    <n v="689"/>
    <n v="1988"/>
    <n v="74"/>
    <n v="153"/>
    <n v="602"/>
  </r>
  <r>
    <x v="5"/>
    <x v="0"/>
    <s v="S12000005"/>
    <x v="0"/>
    <m/>
    <m/>
    <m/>
    <n v="5"/>
    <n v="15"/>
    <m/>
    <m/>
    <n v="5"/>
  </r>
  <r>
    <x v="5"/>
    <x v="0"/>
    <s v="S12000006"/>
    <x v="1"/>
    <m/>
    <m/>
    <m/>
    <n v="10"/>
    <n v="38"/>
    <m/>
    <m/>
    <n v="5"/>
  </r>
  <r>
    <x v="5"/>
    <x v="0"/>
    <s v="S12000008"/>
    <x v="2"/>
    <m/>
    <m/>
    <m/>
    <n v="10"/>
    <n v="32"/>
    <m/>
    <m/>
    <n v="5"/>
  </r>
  <r>
    <x v="5"/>
    <x v="0"/>
    <s v="S12000010"/>
    <x v="3"/>
    <m/>
    <m/>
    <m/>
    <n v="5"/>
    <n v="14"/>
    <m/>
    <m/>
    <n v="5"/>
  </r>
  <r>
    <x v="5"/>
    <x v="0"/>
    <s v="S12000011"/>
    <x v="4"/>
    <m/>
    <m/>
    <m/>
    <n v="10"/>
    <n v="31"/>
    <m/>
    <m/>
    <n v="11"/>
  </r>
  <r>
    <x v="5"/>
    <x v="0"/>
    <s v="S12000014"/>
    <x v="6"/>
    <m/>
    <m/>
    <m/>
    <n v="20"/>
    <n v="53"/>
    <m/>
    <m/>
    <n v="15"/>
  </r>
  <r>
    <x v="5"/>
    <x v="0"/>
    <s v="S12000017"/>
    <x v="7"/>
    <m/>
    <m/>
    <m/>
    <n v="15"/>
    <n v="50"/>
    <m/>
    <m/>
    <n v="5"/>
  </r>
  <r>
    <x v="5"/>
    <x v="0"/>
    <s v="S12000018"/>
    <x v="8"/>
    <m/>
    <m/>
    <m/>
    <n v="15"/>
    <n v="47"/>
    <m/>
    <m/>
    <n v="10"/>
  </r>
  <r>
    <x v="5"/>
    <x v="0"/>
    <s v="S12000019"/>
    <x v="9"/>
    <m/>
    <m/>
    <m/>
    <n v="4"/>
    <n v="17"/>
    <m/>
    <m/>
    <n v="5"/>
  </r>
  <r>
    <x v="5"/>
    <x v="0"/>
    <s v="S12000020"/>
    <x v="10"/>
    <m/>
    <m/>
    <m/>
    <n v="5"/>
    <n v="20"/>
    <m/>
    <m/>
    <n v="5"/>
  </r>
  <r>
    <x v="5"/>
    <x v="0"/>
    <s v="S12000021"/>
    <x v="11"/>
    <m/>
    <m/>
    <m/>
    <n v="15"/>
    <n v="45"/>
    <m/>
    <m/>
    <n v="16"/>
  </r>
  <r>
    <x v="5"/>
    <x v="0"/>
    <s v="S12000026"/>
    <x v="14"/>
    <m/>
    <m/>
    <m/>
    <n v="10"/>
    <n v="36"/>
    <m/>
    <m/>
    <n v="10"/>
  </r>
  <r>
    <x v="5"/>
    <x v="0"/>
    <s v="S12000028"/>
    <x v="16"/>
    <m/>
    <m/>
    <m/>
    <n v="11"/>
    <n v="34"/>
    <m/>
    <m/>
    <n v="5"/>
  </r>
  <r>
    <x v="5"/>
    <x v="0"/>
    <s v="S12000029"/>
    <x v="17"/>
    <m/>
    <m/>
    <m/>
    <n v="36"/>
    <n v="111"/>
    <m/>
    <m/>
    <n v="20"/>
  </r>
  <r>
    <x v="5"/>
    <x v="0"/>
    <s v="S12000030"/>
    <x v="18"/>
    <m/>
    <m/>
    <m/>
    <n v="10"/>
    <n v="34"/>
    <m/>
    <m/>
    <n v="5"/>
  </r>
  <r>
    <x v="5"/>
    <x v="0"/>
    <s v="S12000033"/>
    <x v="19"/>
    <m/>
    <m/>
    <m/>
    <n v="35"/>
    <n v="104"/>
    <m/>
    <m/>
    <n v="15"/>
  </r>
  <r>
    <x v="5"/>
    <x v="0"/>
    <s v="S12000034"/>
    <x v="20"/>
    <m/>
    <m/>
    <m/>
    <n v="5"/>
    <n v="20"/>
    <m/>
    <m/>
    <n v="5"/>
  </r>
  <r>
    <x v="5"/>
    <x v="0"/>
    <s v="S12000035"/>
    <x v="21"/>
    <m/>
    <m/>
    <m/>
    <n v="11"/>
    <n v="33"/>
    <m/>
    <m/>
    <n v="10"/>
  </r>
  <r>
    <x v="5"/>
    <x v="0"/>
    <s v="S12000036"/>
    <x v="22"/>
    <m/>
    <m/>
    <m/>
    <n v="59"/>
    <n v="203"/>
    <m/>
    <m/>
    <n v="35"/>
  </r>
  <r>
    <x v="5"/>
    <x v="0"/>
    <s v="S12000038"/>
    <x v="23"/>
    <m/>
    <m/>
    <m/>
    <n v="18"/>
    <n v="65"/>
    <m/>
    <m/>
    <n v="16"/>
  </r>
  <r>
    <x v="5"/>
    <x v="0"/>
    <s v="S12000039"/>
    <x v="24"/>
    <m/>
    <m/>
    <m/>
    <n v="15"/>
    <n v="48"/>
    <m/>
    <m/>
    <n v="10"/>
  </r>
  <r>
    <x v="5"/>
    <x v="0"/>
    <s v="S12000040"/>
    <x v="25"/>
    <m/>
    <m/>
    <m/>
    <n v="10"/>
    <n v="36"/>
    <m/>
    <m/>
    <n v="10"/>
  </r>
  <r>
    <x v="5"/>
    <x v="0"/>
    <s v="S12000041"/>
    <x v="26"/>
    <m/>
    <m/>
    <m/>
    <n v="5"/>
    <n v="18"/>
    <m/>
    <m/>
    <n v="5"/>
  </r>
  <r>
    <x v="5"/>
    <x v="0"/>
    <s v="S12000042"/>
    <x v="27"/>
    <m/>
    <m/>
    <m/>
    <n v="35"/>
    <n v="122"/>
    <m/>
    <m/>
    <n v="20"/>
  </r>
  <r>
    <x v="5"/>
    <x v="0"/>
    <s v="S12000044"/>
    <x v="28"/>
    <m/>
    <m/>
    <m/>
    <n v="35"/>
    <n v="111"/>
    <m/>
    <m/>
    <n v="20"/>
  </r>
  <r>
    <x v="5"/>
    <x v="0"/>
    <s v="S12000045"/>
    <x v="29"/>
    <m/>
    <m/>
    <m/>
    <n v="15"/>
    <n v="47"/>
    <m/>
    <m/>
    <n v="16"/>
  </r>
  <r>
    <x v="5"/>
    <x v="0"/>
    <s v="S12000046"/>
    <x v="30"/>
    <m/>
    <m/>
    <m/>
    <n v="110"/>
    <n v="349"/>
    <m/>
    <m/>
    <n v="56"/>
  </r>
  <r>
    <x v="5"/>
    <x v="0"/>
    <s v="S12000047"/>
    <x v="31"/>
    <m/>
    <m/>
    <m/>
    <n v="48"/>
    <n v="199"/>
    <m/>
    <m/>
    <n v="27"/>
  </r>
  <r>
    <x v="5"/>
    <x v="0"/>
    <s v="S12000048"/>
    <x v="13"/>
    <m/>
    <m/>
    <m/>
    <n v="10"/>
    <n v="54"/>
    <m/>
    <m/>
    <n v="5"/>
  </r>
  <r>
    <x v="5"/>
    <x v="1"/>
    <s v="S39000001"/>
    <x v="19"/>
    <m/>
    <n v="1"/>
    <m/>
    <n v="2"/>
    <n v="1"/>
    <n v="2"/>
    <n v="4"/>
    <n v="6"/>
  </r>
  <r>
    <x v="5"/>
    <x v="1"/>
    <s v="S39000002"/>
    <x v="32"/>
    <m/>
    <n v="1"/>
    <m/>
    <n v="6"/>
    <m/>
    <n v="2"/>
    <n v="8"/>
    <n v="8"/>
  </r>
  <r>
    <x v="5"/>
    <x v="1"/>
    <s v="S39000003"/>
    <x v="33"/>
    <m/>
    <n v="1"/>
    <m/>
    <n v="6"/>
    <n v="2"/>
    <n v="3"/>
    <n v="8"/>
    <n v="6"/>
  </r>
  <r>
    <x v="5"/>
    <x v="1"/>
    <s v="S39000004"/>
    <x v="1"/>
    <m/>
    <n v="1"/>
    <m/>
    <n v="4"/>
    <n v="1.83"/>
    <n v="2"/>
    <n v="6"/>
    <n v="7"/>
  </r>
  <r>
    <x v="5"/>
    <x v="1"/>
    <s v="S39000006"/>
    <x v="34"/>
    <m/>
    <n v="1"/>
    <m/>
    <n v="2"/>
    <n v="1.6"/>
    <n v="3"/>
    <n v="9"/>
    <n v="8"/>
  </r>
  <r>
    <x v="5"/>
    <x v="1"/>
    <s v="S39000007"/>
    <x v="35"/>
    <m/>
    <n v="1"/>
    <m/>
    <n v="2"/>
    <n v="3"/>
    <n v="3"/>
    <n v="7"/>
    <n v="9"/>
  </r>
  <r>
    <x v="5"/>
    <x v="1"/>
    <s v="S39000008"/>
    <x v="36"/>
    <m/>
    <n v="1"/>
    <m/>
    <m/>
    <n v="2"/>
    <n v="4"/>
    <n v="4"/>
    <n v="3"/>
  </r>
  <r>
    <x v="5"/>
    <x v="1"/>
    <s v="S39000009"/>
    <x v="37"/>
    <m/>
    <n v="1"/>
    <m/>
    <n v="5"/>
    <n v="2.5"/>
    <n v="5"/>
    <n v="4"/>
    <n v="12"/>
  </r>
  <r>
    <x v="5"/>
    <x v="1"/>
    <s v="S39000010"/>
    <x v="38"/>
    <m/>
    <n v="1"/>
    <m/>
    <n v="3"/>
    <n v="2"/>
    <n v="2"/>
    <n v="6"/>
    <n v="6"/>
  </r>
  <r>
    <x v="5"/>
    <x v="1"/>
    <s v="S39000012"/>
    <x v="30"/>
    <m/>
    <n v="1"/>
    <m/>
    <n v="2"/>
    <n v="2"/>
    <n v="4"/>
    <n v="9"/>
    <n v="7"/>
  </r>
  <r>
    <x v="5"/>
    <x v="1"/>
    <s v="S39000013"/>
    <x v="39"/>
    <m/>
    <n v="1"/>
    <m/>
    <n v="9"/>
    <n v="1"/>
    <n v="4"/>
    <n v="14"/>
    <n v="16"/>
  </r>
  <r>
    <x v="5"/>
    <x v="1"/>
    <s v="S39000014"/>
    <x v="28"/>
    <m/>
    <n v="1"/>
    <m/>
    <n v="2"/>
    <n v="1"/>
    <n v="2"/>
    <n v="5"/>
    <n v="6"/>
  </r>
  <r>
    <x v="5"/>
    <x v="1"/>
    <s v="S39000015"/>
    <x v="17"/>
    <m/>
    <n v="1"/>
    <m/>
    <n v="2"/>
    <n v="1"/>
    <n v="2"/>
    <n v="6"/>
    <n v="4"/>
  </r>
  <r>
    <x v="5"/>
    <x v="1"/>
    <s v="S39000016"/>
    <x v="40"/>
    <m/>
    <n v="1"/>
    <m/>
    <n v="3"/>
    <n v="1"/>
    <n v="2"/>
    <n v="6"/>
    <n v="5"/>
  </r>
  <r>
    <x v="5"/>
    <x v="1"/>
    <s v="S39000017"/>
    <x v="41"/>
    <m/>
    <n v="1"/>
    <m/>
    <n v="3"/>
    <m/>
    <n v="3"/>
    <n v="5"/>
    <n v="4"/>
  </r>
  <r>
    <x v="5"/>
    <x v="1"/>
    <s v="S39000018"/>
    <x v="42"/>
    <m/>
    <n v="1"/>
    <m/>
    <n v="3"/>
    <n v="2"/>
    <n v="4"/>
    <n v="8"/>
    <n v="11"/>
  </r>
  <r>
    <x v="5"/>
    <x v="1"/>
    <s v="S39000019"/>
    <x v="31"/>
    <m/>
    <m/>
    <m/>
    <m/>
    <n v="4"/>
    <n v="2"/>
    <n v="6"/>
    <n v="6"/>
  </r>
  <r>
    <x v="5"/>
    <x v="2"/>
    <s v="S40000003"/>
    <x v="43"/>
    <m/>
    <n v="1"/>
    <m/>
    <n v="26"/>
    <m/>
    <n v="5"/>
    <n v="12"/>
    <n v="35"/>
  </r>
  <r>
    <x v="5"/>
    <x v="2"/>
    <s v="S40000004"/>
    <x v="44"/>
    <m/>
    <n v="1"/>
    <m/>
    <n v="8"/>
    <m/>
    <n v="5"/>
    <n v="5"/>
    <n v="18"/>
  </r>
  <r>
    <x v="5"/>
    <x v="2"/>
    <s v="S40000005"/>
    <x v="45"/>
    <m/>
    <n v="1"/>
    <m/>
    <n v="7"/>
    <m/>
    <n v="4"/>
    <n v="7"/>
    <n v="11"/>
  </r>
  <r>
    <x v="5"/>
    <x v="3"/>
    <s v="S92000003"/>
    <x v="46"/>
    <m/>
    <n v="14"/>
    <n v="4"/>
    <m/>
    <n v="60"/>
    <n v="17"/>
    <n v="8"/>
    <n v="46"/>
  </r>
  <r>
    <x v="6"/>
    <x v="0"/>
    <s v="S40000003"/>
    <x v="21"/>
    <m/>
    <m/>
    <m/>
    <n v="10"/>
    <n v="33"/>
    <m/>
    <m/>
    <n v="10"/>
  </r>
  <r>
    <x v="6"/>
    <x v="0"/>
    <s v="S40000003"/>
    <x v="1"/>
    <m/>
    <m/>
    <m/>
    <n v="10"/>
    <n v="37"/>
    <m/>
    <m/>
    <n v="5"/>
  </r>
  <r>
    <x v="6"/>
    <x v="0"/>
    <s v="S40000003"/>
    <x v="2"/>
    <m/>
    <m/>
    <m/>
    <n v="10"/>
    <n v="34"/>
    <m/>
    <m/>
    <n v="5"/>
  </r>
  <r>
    <x v="6"/>
    <x v="0"/>
    <s v="S40000003"/>
    <x v="29"/>
    <m/>
    <m/>
    <m/>
    <n v="15"/>
    <n v="49"/>
    <m/>
    <m/>
    <n v="15"/>
  </r>
  <r>
    <x v="6"/>
    <x v="0"/>
    <s v="S40000003"/>
    <x v="4"/>
    <m/>
    <m/>
    <m/>
    <n v="10"/>
    <n v="30"/>
    <m/>
    <m/>
    <n v="10"/>
  </r>
  <r>
    <x v="6"/>
    <x v="0"/>
    <s v="S40000003"/>
    <x v="30"/>
    <m/>
    <m/>
    <m/>
    <n v="114"/>
    <n v="346"/>
    <m/>
    <m/>
    <n v="57"/>
  </r>
  <r>
    <x v="6"/>
    <x v="0"/>
    <s v="S40000003"/>
    <x v="8"/>
    <m/>
    <m/>
    <m/>
    <n v="15"/>
    <n v="45"/>
    <m/>
    <m/>
    <n v="10"/>
  </r>
  <r>
    <x v="6"/>
    <x v="0"/>
    <s v="S40000003"/>
    <x v="11"/>
    <m/>
    <m/>
    <m/>
    <n v="15"/>
    <n v="45"/>
    <m/>
    <m/>
    <n v="15"/>
  </r>
  <r>
    <x v="6"/>
    <x v="0"/>
    <s v="S40000003"/>
    <x v="28"/>
    <m/>
    <m/>
    <m/>
    <n v="37"/>
    <n v="105"/>
    <m/>
    <m/>
    <n v="21"/>
  </r>
  <r>
    <x v="6"/>
    <x v="0"/>
    <s v="S40000003"/>
    <x v="23"/>
    <m/>
    <m/>
    <m/>
    <n v="21"/>
    <n v="66"/>
    <m/>
    <m/>
    <n v="15"/>
  </r>
  <r>
    <x v="6"/>
    <x v="0"/>
    <s v="S40000003"/>
    <x v="16"/>
    <m/>
    <m/>
    <m/>
    <n v="9"/>
    <n v="36"/>
    <m/>
    <m/>
    <n v="5"/>
  </r>
  <r>
    <x v="6"/>
    <x v="0"/>
    <s v="S40000003"/>
    <x v="17"/>
    <m/>
    <m/>
    <m/>
    <n v="37"/>
    <n v="111"/>
    <m/>
    <m/>
    <n v="20"/>
  </r>
  <r>
    <x v="6"/>
    <x v="0"/>
    <s v="S40000003"/>
    <x v="24"/>
    <m/>
    <m/>
    <m/>
    <n v="15"/>
    <n v="48"/>
    <m/>
    <m/>
    <n v="10"/>
  </r>
  <r>
    <x v="6"/>
    <x v="0"/>
    <s v="S40000004"/>
    <x v="22"/>
    <m/>
    <m/>
    <m/>
    <n v="56"/>
    <n v="214"/>
    <m/>
    <m/>
    <n v="36"/>
  </r>
  <r>
    <x v="6"/>
    <x v="0"/>
    <s v="S40000004"/>
    <x v="0"/>
    <m/>
    <m/>
    <m/>
    <n v="5"/>
    <n v="15"/>
    <m/>
    <m/>
    <n v="5"/>
  </r>
  <r>
    <x v="6"/>
    <x v="0"/>
    <s v="S40000004"/>
    <x v="3"/>
    <m/>
    <m/>
    <m/>
    <n v="5"/>
    <n v="15"/>
    <m/>
    <m/>
    <n v="5"/>
  </r>
  <r>
    <x v="6"/>
    <x v="0"/>
    <s v="S40000004"/>
    <x v="6"/>
    <m/>
    <m/>
    <m/>
    <n v="19"/>
    <n v="54"/>
    <m/>
    <m/>
    <n v="15"/>
  </r>
  <r>
    <x v="6"/>
    <x v="0"/>
    <s v="S40000004"/>
    <x v="31"/>
    <m/>
    <m/>
    <m/>
    <n v="51"/>
    <n v="192"/>
    <m/>
    <m/>
    <n v="26"/>
  </r>
  <r>
    <x v="6"/>
    <x v="0"/>
    <s v="S40000004"/>
    <x v="9"/>
    <m/>
    <m/>
    <m/>
    <n v="4"/>
    <n v="17"/>
    <m/>
    <m/>
    <n v="5"/>
  </r>
  <r>
    <x v="6"/>
    <x v="0"/>
    <s v="S40000004"/>
    <x v="14"/>
    <m/>
    <m/>
    <m/>
    <n v="10"/>
    <n v="33"/>
    <m/>
    <m/>
    <n v="10"/>
  </r>
  <r>
    <x v="6"/>
    <x v="0"/>
    <s v="S40000004"/>
    <x v="18"/>
    <m/>
    <m/>
    <m/>
    <n v="10"/>
    <n v="36"/>
    <m/>
    <m/>
    <n v="5"/>
  </r>
  <r>
    <x v="6"/>
    <x v="0"/>
    <s v="S40000004"/>
    <x v="25"/>
    <m/>
    <m/>
    <m/>
    <n v="10"/>
    <n v="37"/>
    <m/>
    <m/>
    <n v="10"/>
  </r>
  <r>
    <x v="6"/>
    <x v="0"/>
    <s v="S40000005"/>
    <x v="19"/>
    <m/>
    <m/>
    <m/>
    <n v="35"/>
    <n v="105"/>
    <m/>
    <m/>
    <n v="15"/>
  </r>
  <r>
    <x v="6"/>
    <x v="0"/>
    <s v="S40000005"/>
    <x v="20"/>
    <m/>
    <m/>
    <m/>
    <n v="4"/>
    <n v="22"/>
    <m/>
    <m/>
    <n v="6"/>
  </r>
  <r>
    <x v="6"/>
    <x v="0"/>
    <s v="S40000005"/>
    <x v="26"/>
    <m/>
    <m/>
    <m/>
    <n v="5"/>
    <n v="17"/>
    <m/>
    <m/>
    <n v="5"/>
  </r>
  <r>
    <x v="6"/>
    <x v="0"/>
    <s v="S40000005"/>
    <x v="27"/>
    <m/>
    <m/>
    <m/>
    <n v="36"/>
    <n v="126"/>
    <m/>
    <m/>
    <n v="20"/>
  </r>
  <r>
    <x v="6"/>
    <x v="0"/>
    <s v="S40000005"/>
    <x v="7"/>
    <m/>
    <m/>
    <m/>
    <n v="14"/>
    <n v="52"/>
    <m/>
    <m/>
    <n v="5"/>
  </r>
  <r>
    <x v="6"/>
    <x v="0"/>
    <s v="S40000005"/>
    <x v="10"/>
    <m/>
    <m/>
    <m/>
    <n v="5"/>
    <n v="20"/>
    <m/>
    <m/>
    <n v="5"/>
  </r>
  <r>
    <x v="6"/>
    <x v="0"/>
    <s v="S40000005"/>
    <x v="13"/>
    <m/>
    <m/>
    <m/>
    <n v="10"/>
    <n v="52"/>
    <m/>
    <m/>
    <n v="5"/>
  </r>
  <r>
    <x v="6"/>
    <x v="1"/>
    <m/>
    <x v="47"/>
    <m/>
    <n v="1"/>
    <m/>
    <n v="6"/>
    <n v="4"/>
    <n v="4"/>
    <n v="12"/>
    <n v="11"/>
  </r>
  <r>
    <x v="6"/>
    <x v="1"/>
    <s v="S40000003"/>
    <x v="33"/>
    <m/>
    <n v="1"/>
    <m/>
    <n v="7"/>
    <n v="2"/>
    <n v="3"/>
    <n v="8"/>
    <n v="7"/>
  </r>
  <r>
    <x v="6"/>
    <x v="1"/>
    <s v="S40000003"/>
    <x v="1"/>
    <m/>
    <n v="1"/>
    <m/>
    <n v="3"/>
    <n v="1.83"/>
    <n v="2"/>
    <n v="6"/>
    <n v="8"/>
  </r>
  <r>
    <x v="6"/>
    <x v="1"/>
    <s v="S40000003"/>
    <x v="34"/>
    <m/>
    <n v="1"/>
    <m/>
    <n v="5"/>
    <n v="0.6"/>
    <n v="3"/>
    <n v="10"/>
    <n v="8"/>
  </r>
  <r>
    <x v="6"/>
    <x v="1"/>
    <s v="S40000003"/>
    <x v="36"/>
    <m/>
    <n v="1"/>
    <m/>
    <m/>
    <n v="1"/>
    <n v="4"/>
    <n v="4"/>
    <n v="3"/>
  </r>
  <r>
    <x v="6"/>
    <x v="1"/>
    <s v="S40000003"/>
    <x v="30"/>
    <m/>
    <n v="1"/>
    <m/>
    <n v="2"/>
    <n v="2"/>
    <n v="5"/>
    <n v="10"/>
    <n v="5"/>
  </r>
  <r>
    <x v="6"/>
    <x v="1"/>
    <s v="S40000003"/>
    <x v="28"/>
    <m/>
    <n v="1"/>
    <m/>
    <n v="2"/>
    <n v="1"/>
    <n v="2"/>
    <n v="5"/>
    <n v="5"/>
  </r>
  <r>
    <x v="6"/>
    <x v="1"/>
    <s v="S40000003"/>
    <x v="17"/>
    <m/>
    <n v="1"/>
    <m/>
    <n v="3"/>
    <m/>
    <n v="2"/>
    <n v="6"/>
    <n v="4"/>
  </r>
  <r>
    <x v="6"/>
    <x v="1"/>
    <s v="S40000004"/>
    <x v="35"/>
    <m/>
    <n v="1"/>
    <m/>
    <n v="5"/>
    <n v="4"/>
    <n v="3"/>
    <n v="7"/>
    <n v="9"/>
  </r>
  <r>
    <x v="6"/>
    <x v="1"/>
    <s v="S40000004"/>
    <x v="37"/>
    <m/>
    <n v="1"/>
    <m/>
    <n v="4"/>
    <n v="3.5"/>
    <n v="4"/>
    <n v="5"/>
    <n v="10"/>
  </r>
  <r>
    <x v="6"/>
    <x v="1"/>
    <s v="S40000004"/>
    <x v="38"/>
    <m/>
    <n v="1"/>
    <m/>
    <n v="2"/>
    <n v="2"/>
    <n v="2"/>
    <n v="6"/>
    <n v="6"/>
  </r>
  <r>
    <x v="6"/>
    <x v="1"/>
    <s v="S40000005"/>
    <x v="19"/>
    <m/>
    <n v="1"/>
    <m/>
    <n v="2"/>
    <n v="1"/>
    <n v="2"/>
    <n v="3"/>
    <n v="4"/>
  </r>
  <r>
    <x v="6"/>
    <x v="1"/>
    <s v="S40000005"/>
    <x v="32"/>
    <m/>
    <n v="1"/>
    <m/>
    <n v="4"/>
    <n v="1"/>
    <n v="3"/>
    <n v="9"/>
    <n v="7"/>
  </r>
  <r>
    <x v="6"/>
    <x v="1"/>
    <s v="S40000005"/>
    <x v="42"/>
    <m/>
    <n v="1"/>
    <m/>
    <n v="4"/>
    <n v="2"/>
    <n v="4"/>
    <n v="9"/>
    <n v="11"/>
  </r>
  <r>
    <x v="6"/>
    <x v="1"/>
    <s v="S40000005"/>
    <x v="39"/>
    <m/>
    <n v="1"/>
    <m/>
    <n v="8"/>
    <n v="1"/>
    <n v="4"/>
    <n v="13"/>
    <n v="11"/>
  </r>
  <r>
    <x v="6"/>
    <x v="1"/>
    <s v="S40000005"/>
    <x v="41"/>
    <m/>
    <n v="1"/>
    <m/>
    <n v="1"/>
    <m/>
    <n v="3"/>
    <n v="5"/>
    <n v="4"/>
  </r>
  <r>
    <x v="6"/>
    <x v="2"/>
    <s v="S40000003"/>
    <x v="43"/>
    <m/>
    <n v="3"/>
    <m/>
    <n v="21"/>
    <m/>
    <n v="10"/>
    <n v="14"/>
    <n v="55"/>
  </r>
  <r>
    <x v="6"/>
    <x v="2"/>
    <s v="S40000004"/>
    <x v="44"/>
    <m/>
    <n v="1"/>
    <m/>
    <n v="6"/>
    <m/>
    <n v="4"/>
    <n v="8"/>
    <n v="33"/>
  </r>
  <r>
    <x v="6"/>
    <x v="2"/>
    <s v="S40000005"/>
    <x v="45"/>
    <m/>
    <n v="2"/>
    <m/>
    <n v="6"/>
    <m/>
    <n v="3"/>
    <n v="7"/>
    <n v="24"/>
  </r>
  <r>
    <x v="6"/>
    <x v="3"/>
    <s v="S92000003"/>
    <x v="46"/>
    <m/>
    <n v="9"/>
    <n v="6"/>
    <m/>
    <n v="49"/>
    <n v="13"/>
    <n v="6"/>
    <n v="7"/>
  </r>
  <r>
    <x v="7"/>
    <x v="0"/>
    <s v="S40000002"/>
    <x v="0"/>
    <m/>
    <m/>
    <m/>
    <n v="5"/>
    <n v="13"/>
    <m/>
    <m/>
    <n v="6"/>
  </r>
  <r>
    <x v="7"/>
    <x v="0"/>
    <s v="S40000002"/>
    <x v="31"/>
    <m/>
    <m/>
    <m/>
    <n v="50"/>
    <n v="179"/>
    <m/>
    <m/>
    <n v="25"/>
  </r>
  <r>
    <x v="7"/>
    <x v="0"/>
    <s v="S40000002"/>
    <x v="18"/>
    <m/>
    <m/>
    <m/>
    <n v="10"/>
    <n v="37"/>
    <m/>
    <m/>
    <n v="5"/>
  </r>
  <r>
    <x v="7"/>
    <x v="0"/>
    <s v="S40000003"/>
    <x v="21"/>
    <m/>
    <m/>
    <m/>
    <n v="10"/>
    <n v="32"/>
    <m/>
    <m/>
    <n v="10"/>
  </r>
  <r>
    <x v="7"/>
    <x v="0"/>
    <s v="S40000003"/>
    <x v="1"/>
    <m/>
    <m/>
    <m/>
    <n v="10"/>
    <n v="36"/>
    <m/>
    <m/>
    <n v="5"/>
  </r>
  <r>
    <x v="7"/>
    <x v="0"/>
    <s v="S40000003"/>
    <x v="2"/>
    <m/>
    <m/>
    <m/>
    <n v="10"/>
    <n v="32"/>
    <m/>
    <m/>
    <n v="5"/>
  </r>
  <r>
    <x v="7"/>
    <x v="0"/>
    <s v="S40000003"/>
    <x v="29"/>
    <m/>
    <m/>
    <m/>
    <n v="14"/>
    <n v="46"/>
    <m/>
    <m/>
    <n v="16"/>
  </r>
  <r>
    <x v="7"/>
    <x v="0"/>
    <s v="S40000003"/>
    <x v="4"/>
    <m/>
    <m/>
    <m/>
    <n v="10"/>
    <n v="28"/>
    <m/>
    <m/>
    <n v="10"/>
  </r>
  <r>
    <x v="7"/>
    <x v="0"/>
    <s v="S40000003"/>
    <x v="30"/>
    <m/>
    <m/>
    <m/>
    <n v="109"/>
    <n v="335"/>
    <m/>
    <m/>
    <n v="55"/>
  </r>
  <r>
    <x v="7"/>
    <x v="0"/>
    <s v="S40000003"/>
    <x v="8"/>
    <m/>
    <m/>
    <m/>
    <n v="15"/>
    <n v="45"/>
    <m/>
    <m/>
    <n v="10"/>
  </r>
  <r>
    <x v="7"/>
    <x v="0"/>
    <s v="S40000003"/>
    <x v="11"/>
    <m/>
    <m/>
    <m/>
    <n v="15"/>
    <n v="45"/>
    <m/>
    <m/>
    <n v="15"/>
  </r>
  <r>
    <x v="7"/>
    <x v="0"/>
    <s v="S40000003"/>
    <x v="28"/>
    <m/>
    <m/>
    <m/>
    <n v="35"/>
    <n v="105"/>
    <m/>
    <m/>
    <n v="20"/>
  </r>
  <r>
    <x v="7"/>
    <x v="0"/>
    <s v="S40000003"/>
    <x v="23"/>
    <m/>
    <m/>
    <m/>
    <n v="21"/>
    <n v="64"/>
    <m/>
    <m/>
    <n v="15"/>
  </r>
  <r>
    <x v="7"/>
    <x v="0"/>
    <s v="S40000003"/>
    <x v="16"/>
    <m/>
    <m/>
    <m/>
    <n v="10"/>
    <n v="36"/>
    <m/>
    <m/>
    <n v="5"/>
  </r>
  <r>
    <x v="7"/>
    <x v="0"/>
    <s v="S40000003"/>
    <x v="17"/>
    <m/>
    <m/>
    <m/>
    <n v="37"/>
    <n v="111"/>
    <m/>
    <m/>
    <n v="20"/>
  </r>
  <r>
    <x v="7"/>
    <x v="0"/>
    <s v="S40000003"/>
    <x v="24"/>
    <m/>
    <m/>
    <m/>
    <n v="17"/>
    <n v="46"/>
    <m/>
    <m/>
    <n v="10"/>
  </r>
  <r>
    <x v="7"/>
    <x v="0"/>
    <s v="S40000004"/>
    <x v="22"/>
    <m/>
    <m/>
    <m/>
    <n v="58"/>
    <n v="205.5"/>
    <m/>
    <m/>
    <n v="36"/>
  </r>
  <r>
    <x v="7"/>
    <x v="0"/>
    <s v="S40000004"/>
    <x v="3"/>
    <m/>
    <m/>
    <m/>
    <n v="5"/>
    <n v="16"/>
    <m/>
    <m/>
    <n v="5"/>
  </r>
  <r>
    <x v="7"/>
    <x v="0"/>
    <s v="S40000004"/>
    <x v="6"/>
    <m/>
    <m/>
    <m/>
    <n v="20"/>
    <n v="53"/>
    <m/>
    <m/>
    <n v="15"/>
  </r>
  <r>
    <x v="7"/>
    <x v="0"/>
    <s v="S40000004"/>
    <x v="9"/>
    <m/>
    <m/>
    <m/>
    <n v="5"/>
    <n v="17"/>
    <m/>
    <m/>
    <n v="5"/>
  </r>
  <r>
    <x v="7"/>
    <x v="0"/>
    <s v="S40000004"/>
    <x v="14"/>
    <m/>
    <m/>
    <m/>
    <n v="8"/>
    <n v="33"/>
    <m/>
    <m/>
    <n v="10"/>
  </r>
  <r>
    <x v="7"/>
    <x v="0"/>
    <s v="S40000004"/>
    <x v="25"/>
    <m/>
    <m/>
    <m/>
    <n v="11"/>
    <n v="35"/>
    <m/>
    <m/>
    <n v="10"/>
  </r>
  <r>
    <x v="7"/>
    <x v="0"/>
    <s v="S40000005"/>
    <x v="19"/>
    <m/>
    <m/>
    <m/>
    <n v="35"/>
    <n v="99"/>
    <m/>
    <m/>
    <n v="15"/>
  </r>
  <r>
    <x v="7"/>
    <x v="0"/>
    <s v="S40000005"/>
    <x v="20"/>
    <m/>
    <m/>
    <m/>
    <n v="5"/>
    <n v="19"/>
    <m/>
    <m/>
    <n v="5"/>
  </r>
  <r>
    <x v="7"/>
    <x v="0"/>
    <s v="S40000005"/>
    <x v="26"/>
    <m/>
    <m/>
    <m/>
    <n v="5"/>
    <n v="17"/>
    <m/>
    <m/>
    <n v="5"/>
  </r>
  <r>
    <x v="7"/>
    <x v="0"/>
    <s v="S40000005"/>
    <x v="27"/>
    <m/>
    <m/>
    <m/>
    <n v="36"/>
    <n v="127"/>
    <m/>
    <m/>
    <n v="19"/>
  </r>
  <r>
    <x v="7"/>
    <x v="0"/>
    <s v="S40000005"/>
    <x v="7"/>
    <m/>
    <m/>
    <m/>
    <n v="15"/>
    <n v="54"/>
    <m/>
    <m/>
    <n v="5"/>
  </r>
  <r>
    <x v="7"/>
    <x v="0"/>
    <s v="S40000005"/>
    <x v="10"/>
    <m/>
    <m/>
    <m/>
    <n v="5"/>
    <n v="20"/>
    <m/>
    <m/>
    <n v="5"/>
  </r>
  <r>
    <x v="7"/>
    <x v="0"/>
    <s v="S40000005"/>
    <x v="13"/>
    <m/>
    <m/>
    <m/>
    <n v="10"/>
    <n v="48"/>
    <m/>
    <m/>
    <n v="5"/>
  </r>
  <r>
    <x v="7"/>
    <x v="1"/>
    <m/>
    <x v="47"/>
    <m/>
    <n v="1"/>
    <m/>
    <n v="6"/>
    <n v="4"/>
    <n v="4"/>
    <n v="11"/>
    <n v="11"/>
  </r>
  <r>
    <x v="7"/>
    <x v="1"/>
    <s v="S40000003"/>
    <x v="33"/>
    <m/>
    <n v="1"/>
    <m/>
    <n v="6"/>
    <n v="2"/>
    <n v="3"/>
    <n v="7"/>
    <n v="7"/>
  </r>
  <r>
    <x v="7"/>
    <x v="1"/>
    <s v="S40000003"/>
    <x v="1"/>
    <m/>
    <n v="1"/>
    <m/>
    <n v="4"/>
    <n v="1.83"/>
    <n v="2"/>
    <n v="6"/>
    <n v="6"/>
  </r>
  <r>
    <x v="7"/>
    <x v="1"/>
    <s v="S40000003"/>
    <x v="34"/>
    <m/>
    <n v="1"/>
    <m/>
    <n v="5"/>
    <n v="0.6"/>
    <n v="3"/>
    <n v="9"/>
    <n v="8"/>
  </r>
  <r>
    <x v="7"/>
    <x v="1"/>
    <s v="S40000003"/>
    <x v="36"/>
    <m/>
    <n v="1"/>
    <m/>
    <n v="2"/>
    <n v="1"/>
    <n v="4"/>
    <n v="5"/>
    <n v="4"/>
  </r>
  <r>
    <x v="7"/>
    <x v="1"/>
    <s v="S40000003"/>
    <x v="30"/>
    <m/>
    <n v="1"/>
    <m/>
    <n v="2"/>
    <n v="2"/>
    <n v="5"/>
    <n v="9"/>
    <n v="7"/>
  </r>
  <r>
    <x v="7"/>
    <x v="1"/>
    <s v="S40000003"/>
    <x v="28"/>
    <m/>
    <n v="1"/>
    <m/>
    <n v="2"/>
    <m/>
    <n v="2"/>
    <n v="5"/>
    <n v="5"/>
  </r>
  <r>
    <x v="7"/>
    <x v="1"/>
    <s v="S40000003"/>
    <x v="17"/>
    <m/>
    <n v="1"/>
    <m/>
    <n v="3"/>
    <m/>
    <n v="2"/>
    <n v="6"/>
    <n v="4"/>
  </r>
  <r>
    <x v="7"/>
    <x v="1"/>
    <s v="S40000004"/>
    <x v="35"/>
    <m/>
    <n v="1"/>
    <m/>
    <n v="3"/>
    <n v="4"/>
    <n v="3"/>
    <n v="7"/>
    <n v="10"/>
  </r>
  <r>
    <x v="7"/>
    <x v="1"/>
    <s v="S40000004"/>
    <x v="37"/>
    <m/>
    <n v="1"/>
    <m/>
    <n v="3"/>
    <n v="3.5"/>
    <n v="3"/>
    <n v="7"/>
    <n v="10"/>
  </r>
  <r>
    <x v="7"/>
    <x v="1"/>
    <s v="S40000004"/>
    <x v="38"/>
    <m/>
    <n v="1"/>
    <m/>
    <n v="3"/>
    <n v="2"/>
    <n v="2"/>
    <n v="5"/>
    <n v="6"/>
  </r>
  <r>
    <x v="7"/>
    <x v="1"/>
    <s v="S40000005"/>
    <x v="19"/>
    <m/>
    <n v="1"/>
    <m/>
    <n v="1"/>
    <n v="1"/>
    <n v="2"/>
    <n v="3"/>
    <n v="4"/>
  </r>
  <r>
    <x v="7"/>
    <x v="1"/>
    <s v="S40000005"/>
    <x v="32"/>
    <m/>
    <n v="1"/>
    <m/>
    <n v="4"/>
    <n v="1"/>
    <n v="3"/>
    <n v="9"/>
    <n v="8"/>
  </r>
  <r>
    <x v="7"/>
    <x v="1"/>
    <s v="S40000005"/>
    <x v="42"/>
    <m/>
    <n v="1"/>
    <m/>
    <n v="4"/>
    <n v="1"/>
    <n v="4"/>
    <n v="8"/>
    <n v="10"/>
  </r>
  <r>
    <x v="7"/>
    <x v="1"/>
    <s v="S40000005"/>
    <x v="39"/>
    <m/>
    <n v="1"/>
    <m/>
    <n v="7"/>
    <n v="1"/>
    <n v="4"/>
    <n v="12"/>
    <n v="10"/>
  </r>
  <r>
    <x v="7"/>
    <x v="1"/>
    <s v="S40000005"/>
    <x v="41"/>
    <m/>
    <n v="1"/>
    <m/>
    <m/>
    <m/>
    <n v="3"/>
    <n v="7"/>
    <n v="4"/>
  </r>
  <r>
    <x v="7"/>
    <x v="2"/>
    <s v="S40000003"/>
    <x v="43"/>
    <m/>
    <n v="3"/>
    <m/>
    <n v="17"/>
    <n v="25"/>
    <n v="5"/>
    <n v="5"/>
    <n v="36"/>
  </r>
  <r>
    <x v="7"/>
    <x v="2"/>
    <s v="S40000004"/>
    <x v="44"/>
    <m/>
    <n v="1"/>
    <m/>
    <n v="6"/>
    <n v="20"/>
    <n v="2"/>
    <n v="5"/>
    <n v="32"/>
  </r>
  <r>
    <x v="7"/>
    <x v="2"/>
    <s v="S40000005"/>
    <x v="45"/>
    <m/>
    <n v="2"/>
    <m/>
    <n v="13"/>
    <n v="13"/>
    <n v="2"/>
    <n v="6"/>
    <n v="19"/>
  </r>
  <r>
    <x v="7"/>
    <x v="3"/>
    <s v="S92000003"/>
    <x v="46"/>
    <m/>
    <n v="13"/>
    <n v="5"/>
    <m/>
    <n v="1"/>
    <n v="21"/>
    <n v="20"/>
    <n v="30"/>
  </r>
  <r>
    <x v="8"/>
    <x v="0"/>
    <m/>
    <x v="19"/>
    <m/>
    <m/>
    <m/>
    <n v="35"/>
    <n v="103"/>
    <m/>
    <m/>
    <n v="16"/>
  </r>
  <r>
    <x v="8"/>
    <x v="0"/>
    <m/>
    <x v="20"/>
    <m/>
    <m/>
    <m/>
    <n v="5"/>
    <n v="18"/>
    <m/>
    <m/>
    <n v="5"/>
  </r>
  <r>
    <x v="8"/>
    <x v="0"/>
    <m/>
    <x v="26"/>
    <m/>
    <m/>
    <m/>
    <n v="5"/>
    <n v="16"/>
    <m/>
    <m/>
    <n v="5"/>
  </r>
  <r>
    <x v="8"/>
    <x v="0"/>
    <m/>
    <x v="21"/>
    <m/>
    <m/>
    <m/>
    <n v="8"/>
    <n v="28"/>
    <m/>
    <m/>
    <n v="10"/>
  </r>
  <r>
    <x v="8"/>
    <x v="0"/>
    <m/>
    <x v="22"/>
    <m/>
    <m/>
    <m/>
    <n v="58"/>
    <n v="201.5"/>
    <m/>
    <m/>
    <n v="35"/>
  </r>
  <r>
    <x v="8"/>
    <x v="0"/>
    <m/>
    <x v="0"/>
    <m/>
    <m/>
    <m/>
    <n v="4"/>
    <n v="15"/>
    <m/>
    <m/>
    <n v="5"/>
  </r>
  <r>
    <x v="8"/>
    <x v="0"/>
    <m/>
    <x v="1"/>
    <m/>
    <m/>
    <m/>
    <n v="10"/>
    <n v="35"/>
    <m/>
    <m/>
    <n v="5"/>
  </r>
  <r>
    <x v="8"/>
    <x v="0"/>
    <m/>
    <x v="27"/>
    <m/>
    <m/>
    <m/>
    <n v="35"/>
    <n v="119"/>
    <m/>
    <m/>
    <n v="20"/>
  </r>
  <r>
    <x v="8"/>
    <x v="0"/>
    <m/>
    <x v="2"/>
    <m/>
    <m/>
    <m/>
    <n v="10"/>
    <n v="31"/>
    <m/>
    <m/>
    <n v="5"/>
  </r>
  <r>
    <x v="8"/>
    <x v="0"/>
    <m/>
    <x v="29"/>
    <m/>
    <m/>
    <m/>
    <n v="13"/>
    <n v="46"/>
    <m/>
    <m/>
    <n v="16"/>
  </r>
  <r>
    <x v="8"/>
    <x v="0"/>
    <m/>
    <x v="3"/>
    <m/>
    <m/>
    <m/>
    <n v="4"/>
    <n v="14"/>
    <m/>
    <m/>
    <n v="6"/>
  </r>
  <r>
    <x v="8"/>
    <x v="0"/>
    <m/>
    <x v="4"/>
    <m/>
    <m/>
    <m/>
    <n v="7"/>
    <n v="30"/>
    <m/>
    <m/>
    <n v="10"/>
  </r>
  <r>
    <x v="8"/>
    <x v="0"/>
    <m/>
    <x v="6"/>
    <m/>
    <m/>
    <m/>
    <n v="19"/>
    <n v="53"/>
    <m/>
    <m/>
    <n v="15"/>
  </r>
  <r>
    <x v="8"/>
    <x v="0"/>
    <m/>
    <x v="31"/>
    <m/>
    <m/>
    <m/>
    <n v="50"/>
    <n v="179"/>
    <m/>
    <m/>
    <n v="25"/>
  </r>
  <r>
    <x v="8"/>
    <x v="0"/>
    <m/>
    <x v="30"/>
    <m/>
    <m/>
    <m/>
    <n v="106"/>
    <n v="332"/>
    <m/>
    <m/>
    <n v="55"/>
  </r>
  <r>
    <x v="8"/>
    <x v="0"/>
    <m/>
    <x v="7"/>
    <m/>
    <m/>
    <m/>
    <n v="15"/>
    <n v="50"/>
    <m/>
    <m/>
    <n v="5"/>
  </r>
  <r>
    <x v="8"/>
    <x v="0"/>
    <m/>
    <x v="8"/>
    <m/>
    <m/>
    <m/>
    <n v="12"/>
    <n v="46"/>
    <m/>
    <m/>
    <n v="10"/>
  </r>
  <r>
    <x v="8"/>
    <x v="0"/>
    <m/>
    <x v="9"/>
    <m/>
    <m/>
    <m/>
    <n v="4"/>
    <n v="17"/>
    <m/>
    <m/>
    <n v="5"/>
  </r>
  <r>
    <x v="8"/>
    <x v="0"/>
    <m/>
    <x v="10"/>
    <m/>
    <m/>
    <m/>
    <n v="5"/>
    <n v="20"/>
    <m/>
    <m/>
    <n v="5"/>
  </r>
  <r>
    <x v="8"/>
    <x v="0"/>
    <m/>
    <x v="11"/>
    <m/>
    <m/>
    <m/>
    <n v="14"/>
    <n v="46"/>
    <m/>
    <m/>
    <n v="14"/>
  </r>
  <r>
    <x v="8"/>
    <x v="0"/>
    <m/>
    <x v="28"/>
    <m/>
    <m/>
    <m/>
    <n v="37"/>
    <n v="100"/>
    <m/>
    <m/>
    <n v="19"/>
  </r>
  <r>
    <x v="8"/>
    <x v="0"/>
    <m/>
    <x v="13"/>
    <m/>
    <m/>
    <m/>
    <n v="9"/>
    <n v="53"/>
    <m/>
    <m/>
    <n v="4"/>
  </r>
  <r>
    <x v="8"/>
    <x v="0"/>
    <m/>
    <x v="23"/>
    <m/>
    <m/>
    <m/>
    <n v="19"/>
    <n v="63"/>
    <m/>
    <m/>
    <n v="17"/>
  </r>
  <r>
    <x v="8"/>
    <x v="0"/>
    <m/>
    <x v="14"/>
    <m/>
    <m/>
    <m/>
    <n v="10"/>
    <n v="33"/>
    <m/>
    <m/>
    <n v="10"/>
  </r>
  <r>
    <x v="8"/>
    <x v="0"/>
    <m/>
    <x v="16"/>
    <m/>
    <m/>
    <m/>
    <n v="10"/>
    <n v="32"/>
    <m/>
    <m/>
    <n v="5"/>
  </r>
  <r>
    <x v="8"/>
    <x v="0"/>
    <m/>
    <x v="17"/>
    <m/>
    <m/>
    <m/>
    <n v="36"/>
    <n v="99"/>
    <m/>
    <m/>
    <n v="20"/>
  </r>
  <r>
    <x v="8"/>
    <x v="0"/>
    <m/>
    <x v="18"/>
    <m/>
    <m/>
    <m/>
    <n v="11"/>
    <n v="33"/>
    <m/>
    <m/>
    <n v="5"/>
  </r>
  <r>
    <x v="8"/>
    <x v="0"/>
    <m/>
    <x v="24"/>
    <m/>
    <m/>
    <m/>
    <n v="11"/>
    <n v="47"/>
    <m/>
    <m/>
    <n v="11"/>
  </r>
  <r>
    <x v="8"/>
    <x v="0"/>
    <m/>
    <x v="25"/>
    <m/>
    <m/>
    <m/>
    <n v="10"/>
    <n v="37.5"/>
    <m/>
    <m/>
    <n v="10"/>
  </r>
  <r>
    <x v="8"/>
    <x v="1"/>
    <m/>
    <x v="48"/>
    <m/>
    <n v="1"/>
    <m/>
    <n v="5"/>
    <n v="2"/>
    <n v="4"/>
    <n v="12"/>
    <n v="12"/>
  </r>
  <r>
    <x v="8"/>
    <x v="1"/>
    <m/>
    <x v="33"/>
    <m/>
    <n v="1"/>
    <m/>
    <n v="6"/>
    <n v="2"/>
    <n v="4"/>
    <n v="8"/>
    <n v="7"/>
  </r>
  <r>
    <x v="8"/>
    <x v="1"/>
    <m/>
    <x v="1"/>
    <m/>
    <n v="1"/>
    <m/>
    <n v="4"/>
    <n v="1.83"/>
    <n v="2"/>
    <n v="6"/>
    <n v="7"/>
  </r>
  <r>
    <x v="8"/>
    <x v="1"/>
    <m/>
    <x v="42"/>
    <m/>
    <n v="1"/>
    <m/>
    <n v="5"/>
    <n v="2"/>
    <n v="4"/>
    <n v="8"/>
    <n v="11"/>
  </r>
  <r>
    <x v="8"/>
    <x v="1"/>
    <m/>
    <x v="34"/>
    <m/>
    <n v="1"/>
    <m/>
    <n v="3"/>
    <n v="0.6"/>
    <n v="3"/>
    <n v="11"/>
    <n v="8"/>
  </r>
  <r>
    <x v="8"/>
    <x v="1"/>
    <m/>
    <x v="35"/>
    <m/>
    <n v="1"/>
    <m/>
    <n v="6"/>
    <n v="4"/>
    <n v="3"/>
    <n v="7"/>
    <n v="8"/>
  </r>
  <r>
    <x v="8"/>
    <x v="1"/>
    <m/>
    <x v="36"/>
    <m/>
    <n v="1"/>
    <m/>
    <n v="3"/>
    <n v="1"/>
    <n v="3"/>
    <n v="6"/>
    <n v="5"/>
  </r>
  <r>
    <x v="8"/>
    <x v="1"/>
    <m/>
    <x v="37"/>
    <m/>
    <n v="1"/>
    <m/>
    <n v="3"/>
    <n v="4"/>
    <n v="3"/>
    <n v="7"/>
    <n v="9"/>
  </r>
  <r>
    <x v="8"/>
    <x v="1"/>
    <m/>
    <x v="38"/>
    <m/>
    <n v="1"/>
    <m/>
    <n v="3"/>
    <n v="2"/>
    <n v="2"/>
    <n v="4"/>
    <n v="6"/>
  </r>
  <r>
    <x v="8"/>
    <x v="1"/>
    <m/>
    <x v="30"/>
    <m/>
    <n v="1"/>
    <m/>
    <n v="1"/>
    <n v="1"/>
    <n v="4"/>
    <n v="9"/>
    <n v="7"/>
  </r>
  <r>
    <x v="8"/>
    <x v="1"/>
    <m/>
    <x v="39"/>
    <m/>
    <n v="1"/>
    <m/>
    <n v="6"/>
    <n v="2"/>
    <n v="4"/>
    <n v="10"/>
    <n v="10"/>
  </r>
  <r>
    <x v="8"/>
    <x v="1"/>
    <m/>
    <x v="49"/>
    <m/>
    <n v="1"/>
    <m/>
    <n v="4"/>
    <n v="1"/>
    <n v="3"/>
    <n v="11"/>
    <n v="10"/>
  </r>
  <r>
    <x v="8"/>
    <x v="1"/>
    <m/>
    <x v="47"/>
    <m/>
    <n v="1"/>
    <m/>
    <n v="7"/>
    <n v="3"/>
    <n v="4"/>
    <n v="13"/>
    <n v="10"/>
  </r>
  <r>
    <x v="8"/>
    <x v="1"/>
    <m/>
    <x v="41"/>
    <m/>
    <n v="1"/>
    <m/>
    <m/>
    <m/>
    <n v="4"/>
    <n v="7"/>
    <n v="5"/>
  </r>
  <r>
    <x v="8"/>
    <x v="2"/>
    <m/>
    <x v="45"/>
    <m/>
    <n v="2"/>
    <m/>
    <n v="10"/>
    <n v="10"/>
    <n v="2"/>
    <n v="7"/>
    <n v="17"/>
  </r>
  <r>
    <x v="8"/>
    <x v="2"/>
    <m/>
    <x v="43"/>
    <m/>
    <n v="2"/>
    <m/>
    <n v="16"/>
    <n v="34"/>
    <n v="5"/>
    <n v="7"/>
    <n v="43"/>
  </r>
  <r>
    <x v="8"/>
    <x v="2"/>
    <s v="S40000004"/>
    <x v="44"/>
    <m/>
    <n v="1"/>
    <m/>
    <n v="6"/>
    <n v="21"/>
    <n v="2"/>
    <n v="5"/>
    <n v="31"/>
  </r>
  <r>
    <x v="8"/>
    <x v="3"/>
    <s v="S92000003"/>
    <x v="46"/>
    <m/>
    <n v="16"/>
    <n v="5"/>
    <m/>
    <m/>
    <n v="20"/>
    <n v="19"/>
    <n v="28"/>
  </r>
  <r>
    <x v="9"/>
    <x v="0"/>
    <m/>
    <x v="19"/>
    <m/>
    <m/>
    <m/>
    <n v="32"/>
    <n v="103"/>
    <m/>
    <m/>
    <n v="20"/>
  </r>
  <r>
    <x v="9"/>
    <x v="0"/>
    <m/>
    <x v="20"/>
    <m/>
    <m/>
    <m/>
    <n v="5"/>
    <n v="18"/>
    <m/>
    <m/>
    <n v="5"/>
  </r>
  <r>
    <x v="9"/>
    <x v="0"/>
    <m/>
    <x v="26"/>
    <m/>
    <m/>
    <m/>
    <n v="5"/>
    <n v="14"/>
    <m/>
    <m/>
    <n v="5"/>
  </r>
  <r>
    <x v="9"/>
    <x v="0"/>
    <m/>
    <x v="21"/>
    <m/>
    <m/>
    <m/>
    <n v="11"/>
    <n v="29"/>
    <m/>
    <m/>
    <n v="10"/>
  </r>
  <r>
    <x v="9"/>
    <x v="0"/>
    <m/>
    <x v="22"/>
    <m/>
    <m/>
    <m/>
    <n v="53"/>
    <n v="191.5"/>
    <m/>
    <m/>
    <n v="38"/>
  </r>
  <r>
    <x v="9"/>
    <x v="0"/>
    <m/>
    <x v="0"/>
    <m/>
    <m/>
    <m/>
    <n v="6"/>
    <n v="14"/>
    <m/>
    <m/>
    <n v="5"/>
  </r>
  <r>
    <x v="9"/>
    <x v="0"/>
    <m/>
    <x v="1"/>
    <m/>
    <m/>
    <m/>
    <n v="9"/>
    <n v="37"/>
    <m/>
    <m/>
    <n v="5"/>
  </r>
  <r>
    <x v="9"/>
    <x v="0"/>
    <m/>
    <x v="27"/>
    <m/>
    <m/>
    <m/>
    <n v="37"/>
    <n v="112"/>
    <m/>
    <m/>
    <n v="20"/>
  </r>
  <r>
    <x v="9"/>
    <x v="0"/>
    <m/>
    <x v="2"/>
    <m/>
    <m/>
    <m/>
    <n v="8"/>
    <n v="33.6"/>
    <m/>
    <m/>
    <n v="5"/>
  </r>
  <r>
    <x v="9"/>
    <x v="0"/>
    <m/>
    <x v="29"/>
    <m/>
    <m/>
    <m/>
    <n v="12"/>
    <n v="44"/>
    <m/>
    <m/>
    <n v="15"/>
  </r>
  <r>
    <x v="9"/>
    <x v="0"/>
    <m/>
    <x v="3"/>
    <m/>
    <m/>
    <m/>
    <n v="4"/>
    <n v="15"/>
    <m/>
    <m/>
    <n v="5"/>
  </r>
  <r>
    <x v="9"/>
    <x v="0"/>
    <m/>
    <x v="4"/>
    <m/>
    <m/>
    <m/>
    <n v="10"/>
    <n v="27"/>
    <m/>
    <m/>
    <n v="10"/>
  </r>
  <r>
    <x v="9"/>
    <x v="0"/>
    <m/>
    <x v="6"/>
    <m/>
    <m/>
    <m/>
    <n v="19"/>
    <n v="50"/>
    <m/>
    <m/>
    <n v="15"/>
  </r>
  <r>
    <x v="9"/>
    <x v="0"/>
    <m/>
    <x v="31"/>
    <m/>
    <m/>
    <m/>
    <n v="51"/>
    <n v="163"/>
    <m/>
    <m/>
    <n v="25"/>
  </r>
  <r>
    <x v="9"/>
    <x v="0"/>
    <m/>
    <x v="30"/>
    <m/>
    <m/>
    <m/>
    <n v="108"/>
    <n v="317"/>
    <m/>
    <m/>
    <n v="66"/>
  </r>
  <r>
    <x v="9"/>
    <x v="0"/>
    <m/>
    <x v="7"/>
    <m/>
    <m/>
    <m/>
    <n v="7"/>
    <m/>
    <m/>
    <m/>
    <n v="4"/>
  </r>
  <r>
    <x v="9"/>
    <x v="0"/>
    <m/>
    <x v="7"/>
    <m/>
    <m/>
    <m/>
    <n v="16"/>
    <n v="51"/>
    <m/>
    <m/>
    <n v="6"/>
  </r>
  <r>
    <x v="9"/>
    <x v="0"/>
    <m/>
    <x v="8"/>
    <m/>
    <m/>
    <m/>
    <n v="14"/>
    <n v="43"/>
    <m/>
    <m/>
    <n v="10"/>
  </r>
  <r>
    <x v="9"/>
    <x v="0"/>
    <m/>
    <x v="9"/>
    <m/>
    <m/>
    <m/>
    <n v="4"/>
    <n v="15"/>
    <m/>
    <m/>
    <n v="6"/>
  </r>
  <r>
    <x v="9"/>
    <x v="0"/>
    <m/>
    <x v="10"/>
    <m/>
    <m/>
    <m/>
    <n v="4"/>
    <n v="20"/>
    <m/>
    <m/>
    <n v="5"/>
  </r>
  <r>
    <x v="9"/>
    <x v="0"/>
    <m/>
    <x v="5"/>
    <m/>
    <m/>
    <m/>
    <m/>
    <m/>
    <m/>
    <m/>
    <n v="3"/>
  </r>
  <r>
    <x v="9"/>
    <x v="0"/>
    <m/>
    <x v="11"/>
    <m/>
    <m/>
    <m/>
    <n v="16"/>
    <n v="44"/>
    <m/>
    <m/>
    <n v="15"/>
  </r>
  <r>
    <x v="9"/>
    <x v="0"/>
    <m/>
    <x v="28"/>
    <m/>
    <m/>
    <m/>
    <n v="36"/>
    <n v="102"/>
    <m/>
    <m/>
    <n v="21"/>
  </r>
  <r>
    <x v="9"/>
    <x v="0"/>
    <m/>
    <x v="12"/>
    <m/>
    <m/>
    <m/>
    <m/>
    <m/>
    <m/>
    <m/>
    <n v="1"/>
  </r>
  <r>
    <x v="9"/>
    <x v="0"/>
    <m/>
    <x v="13"/>
    <m/>
    <m/>
    <m/>
    <n v="11"/>
    <n v="53"/>
    <m/>
    <m/>
    <n v="5"/>
  </r>
  <r>
    <x v="9"/>
    <x v="0"/>
    <m/>
    <x v="23"/>
    <m/>
    <m/>
    <m/>
    <n v="20"/>
    <n v="60"/>
    <m/>
    <m/>
    <n v="15"/>
  </r>
  <r>
    <x v="9"/>
    <x v="0"/>
    <m/>
    <x v="14"/>
    <m/>
    <m/>
    <m/>
    <n v="9"/>
    <n v="37"/>
    <m/>
    <m/>
    <n v="10"/>
  </r>
  <r>
    <x v="9"/>
    <x v="0"/>
    <m/>
    <x v="15"/>
    <m/>
    <m/>
    <m/>
    <m/>
    <m/>
    <m/>
    <m/>
    <n v="1"/>
  </r>
  <r>
    <x v="9"/>
    <x v="0"/>
    <m/>
    <x v="16"/>
    <m/>
    <m/>
    <m/>
    <n v="9"/>
    <n v="34"/>
    <m/>
    <m/>
    <n v="5"/>
  </r>
  <r>
    <x v="9"/>
    <x v="0"/>
    <m/>
    <x v="17"/>
    <m/>
    <m/>
    <m/>
    <n v="35"/>
    <n v="109"/>
    <m/>
    <m/>
    <n v="20"/>
  </r>
  <r>
    <x v="9"/>
    <x v="0"/>
    <m/>
    <x v="18"/>
    <m/>
    <m/>
    <m/>
    <n v="9"/>
    <n v="32"/>
    <m/>
    <m/>
    <n v="5"/>
  </r>
  <r>
    <x v="9"/>
    <x v="0"/>
    <m/>
    <x v="24"/>
    <m/>
    <m/>
    <m/>
    <n v="15"/>
    <n v="43"/>
    <m/>
    <m/>
    <n v="10"/>
  </r>
  <r>
    <x v="9"/>
    <x v="0"/>
    <m/>
    <x v="25"/>
    <m/>
    <m/>
    <m/>
    <n v="10"/>
    <n v="35.5"/>
    <m/>
    <m/>
    <n v="12"/>
  </r>
  <r>
    <x v="9"/>
    <x v="1"/>
    <m/>
    <x v="48"/>
    <m/>
    <n v="1"/>
    <m/>
    <m/>
    <m/>
    <n v="4"/>
    <n v="10"/>
    <n v="9"/>
  </r>
  <r>
    <x v="9"/>
    <x v="1"/>
    <m/>
    <x v="33"/>
    <m/>
    <n v="1"/>
    <m/>
    <n v="6"/>
    <n v="2"/>
    <n v="4"/>
    <n v="10"/>
    <n v="7"/>
  </r>
  <r>
    <x v="9"/>
    <x v="1"/>
    <m/>
    <x v="1"/>
    <m/>
    <n v="1"/>
    <m/>
    <n v="4"/>
    <n v="1.83"/>
    <n v="2"/>
    <n v="6"/>
    <n v="3"/>
  </r>
  <r>
    <x v="9"/>
    <x v="1"/>
    <m/>
    <x v="42"/>
    <m/>
    <n v="1"/>
    <m/>
    <m/>
    <n v="2"/>
    <n v="4"/>
    <n v="7"/>
    <n v="9"/>
  </r>
  <r>
    <x v="9"/>
    <x v="1"/>
    <m/>
    <x v="34"/>
    <m/>
    <n v="1"/>
    <m/>
    <n v="4"/>
    <m/>
    <n v="4"/>
    <n v="10"/>
    <n v="7"/>
  </r>
  <r>
    <x v="9"/>
    <x v="1"/>
    <m/>
    <x v="35"/>
    <m/>
    <n v="1"/>
    <m/>
    <n v="6"/>
    <n v="4"/>
    <n v="4"/>
    <n v="6"/>
    <n v="11"/>
  </r>
  <r>
    <x v="9"/>
    <x v="1"/>
    <m/>
    <x v="36"/>
    <m/>
    <n v="1"/>
    <m/>
    <n v="4"/>
    <n v="1"/>
    <n v="3"/>
    <n v="6"/>
    <n v="4"/>
  </r>
  <r>
    <x v="9"/>
    <x v="1"/>
    <m/>
    <x v="37"/>
    <m/>
    <n v="1"/>
    <m/>
    <n v="3"/>
    <n v="3"/>
    <n v="3"/>
    <n v="8"/>
    <n v="8"/>
  </r>
  <r>
    <x v="9"/>
    <x v="1"/>
    <m/>
    <x v="38"/>
    <m/>
    <n v="1"/>
    <m/>
    <n v="4"/>
    <n v="1"/>
    <n v="1"/>
    <n v="6"/>
    <n v="6"/>
  </r>
  <r>
    <x v="9"/>
    <x v="1"/>
    <m/>
    <x v="30"/>
    <m/>
    <n v="1"/>
    <m/>
    <n v="2"/>
    <n v="1"/>
    <n v="4"/>
    <n v="9"/>
    <n v="6"/>
  </r>
  <r>
    <x v="9"/>
    <x v="1"/>
    <m/>
    <x v="39"/>
    <m/>
    <n v="1"/>
    <m/>
    <m/>
    <n v="1"/>
    <n v="4"/>
    <n v="10"/>
    <n v="4"/>
  </r>
  <r>
    <x v="9"/>
    <x v="1"/>
    <m/>
    <x v="49"/>
    <m/>
    <n v="1"/>
    <m/>
    <n v="4"/>
    <n v="1"/>
    <n v="3"/>
    <n v="8"/>
    <n v="10"/>
  </r>
  <r>
    <x v="9"/>
    <x v="1"/>
    <m/>
    <x v="47"/>
    <m/>
    <n v="1"/>
    <m/>
    <n v="6"/>
    <n v="2"/>
    <n v="4"/>
    <n v="10"/>
    <n v="8"/>
  </r>
  <r>
    <x v="9"/>
    <x v="1"/>
    <m/>
    <x v="41"/>
    <m/>
    <m/>
    <m/>
    <m/>
    <m/>
    <n v="1"/>
    <m/>
    <m/>
  </r>
  <r>
    <x v="9"/>
    <x v="1"/>
    <m/>
    <x v="41"/>
    <m/>
    <n v="1"/>
    <m/>
    <m/>
    <m/>
    <n v="3"/>
    <n v="5"/>
    <m/>
  </r>
  <r>
    <x v="9"/>
    <x v="2"/>
    <m/>
    <x v="45"/>
    <m/>
    <n v="2"/>
    <m/>
    <n v="12"/>
    <n v="25"/>
    <n v="3"/>
    <n v="6"/>
    <n v="22"/>
  </r>
  <r>
    <x v="9"/>
    <x v="2"/>
    <m/>
    <x v="43"/>
    <m/>
    <n v="2"/>
    <m/>
    <n v="10"/>
    <n v="48"/>
    <n v="5"/>
    <n v="11"/>
    <n v="43"/>
  </r>
  <r>
    <x v="9"/>
    <x v="2"/>
    <s v="S40000004"/>
    <x v="44"/>
    <m/>
    <n v="1"/>
    <m/>
    <n v="4"/>
    <n v="30"/>
    <n v="3"/>
    <n v="4"/>
    <n v="25"/>
  </r>
  <r>
    <x v="9"/>
    <x v="3"/>
    <s v="S92000003"/>
    <x v="46"/>
    <m/>
    <n v="12"/>
    <n v="5"/>
    <n v="1"/>
    <m/>
    <n v="19"/>
    <n v="16"/>
    <n v="16"/>
  </r>
  <r>
    <x v="10"/>
    <x v="0"/>
    <m/>
    <x v="19"/>
    <m/>
    <m/>
    <m/>
    <n v="34"/>
    <n v="106"/>
    <m/>
    <m/>
    <n v="22"/>
  </r>
  <r>
    <x v="10"/>
    <x v="0"/>
    <m/>
    <x v="20"/>
    <m/>
    <m/>
    <m/>
    <n v="6"/>
    <n v="17"/>
    <m/>
    <m/>
    <n v="5"/>
  </r>
  <r>
    <x v="10"/>
    <x v="0"/>
    <m/>
    <x v="26"/>
    <m/>
    <m/>
    <m/>
    <n v="5"/>
    <n v="17"/>
    <m/>
    <m/>
    <n v="5"/>
  </r>
  <r>
    <x v="10"/>
    <x v="0"/>
    <m/>
    <x v="21"/>
    <m/>
    <m/>
    <m/>
    <n v="10"/>
    <n v="34"/>
    <m/>
    <m/>
    <n v="11"/>
  </r>
  <r>
    <x v="10"/>
    <x v="0"/>
    <m/>
    <x v="22"/>
    <m/>
    <m/>
    <m/>
    <n v="59"/>
    <n v="198.5"/>
    <m/>
    <m/>
    <n v="35"/>
  </r>
  <r>
    <x v="10"/>
    <x v="0"/>
    <m/>
    <x v="0"/>
    <m/>
    <m/>
    <m/>
    <n v="5"/>
    <n v="16"/>
    <m/>
    <m/>
    <n v="6"/>
  </r>
  <r>
    <x v="10"/>
    <x v="0"/>
    <m/>
    <x v="1"/>
    <m/>
    <m/>
    <m/>
    <n v="10"/>
    <n v="38"/>
    <m/>
    <m/>
    <n v="5"/>
  </r>
  <r>
    <x v="10"/>
    <x v="0"/>
    <m/>
    <x v="27"/>
    <m/>
    <m/>
    <m/>
    <n v="30"/>
    <n v="118"/>
    <m/>
    <m/>
    <n v="20"/>
  </r>
  <r>
    <x v="10"/>
    <x v="0"/>
    <m/>
    <x v="2"/>
    <m/>
    <m/>
    <m/>
    <n v="10"/>
    <n v="32"/>
    <m/>
    <m/>
    <n v="6"/>
  </r>
  <r>
    <x v="10"/>
    <x v="0"/>
    <m/>
    <x v="29"/>
    <m/>
    <m/>
    <m/>
    <n v="15"/>
    <n v="46"/>
    <m/>
    <m/>
    <n v="15"/>
  </r>
  <r>
    <x v="10"/>
    <x v="0"/>
    <m/>
    <x v="3"/>
    <m/>
    <m/>
    <m/>
    <n v="5"/>
    <n v="15"/>
    <m/>
    <m/>
    <n v="5"/>
  </r>
  <r>
    <x v="10"/>
    <x v="0"/>
    <m/>
    <x v="4"/>
    <m/>
    <m/>
    <m/>
    <n v="10"/>
    <n v="33"/>
    <m/>
    <m/>
    <n v="10"/>
  </r>
  <r>
    <x v="10"/>
    <x v="0"/>
    <m/>
    <x v="6"/>
    <m/>
    <m/>
    <m/>
    <n v="20"/>
    <n v="56"/>
    <m/>
    <m/>
    <n v="15"/>
  </r>
  <r>
    <x v="10"/>
    <x v="0"/>
    <m/>
    <x v="31"/>
    <m/>
    <m/>
    <m/>
    <n v="43"/>
    <n v="146"/>
    <m/>
    <m/>
    <n v="27"/>
  </r>
  <r>
    <x v="10"/>
    <x v="0"/>
    <m/>
    <x v="30"/>
    <m/>
    <m/>
    <m/>
    <n v="94"/>
    <n v="302"/>
    <m/>
    <m/>
    <n v="67"/>
  </r>
  <r>
    <x v="10"/>
    <x v="0"/>
    <m/>
    <x v="7"/>
    <m/>
    <m/>
    <m/>
    <n v="20"/>
    <n v="52"/>
    <m/>
    <m/>
    <n v="8"/>
  </r>
  <r>
    <x v="10"/>
    <x v="0"/>
    <m/>
    <x v="8"/>
    <m/>
    <m/>
    <m/>
    <n v="14"/>
    <n v="39"/>
    <m/>
    <m/>
    <n v="10"/>
  </r>
  <r>
    <x v="10"/>
    <x v="0"/>
    <m/>
    <x v="9"/>
    <m/>
    <m/>
    <m/>
    <n v="7"/>
    <n v="16"/>
    <m/>
    <m/>
    <n v="6"/>
  </r>
  <r>
    <x v="10"/>
    <x v="0"/>
    <m/>
    <x v="10"/>
    <m/>
    <m/>
    <m/>
    <n v="4"/>
    <n v="21"/>
    <m/>
    <m/>
    <n v="5"/>
  </r>
  <r>
    <x v="10"/>
    <x v="0"/>
    <m/>
    <x v="5"/>
    <m/>
    <m/>
    <m/>
    <m/>
    <m/>
    <m/>
    <m/>
    <n v="3"/>
  </r>
  <r>
    <x v="10"/>
    <x v="0"/>
    <m/>
    <x v="11"/>
    <m/>
    <m/>
    <m/>
    <n v="16"/>
    <n v="54"/>
    <m/>
    <m/>
    <n v="15"/>
  </r>
  <r>
    <x v="10"/>
    <x v="0"/>
    <m/>
    <x v="28"/>
    <m/>
    <m/>
    <m/>
    <n v="36"/>
    <n v="112"/>
    <m/>
    <m/>
    <n v="21"/>
  </r>
  <r>
    <x v="10"/>
    <x v="0"/>
    <m/>
    <x v="13"/>
    <m/>
    <m/>
    <m/>
    <n v="12"/>
    <n v="49"/>
    <m/>
    <m/>
    <n v="5"/>
  </r>
  <r>
    <x v="10"/>
    <x v="0"/>
    <m/>
    <x v="23"/>
    <m/>
    <m/>
    <m/>
    <n v="21"/>
    <n v="66"/>
    <m/>
    <m/>
    <n v="15"/>
  </r>
  <r>
    <x v="10"/>
    <x v="0"/>
    <m/>
    <x v="14"/>
    <m/>
    <m/>
    <m/>
    <n v="9"/>
    <n v="38"/>
    <m/>
    <m/>
    <n v="10"/>
  </r>
  <r>
    <x v="10"/>
    <x v="0"/>
    <m/>
    <x v="15"/>
    <m/>
    <m/>
    <m/>
    <m/>
    <m/>
    <m/>
    <m/>
    <n v="1"/>
  </r>
  <r>
    <x v="10"/>
    <x v="0"/>
    <m/>
    <x v="16"/>
    <m/>
    <m/>
    <m/>
    <n v="10"/>
    <n v="36"/>
    <m/>
    <m/>
    <n v="6"/>
  </r>
  <r>
    <x v="10"/>
    <x v="0"/>
    <m/>
    <x v="17"/>
    <m/>
    <m/>
    <m/>
    <n v="30"/>
    <n v="111"/>
    <m/>
    <m/>
    <n v="20"/>
  </r>
  <r>
    <x v="10"/>
    <x v="0"/>
    <m/>
    <x v="18"/>
    <m/>
    <m/>
    <m/>
    <n v="10"/>
    <n v="34"/>
    <m/>
    <m/>
    <n v="5"/>
  </r>
  <r>
    <x v="10"/>
    <x v="0"/>
    <m/>
    <x v="24"/>
    <m/>
    <m/>
    <m/>
    <n v="13"/>
    <n v="51"/>
    <m/>
    <m/>
    <n v="11"/>
  </r>
  <r>
    <x v="10"/>
    <x v="0"/>
    <m/>
    <x v="25"/>
    <m/>
    <m/>
    <m/>
    <n v="11"/>
    <n v="36.980000000000004"/>
    <m/>
    <m/>
    <n v="13"/>
  </r>
  <r>
    <x v="10"/>
    <x v="1"/>
    <m/>
    <x v="48"/>
    <m/>
    <n v="1"/>
    <m/>
    <m/>
    <m/>
    <n v="4"/>
    <n v="11"/>
    <n v="6"/>
  </r>
  <r>
    <x v="10"/>
    <x v="1"/>
    <m/>
    <x v="33"/>
    <m/>
    <n v="1"/>
    <m/>
    <n v="6"/>
    <n v="2"/>
    <n v="4"/>
    <n v="9"/>
    <n v="6"/>
  </r>
  <r>
    <x v="10"/>
    <x v="1"/>
    <m/>
    <x v="1"/>
    <m/>
    <n v="1"/>
    <m/>
    <n v="5"/>
    <n v="1.83"/>
    <n v="2"/>
    <n v="5"/>
    <n v="7"/>
  </r>
  <r>
    <x v="10"/>
    <x v="1"/>
    <m/>
    <x v="42"/>
    <m/>
    <n v="2"/>
    <m/>
    <m/>
    <m/>
    <n v="4"/>
    <n v="8"/>
    <n v="8.77"/>
  </r>
  <r>
    <x v="10"/>
    <x v="1"/>
    <m/>
    <x v="34"/>
    <m/>
    <n v="1"/>
    <m/>
    <n v="5"/>
    <m/>
    <n v="3"/>
    <n v="9"/>
    <n v="7"/>
  </r>
  <r>
    <x v="10"/>
    <x v="1"/>
    <m/>
    <x v="35"/>
    <m/>
    <n v="1"/>
    <m/>
    <n v="3"/>
    <n v="4"/>
    <n v="3"/>
    <n v="6"/>
    <n v="9"/>
  </r>
  <r>
    <x v="10"/>
    <x v="1"/>
    <m/>
    <x v="36"/>
    <m/>
    <n v="1"/>
    <m/>
    <n v="3"/>
    <n v="1"/>
    <n v="3"/>
    <n v="6"/>
    <n v="4"/>
  </r>
  <r>
    <x v="10"/>
    <x v="1"/>
    <m/>
    <x v="37"/>
    <m/>
    <n v="1"/>
    <m/>
    <n v="4"/>
    <n v="3"/>
    <n v="3"/>
    <n v="7"/>
    <n v="9"/>
  </r>
  <r>
    <x v="10"/>
    <x v="1"/>
    <m/>
    <x v="38"/>
    <m/>
    <n v="1"/>
    <m/>
    <n v="3"/>
    <n v="1"/>
    <n v="2"/>
    <n v="6"/>
    <n v="6"/>
  </r>
  <r>
    <x v="10"/>
    <x v="1"/>
    <m/>
    <x v="30"/>
    <m/>
    <n v="1"/>
    <m/>
    <n v="2"/>
    <n v="1"/>
    <n v="4"/>
    <n v="8"/>
    <n v="7"/>
  </r>
  <r>
    <x v="10"/>
    <x v="1"/>
    <m/>
    <x v="39"/>
    <m/>
    <n v="1"/>
    <m/>
    <n v="1"/>
    <n v="1"/>
    <n v="4"/>
    <n v="12"/>
    <n v="4"/>
  </r>
  <r>
    <x v="10"/>
    <x v="1"/>
    <m/>
    <x v="49"/>
    <m/>
    <n v="1"/>
    <m/>
    <n v="3"/>
    <n v="1"/>
    <n v="3"/>
    <n v="10"/>
    <n v="9"/>
  </r>
  <r>
    <x v="10"/>
    <x v="1"/>
    <m/>
    <x v="47"/>
    <m/>
    <n v="1"/>
    <m/>
    <n v="7"/>
    <n v="2"/>
    <n v="4"/>
    <n v="9"/>
    <n v="10"/>
  </r>
  <r>
    <x v="10"/>
    <x v="1"/>
    <m/>
    <x v="41"/>
    <m/>
    <m/>
    <m/>
    <m/>
    <m/>
    <n v="1"/>
    <m/>
    <m/>
  </r>
  <r>
    <x v="10"/>
    <x v="1"/>
    <m/>
    <x v="41"/>
    <m/>
    <n v="1"/>
    <m/>
    <m/>
    <m/>
    <n v="3"/>
    <n v="6"/>
    <m/>
  </r>
  <r>
    <x v="10"/>
    <x v="2"/>
    <m/>
    <x v="45"/>
    <m/>
    <n v="2"/>
    <m/>
    <n v="17"/>
    <m/>
    <n v="2"/>
    <n v="8"/>
    <n v="23"/>
  </r>
  <r>
    <x v="10"/>
    <x v="2"/>
    <m/>
    <x v="43"/>
    <m/>
    <n v="2"/>
    <m/>
    <n v="8"/>
    <n v="1"/>
    <n v="4"/>
    <n v="7"/>
    <n v="38"/>
  </r>
  <r>
    <x v="10"/>
    <x v="2"/>
    <s v="S40000004"/>
    <x v="44"/>
    <m/>
    <n v="1"/>
    <m/>
    <n v="3"/>
    <m/>
    <n v="2"/>
    <n v="5"/>
    <n v="18"/>
  </r>
  <r>
    <x v="10"/>
    <x v="3"/>
    <s v="S92000003"/>
    <x v="46"/>
    <m/>
    <n v="11"/>
    <n v="5"/>
    <n v="1"/>
    <m/>
    <n v="16"/>
    <n v="24"/>
    <n v="27"/>
  </r>
</pivotCacheRecords>
</file>

<file path=xl/pivotCache/pivotCacheRecords6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9">
  <r>
    <x v="0"/>
    <x v="0"/>
    <x v="0"/>
    <n v="535"/>
    <n v="19"/>
    <n v="516"/>
  </r>
  <r>
    <x v="0"/>
    <x v="0"/>
    <x v="1"/>
    <n v="2127"/>
    <n v="149"/>
    <n v="1978"/>
  </r>
  <r>
    <x v="0"/>
    <x v="1"/>
    <x v="2"/>
    <n v="45"/>
    <n v="28"/>
    <n v="17"/>
  </r>
  <r>
    <x v="0"/>
    <x v="1"/>
    <x v="3"/>
    <n v="20"/>
    <n v="7"/>
    <n v="13"/>
  </r>
  <r>
    <x v="0"/>
    <x v="2"/>
    <x v="4"/>
    <n v="9"/>
    <n v="0"/>
    <n v="9"/>
  </r>
  <r>
    <x v="1"/>
    <x v="3"/>
    <x v="5"/>
    <n v="5"/>
    <n v="4"/>
    <n v="1"/>
  </r>
  <r>
    <x v="1"/>
    <x v="4"/>
    <x v="6"/>
    <n v="33"/>
    <n v="0"/>
    <n v="33"/>
  </r>
  <r>
    <x v="2"/>
    <x v="2"/>
    <x v="0"/>
    <n v="46"/>
    <n v="6"/>
    <n v="40"/>
  </r>
  <r>
    <x v="2"/>
    <x v="2"/>
    <x v="1"/>
    <n v="260"/>
    <n v="48"/>
    <n v="212"/>
  </r>
  <r>
    <x v="2"/>
    <x v="4"/>
    <x v="1"/>
    <n v="2258"/>
    <n v="113"/>
    <n v="2145"/>
  </r>
  <r>
    <x v="2"/>
    <x v="4"/>
    <x v="5"/>
    <n v="90"/>
    <n v="3"/>
    <n v="87"/>
  </r>
  <r>
    <x v="3"/>
    <x v="4"/>
    <x v="6"/>
    <n v="34"/>
    <n v="0"/>
    <n v="34"/>
  </r>
  <r>
    <x v="3"/>
    <x v="4"/>
    <x v="0"/>
    <n v="635"/>
    <n v="29"/>
    <n v="606"/>
  </r>
  <r>
    <x v="3"/>
    <x v="4"/>
    <x v="1"/>
    <n v="2161"/>
    <n v="122"/>
    <n v="2039"/>
  </r>
  <r>
    <x v="3"/>
    <x v="4"/>
    <x v="4"/>
    <n v="590"/>
    <n v="23"/>
    <n v="567"/>
  </r>
  <r>
    <x v="4"/>
    <x v="1"/>
    <x v="7"/>
    <n v="366"/>
    <n v="139"/>
    <n v="227"/>
  </r>
  <r>
    <x v="4"/>
    <x v="1"/>
    <x v="8"/>
    <n v="153"/>
    <n v="88"/>
    <n v="65"/>
  </r>
  <r>
    <x v="5"/>
    <x v="3"/>
    <x v="5"/>
    <n v="4"/>
    <n v="3"/>
    <n v="1"/>
  </r>
  <r>
    <x v="6"/>
    <x v="0"/>
    <x v="1"/>
    <n v="2083"/>
    <n v="167"/>
    <n v="1916"/>
  </r>
  <r>
    <x v="7"/>
    <x v="3"/>
    <x v="9"/>
    <n v="10"/>
    <n v="9"/>
    <n v="1"/>
  </r>
  <r>
    <x v="7"/>
    <x v="5"/>
    <x v="4"/>
    <n v="53"/>
    <n v="10"/>
    <n v="43"/>
  </r>
  <r>
    <x v="7"/>
    <x v="2"/>
    <x v="1"/>
    <n v="201"/>
    <n v="38"/>
    <n v="163"/>
  </r>
  <r>
    <x v="7"/>
    <x v="4"/>
    <x v="10"/>
    <n v="5"/>
    <n v="0"/>
    <n v="5"/>
  </r>
  <r>
    <x v="8"/>
    <x v="1"/>
    <x v="3"/>
    <n v="36"/>
    <n v="24"/>
    <n v="12"/>
  </r>
  <r>
    <x v="9"/>
    <x v="1"/>
    <x v="11"/>
    <n v="142"/>
    <n v="129"/>
    <n v="13"/>
  </r>
  <r>
    <x v="9"/>
    <x v="1"/>
    <x v="12"/>
    <n v="87"/>
    <n v="41"/>
    <n v="46"/>
  </r>
  <r>
    <x v="9"/>
    <x v="4"/>
    <x v="6"/>
    <n v="31"/>
    <n v="1"/>
    <n v="30"/>
  </r>
  <r>
    <x v="9"/>
    <x v="4"/>
    <x v="0"/>
    <n v="640"/>
    <n v="39"/>
    <n v="601"/>
  </r>
  <r>
    <x v="9"/>
    <x v="4"/>
    <x v="9"/>
    <n v="156"/>
    <n v="9"/>
    <n v="147"/>
  </r>
  <r>
    <x v="0"/>
    <x v="3"/>
    <x v="5"/>
    <n v="5"/>
    <n v="4"/>
    <n v="1"/>
  </r>
  <r>
    <x v="1"/>
    <x v="1"/>
    <x v="7"/>
    <n v="335"/>
    <n v="99"/>
    <n v="236"/>
  </r>
  <r>
    <x v="1"/>
    <x v="2"/>
    <x v="0"/>
    <n v="44"/>
    <n v="4"/>
    <n v="40"/>
  </r>
  <r>
    <x v="2"/>
    <x v="1"/>
    <x v="7"/>
    <n v="316"/>
    <n v="101"/>
    <n v="215"/>
  </r>
  <r>
    <x v="2"/>
    <x v="1"/>
    <x v="8"/>
    <n v="167"/>
    <n v="94"/>
    <n v="73"/>
  </r>
  <r>
    <x v="2"/>
    <x v="4"/>
    <x v="6"/>
    <n v="35"/>
    <n v="0"/>
    <n v="35"/>
  </r>
  <r>
    <x v="3"/>
    <x v="1"/>
    <x v="11"/>
    <n v="170"/>
    <n v="159"/>
    <n v="11"/>
  </r>
  <r>
    <x v="3"/>
    <x v="1"/>
    <x v="7"/>
    <n v="346"/>
    <n v="113"/>
    <n v="233"/>
  </r>
  <r>
    <x v="4"/>
    <x v="0"/>
    <x v="0"/>
    <n v="525"/>
    <n v="19"/>
    <n v="506"/>
  </r>
  <r>
    <x v="4"/>
    <x v="4"/>
    <x v="1"/>
    <n v="1989"/>
    <n v="114"/>
    <n v="1875"/>
  </r>
  <r>
    <x v="10"/>
    <x v="3"/>
    <x v="1"/>
    <n v="104"/>
    <n v="86"/>
    <n v="18"/>
  </r>
  <r>
    <x v="10"/>
    <x v="5"/>
    <x v="4"/>
    <n v="36"/>
    <n v="7"/>
    <n v="29"/>
  </r>
  <r>
    <x v="10"/>
    <x v="1"/>
    <x v="13"/>
    <n v="3"/>
    <n v="2"/>
    <n v="1"/>
  </r>
  <r>
    <x v="6"/>
    <x v="0"/>
    <x v="0"/>
    <n v="522"/>
    <n v="16"/>
    <n v="506"/>
  </r>
  <r>
    <x v="6"/>
    <x v="2"/>
    <x v="0"/>
    <n v="43"/>
    <n v="3"/>
    <n v="40"/>
  </r>
  <r>
    <x v="6"/>
    <x v="4"/>
    <x v="6"/>
    <n v="35"/>
    <n v="0"/>
    <n v="35"/>
  </r>
  <r>
    <x v="6"/>
    <x v="4"/>
    <x v="10"/>
    <n v="5"/>
    <n v="0"/>
    <n v="5"/>
  </r>
  <r>
    <x v="7"/>
    <x v="4"/>
    <x v="5"/>
    <n v="76"/>
    <n v="2"/>
    <n v="74"/>
  </r>
  <r>
    <x v="8"/>
    <x v="3"/>
    <x v="9"/>
    <n v="10"/>
    <n v="9"/>
    <n v="1"/>
  </r>
  <r>
    <x v="8"/>
    <x v="0"/>
    <x v="1"/>
    <n v="1952"/>
    <n v="147"/>
    <n v="1805"/>
  </r>
  <r>
    <x v="8"/>
    <x v="0"/>
    <x v="4"/>
    <n v="262"/>
    <n v="16"/>
    <n v="246"/>
  </r>
  <r>
    <x v="8"/>
    <x v="5"/>
    <x v="0"/>
    <n v="1"/>
    <n v="0"/>
    <n v="1"/>
  </r>
  <r>
    <x v="8"/>
    <x v="2"/>
    <x v="0"/>
    <n v="40"/>
    <n v="3"/>
    <n v="37"/>
  </r>
  <r>
    <x v="8"/>
    <x v="4"/>
    <x v="0"/>
    <n v="655"/>
    <n v="39"/>
    <n v="616"/>
  </r>
  <r>
    <x v="8"/>
    <x v="4"/>
    <x v="5"/>
    <n v="78"/>
    <n v="2"/>
    <n v="76"/>
  </r>
  <r>
    <x v="8"/>
    <x v="4"/>
    <x v="9"/>
    <n v="148"/>
    <n v="9"/>
    <n v="139"/>
  </r>
  <r>
    <x v="9"/>
    <x v="3"/>
    <x v="1"/>
    <n v="91"/>
    <n v="73"/>
    <n v="18"/>
  </r>
  <r>
    <x v="9"/>
    <x v="0"/>
    <x v="4"/>
    <n v="251"/>
    <n v="12"/>
    <n v="239"/>
  </r>
  <r>
    <x v="9"/>
    <x v="1"/>
    <x v="7"/>
    <n v="470"/>
    <n v="218"/>
    <n v="252"/>
  </r>
  <r>
    <x v="9"/>
    <x v="1"/>
    <x v="8"/>
    <n v="60"/>
    <n v="19"/>
    <n v="41"/>
  </r>
  <r>
    <x v="9"/>
    <x v="2"/>
    <x v="1"/>
    <n v="193"/>
    <n v="31"/>
    <n v="162"/>
  </r>
  <r>
    <x v="9"/>
    <x v="2"/>
    <x v="4"/>
    <n v="35"/>
    <n v="5"/>
    <n v="30"/>
  </r>
  <r>
    <x v="9"/>
    <x v="4"/>
    <x v="10"/>
    <n v="5"/>
    <n v="0"/>
    <n v="5"/>
  </r>
  <r>
    <x v="0"/>
    <x v="1"/>
    <x v="11"/>
    <n v="278"/>
    <n v="248"/>
    <n v="30"/>
  </r>
  <r>
    <x v="0"/>
    <x v="2"/>
    <x v="1"/>
    <n v="277"/>
    <n v="44"/>
    <n v="233"/>
  </r>
  <r>
    <x v="0"/>
    <x v="4"/>
    <x v="6"/>
    <n v="28"/>
    <n v="0"/>
    <n v="28"/>
  </r>
  <r>
    <x v="1"/>
    <x v="4"/>
    <x v="0"/>
    <n v="634"/>
    <n v="24"/>
    <n v="610"/>
  </r>
  <r>
    <x v="2"/>
    <x v="1"/>
    <x v="11"/>
    <n v="194"/>
    <n v="176"/>
    <n v="18"/>
  </r>
  <r>
    <x v="2"/>
    <x v="1"/>
    <x v="13"/>
    <n v="3"/>
    <n v="2"/>
    <n v="1"/>
  </r>
  <r>
    <x v="2"/>
    <x v="1"/>
    <x v="3"/>
    <n v="34"/>
    <n v="18"/>
    <n v="16"/>
  </r>
  <r>
    <x v="3"/>
    <x v="3"/>
    <x v="4"/>
    <n v="41"/>
    <n v="35"/>
    <n v="6"/>
  </r>
  <r>
    <x v="3"/>
    <x v="1"/>
    <x v="8"/>
    <n v="165"/>
    <n v="98"/>
    <n v="67"/>
  </r>
  <r>
    <x v="3"/>
    <x v="2"/>
    <x v="0"/>
    <n v="46"/>
    <n v="4"/>
    <n v="38"/>
  </r>
  <r>
    <x v="3"/>
    <x v="2"/>
    <x v="1"/>
    <n v="260"/>
    <n v="40"/>
    <n v="198"/>
  </r>
  <r>
    <x v="4"/>
    <x v="3"/>
    <x v="0"/>
    <n v="27"/>
    <n v="23"/>
    <n v="4"/>
  </r>
  <r>
    <x v="4"/>
    <x v="1"/>
    <x v="13"/>
    <n v="2"/>
    <n v="1"/>
    <n v="1"/>
  </r>
  <r>
    <x v="4"/>
    <x v="1"/>
    <x v="12"/>
    <n v="50"/>
    <n v="17"/>
    <n v="33"/>
  </r>
  <r>
    <x v="4"/>
    <x v="2"/>
    <x v="0"/>
    <n v="39"/>
    <n v="3"/>
    <n v="36"/>
  </r>
  <r>
    <x v="5"/>
    <x v="0"/>
    <x v="4"/>
    <n v="261"/>
    <n v="13"/>
    <n v="248"/>
  </r>
  <r>
    <x v="5"/>
    <x v="1"/>
    <x v="13"/>
    <n v="3"/>
    <n v="2"/>
    <n v="1"/>
  </r>
  <r>
    <x v="5"/>
    <x v="4"/>
    <x v="4"/>
    <n v="611"/>
    <n v="33"/>
    <n v="578"/>
  </r>
  <r>
    <x v="10"/>
    <x v="3"/>
    <x v="6"/>
    <n v="1"/>
    <n v="1"/>
    <n v="0"/>
  </r>
  <r>
    <x v="10"/>
    <x v="2"/>
    <x v="1"/>
    <n v="237"/>
    <n v="48"/>
    <n v="189"/>
  </r>
  <r>
    <x v="6"/>
    <x v="3"/>
    <x v="9"/>
    <n v="10"/>
    <n v="9"/>
    <n v="1"/>
  </r>
  <r>
    <x v="6"/>
    <x v="3"/>
    <x v="4"/>
    <n v="41"/>
    <n v="35"/>
    <n v="6"/>
  </r>
  <r>
    <x v="6"/>
    <x v="1"/>
    <x v="8"/>
    <n v="61"/>
    <n v="23"/>
    <n v="38"/>
  </r>
  <r>
    <x v="7"/>
    <x v="3"/>
    <x v="4"/>
    <n v="42"/>
    <n v="37"/>
    <n v="5"/>
  </r>
  <r>
    <x v="7"/>
    <x v="1"/>
    <x v="8"/>
    <n v="60"/>
    <n v="20"/>
    <n v="40"/>
  </r>
  <r>
    <x v="7"/>
    <x v="2"/>
    <x v="0"/>
    <n v="40"/>
    <n v="2"/>
    <n v="38"/>
  </r>
  <r>
    <x v="8"/>
    <x v="3"/>
    <x v="0"/>
    <n v="29"/>
    <n v="25"/>
    <n v="4"/>
  </r>
  <r>
    <x v="8"/>
    <x v="3"/>
    <x v="5"/>
    <n v="4"/>
    <n v="3"/>
    <n v="1"/>
  </r>
  <r>
    <x v="8"/>
    <x v="1"/>
    <x v="11"/>
    <n v="159"/>
    <n v="143"/>
    <n v="16"/>
  </r>
  <r>
    <x v="8"/>
    <x v="1"/>
    <x v="12"/>
    <n v="81"/>
    <n v="37"/>
    <n v="44"/>
  </r>
  <r>
    <x v="9"/>
    <x v="3"/>
    <x v="0"/>
    <n v="26"/>
    <n v="21"/>
    <n v="5"/>
  </r>
  <r>
    <x v="9"/>
    <x v="3"/>
    <x v="9"/>
    <n v="9"/>
    <n v="8"/>
    <n v="1"/>
  </r>
  <r>
    <x v="9"/>
    <x v="0"/>
    <x v="0"/>
    <n v="525"/>
    <n v="28"/>
    <n v="497"/>
  </r>
  <r>
    <x v="0"/>
    <x v="0"/>
    <x v="4"/>
    <n v="278"/>
    <n v="10"/>
    <n v="268"/>
  </r>
  <r>
    <x v="0"/>
    <x v="4"/>
    <x v="10"/>
    <n v="9"/>
    <n v="0"/>
    <n v="9"/>
  </r>
  <r>
    <x v="0"/>
    <x v="4"/>
    <x v="1"/>
    <n v="2374"/>
    <n v="106"/>
    <n v="2268"/>
  </r>
  <r>
    <x v="1"/>
    <x v="3"/>
    <x v="0"/>
    <n v="52"/>
    <n v="44"/>
    <n v="8"/>
  </r>
  <r>
    <x v="1"/>
    <x v="0"/>
    <x v="1"/>
    <n v="2124"/>
    <n v="143"/>
    <n v="1981"/>
  </r>
  <r>
    <x v="1"/>
    <x v="4"/>
    <x v="4"/>
    <n v="664"/>
    <n v="27"/>
    <n v="637"/>
  </r>
  <r>
    <x v="2"/>
    <x v="3"/>
    <x v="0"/>
    <n v="44"/>
    <n v="39"/>
    <n v="5"/>
  </r>
  <r>
    <x v="2"/>
    <x v="3"/>
    <x v="1"/>
    <n v="95"/>
    <n v="77"/>
    <n v="18"/>
  </r>
  <r>
    <x v="2"/>
    <x v="3"/>
    <x v="9"/>
    <n v="7"/>
    <n v="7"/>
    <n v="0"/>
  </r>
  <r>
    <x v="2"/>
    <x v="3"/>
    <x v="4"/>
    <n v="51"/>
    <n v="44"/>
    <n v="7"/>
  </r>
  <r>
    <x v="2"/>
    <x v="0"/>
    <x v="4"/>
    <n v="262"/>
    <n v="14"/>
    <n v="248"/>
  </r>
  <r>
    <x v="2"/>
    <x v="2"/>
    <x v="4"/>
    <n v="36"/>
    <n v="2"/>
    <n v="34"/>
  </r>
  <r>
    <x v="2"/>
    <x v="4"/>
    <x v="9"/>
    <n v="126"/>
    <n v="2"/>
    <n v="124"/>
  </r>
  <r>
    <x v="3"/>
    <x v="0"/>
    <x v="0"/>
    <n v="549"/>
    <n v="15"/>
    <n v="534"/>
  </r>
  <r>
    <x v="3"/>
    <x v="4"/>
    <x v="5"/>
    <n v="70"/>
    <n v="2"/>
    <n v="68"/>
  </r>
  <r>
    <x v="3"/>
    <x v="4"/>
    <x v="9"/>
    <n v="151"/>
    <n v="2"/>
    <n v="149"/>
  </r>
  <r>
    <x v="4"/>
    <x v="0"/>
    <x v="1"/>
    <n v="2077"/>
    <n v="138"/>
    <n v="1939"/>
  </r>
  <r>
    <x v="5"/>
    <x v="0"/>
    <x v="0"/>
    <n v="533"/>
    <n v="20"/>
    <n v="513"/>
  </r>
  <r>
    <x v="5"/>
    <x v="0"/>
    <x v="1"/>
    <n v="2141"/>
    <n v="168"/>
    <n v="1973"/>
  </r>
  <r>
    <x v="5"/>
    <x v="1"/>
    <x v="12"/>
    <n v="49"/>
    <n v="15"/>
    <n v="34"/>
  </r>
  <r>
    <x v="5"/>
    <x v="1"/>
    <x v="8"/>
    <n v="64"/>
    <n v="26"/>
    <n v="38"/>
  </r>
  <r>
    <x v="5"/>
    <x v="4"/>
    <x v="0"/>
    <n v="687"/>
    <n v="27"/>
    <n v="660"/>
  </r>
  <r>
    <x v="5"/>
    <x v="4"/>
    <x v="1"/>
    <n v="2075"/>
    <n v="132"/>
    <n v="1943"/>
  </r>
  <r>
    <x v="10"/>
    <x v="3"/>
    <x v="0"/>
    <n v="26"/>
    <n v="21"/>
    <n v="5"/>
  </r>
  <r>
    <x v="10"/>
    <x v="3"/>
    <x v="5"/>
    <n v="4"/>
    <n v="3"/>
    <n v="1"/>
  </r>
  <r>
    <x v="10"/>
    <x v="0"/>
    <x v="1"/>
    <n v="2155"/>
    <n v="175"/>
    <n v="1980"/>
  </r>
  <r>
    <x v="10"/>
    <x v="1"/>
    <x v="11"/>
    <n v="182"/>
    <n v="172"/>
    <n v="10"/>
  </r>
  <r>
    <x v="6"/>
    <x v="2"/>
    <x v="4"/>
    <n v="37"/>
    <n v="5"/>
    <n v="32"/>
  </r>
  <r>
    <x v="7"/>
    <x v="0"/>
    <x v="4"/>
    <n v="265"/>
    <n v="15"/>
    <n v="250"/>
  </r>
  <r>
    <x v="7"/>
    <x v="1"/>
    <x v="11"/>
    <n v="193"/>
    <n v="179"/>
    <n v="14"/>
  </r>
  <r>
    <x v="7"/>
    <x v="1"/>
    <x v="13"/>
    <n v="4"/>
    <n v="1"/>
    <n v="3"/>
  </r>
  <r>
    <x v="7"/>
    <x v="1"/>
    <x v="2"/>
    <n v="104"/>
    <n v="76"/>
    <n v="28"/>
  </r>
  <r>
    <x v="7"/>
    <x v="4"/>
    <x v="0"/>
    <n v="660"/>
    <n v="39"/>
    <n v="621"/>
  </r>
  <r>
    <x v="8"/>
    <x v="3"/>
    <x v="6"/>
    <n v="1"/>
    <n v="1"/>
    <n v="0"/>
  </r>
  <r>
    <x v="8"/>
    <x v="4"/>
    <x v="1"/>
    <n v="1972"/>
    <n v="145"/>
    <n v="1827"/>
  </r>
  <r>
    <x v="8"/>
    <x v="4"/>
    <x v="4"/>
    <n v="601"/>
    <n v="31"/>
    <n v="570"/>
  </r>
  <r>
    <x v="9"/>
    <x v="1"/>
    <x v="2"/>
    <n v="90"/>
    <n v="49"/>
    <n v="41"/>
  </r>
  <r>
    <x v="9"/>
    <x v="4"/>
    <x v="4"/>
    <n v="607"/>
    <n v="31"/>
    <n v="576"/>
  </r>
  <r>
    <x v="0"/>
    <x v="3"/>
    <x v="1"/>
    <n v="103"/>
    <n v="94"/>
    <n v="9"/>
  </r>
  <r>
    <x v="0"/>
    <x v="1"/>
    <x v="13"/>
    <n v="0"/>
    <n v="0"/>
    <n v="0"/>
  </r>
  <r>
    <x v="0"/>
    <x v="4"/>
    <x v="9"/>
    <n v="136"/>
    <n v="2"/>
    <n v="134"/>
  </r>
  <r>
    <x v="1"/>
    <x v="0"/>
    <x v="0"/>
    <n v="546"/>
    <n v="17"/>
    <n v="529"/>
  </r>
  <r>
    <x v="3"/>
    <x v="3"/>
    <x v="1"/>
    <n v="80"/>
    <n v="67"/>
    <n v="13"/>
  </r>
  <r>
    <x v="3"/>
    <x v="1"/>
    <x v="13"/>
    <n v="3"/>
    <n v="2"/>
    <n v="1"/>
  </r>
  <r>
    <x v="3"/>
    <x v="1"/>
    <x v="3"/>
    <n v="34"/>
    <n v="19"/>
    <n v="15"/>
  </r>
  <r>
    <x v="3"/>
    <x v="4"/>
    <x v="10"/>
    <n v="4"/>
    <n v="0"/>
    <n v="4"/>
  </r>
  <r>
    <x v="4"/>
    <x v="3"/>
    <x v="1"/>
    <n v="106"/>
    <n v="88"/>
    <n v="18"/>
  </r>
  <r>
    <x v="4"/>
    <x v="4"/>
    <x v="6"/>
    <n v="34"/>
    <m/>
    <n v="34"/>
  </r>
  <r>
    <x v="5"/>
    <x v="1"/>
    <x v="3"/>
    <n v="34"/>
    <n v="21"/>
    <n v="13"/>
  </r>
  <r>
    <x v="5"/>
    <x v="4"/>
    <x v="6"/>
    <n v="33"/>
    <n v="0"/>
    <n v="33"/>
  </r>
  <r>
    <x v="10"/>
    <x v="0"/>
    <x v="4"/>
    <n v="262"/>
    <n v="13"/>
    <n v="249"/>
  </r>
  <r>
    <x v="10"/>
    <x v="2"/>
    <x v="0"/>
    <n v="41"/>
    <n v="1"/>
    <n v="40"/>
  </r>
  <r>
    <x v="10"/>
    <x v="4"/>
    <x v="5"/>
    <n v="80"/>
    <n v="2"/>
    <n v="78"/>
  </r>
  <r>
    <x v="10"/>
    <x v="4"/>
    <x v="9"/>
    <n v="153"/>
    <n v="5"/>
    <n v="148"/>
  </r>
  <r>
    <x v="6"/>
    <x v="4"/>
    <x v="4"/>
    <n v="603"/>
    <n v="31"/>
    <n v="572"/>
  </r>
  <r>
    <x v="7"/>
    <x v="3"/>
    <x v="1"/>
    <n v="90"/>
    <n v="76"/>
    <n v="14"/>
  </r>
  <r>
    <x v="7"/>
    <x v="4"/>
    <x v="1"/>
    <n v="1990"/>
    <n v="148"/>
    <n v="1842"/>
  </r>
  <r>
    <x v="7"/>
    <x v="4"/>
    <x v="4"/>
    <n v="607"/>
    <n v="30"/>
    <n v="577"/>
  </r>
  <r>
    <x v="8"/>
    <x v="1"/>
    <x v="13"/>
    <n v="4"/>
    <n v="1"/>
    <n v="3"/>
  </r>
  <r>
    <x v="8"/>
    <x v="4"/>
    <x v="10"/>
    <n v="5"/>
    <n v="0"/>
    <n v="5"/>
  </r>
  <r>
    <x v="9"/>
    <x v="3"/>
    <x v="5"/>
    <n v="4"/>
    <n v="4"/>
    <n v="0"/>
  </r>
  <r>
    <x v="9"/>
    <x v="0"/>
    <x v="1"/>
    <n v="1932"/>
    <n v="151"/>
    <n v="1781"/>
  </r>
  <r>
    <x v="9"/>
    <x v="5"/>
    <x v="0"/>
    <n v="2"/>
    <n v="0"/>
    <n v="2"/>
  </r>
  <r>
    <x v="9"/>
    <x v="1"/>
    <x v="3"/>
    <n v="35"/>
    <n v="24"/>
    <n v="11"/>
  </r>
  <r>
    <x v="9"/>
    <x v="4"/>
    <x v="5"/>
    <n v="71"/>
    <n v="2"/>
    <n v="69"/>
  </r>
  <r>
    <x v="0"/>
    <x v="3"/>
    <x v="0"/>
    <n v="52"/>
    <n v="46"/>
    <n v="6"/>
  </r>
  <r>
    <x v="0"/>
    <x v="1"/>
    <x v="7"/>
    <n v="314"/>
    <n v="91"/>
    <n v="223"/>
  </r>
  <r>
    <x v="0"/>
    <x v="1"/>
    <x v="8"/>
    <n v="234"/>
    <n v="139"/>
    <n v="95"/>
  </r>
  <r>
    <x v="0"/>
    <x v="4"/>
    <x v="0"/>
    <n v="660"/>
    <n v="26"/>
    <n v="634"/>
  </r>
  <r>
    <x v="1"/>
    <x v="3"/>
    <x v="9"/>
    <n v="13"/>
    <n v="11"/>
    <n v="2"/>
  </r>
  <r>
    <x v="1"/>
    <x v="3"/>
    <x v="4"/>
    <n v="50"/>
    <n v="44"/>
    <n v="6"/>
  </r>
  <r>
    <x v="1"/>
    <x v="0"/>
    <x v="4"/>
    <n v="280"/>
    <n v="12"/>
    <n v="268"/>
  </r>
  <r>
    <x v="1"/>
    <x v="1"/>
    <x v="8"/>
    <n v="195"/>
    <n v="122"/>
    <n v="73"/>
  </r>
  <r>
    <x v="1"/>
    <x v="2"/>
    <x v="1"/>
    <n v="296"/>
    <n v="48"/>
    <n v="248"/>
  </r>
  <r>
    <x v="2"/>
    <x v="3"/>
    <x v="5"/>
    <n v="6"/>
    <n v="4"/>
    <n v="2"/>
  </r>
  <r>
    <x v="2"/>
    <x v="0"/>
    <x v="1"/>
    <n v="2065"/>
    <n v="132"/>
    <n v="1933"/>
  </r>
  <r>
    <x v="2"/>
    <x v="1"/>
    <x v="2"/>
    <n v="74"/>
    <n v="57"/>
    <n v="17"/>
  </r>
  <r>
    <x v="2"/>
    <x v="4"/>
    <x v="4"/>
    <n v="577"/>
    <n v="22"/>
    <n v="555"/>
  </r>
  <r>
    <x v="3"/>
    <x v="3"/>
    <x v="9"/>
    <n v="8"/>
    <n v="7"/>
    <n v="1"/>
  </r>
  <r>
    <x v="3"/>
    <x v="1"/>
    <x v="2"/>
    <n v="78"/>
    <n v="58"/>
    <n v="20"/>
  </r>
  <r>
    <x v="3"/>
    <x v="2"/>
    <x v="4"/>
    <n v="36"/>
    <n v="4"/>
    <n v="32"/>
  </r>
  <r>
    <x v="4"/>
    <x v="3"/>
    <x v="5"/>
    <n v="5"/>
    <n v="4"/>
    <n v="1"/>
  </r>
  <r>
    <x v="4"/>
    <x v="3"/>
    <x v="9"/>
    <n v="8"/>
    <n v="7"/>
    <n v="1"/>
  </r>
  <r>
    <x v="4"/>
    <x v="3"/>
    <x v="4"/>
    <n v="43"/>
    <n v="36"/>
    <n v="7"/>
  </r>
  <r>
    <x v="4"/>
    <x v="2"/>
    <x v="4"/>
    <n v="37"/>
    <n v="5"/>
    <n v="32"/>
  </r>
  <r>
    <x v="4"/>
    <x v="4"/>
    <x v="10"/>
    <n v="4"/>
    <m/>
    <n v="4"/>
  </r>
  <r>
    <x v="4"/>
    <x v="4"/>
    <x v="5"/>
    <n v="74"/>
    <n v="2"/>
    <n v="72"/>
  </r>
  <r>
    <x v="5"/>
    <x v="3"/>
    <x v="6"/>
    <n v="1"/>
    <n v="1"/>
    <n v="0"/>
  </r>
  <r>
    <x v="5"/>
    <x v="3"/>
    <x v="0"/>
    <n v="27"/>
    <n v="21"/>
    <n v="6"/>
  </r>
  <r>
    <x v="5"/>
    <x v="3"/>
    <x v="4"/>
    <n v="42"/>
    <n v="36"/>
    <n v="6"/>
  </r>
  <r>
    <x v="5"/>
    <x v="1"/>
    <x v="2"/>
    <n v="84"/>
    <n v="58"/>
    <n v="26"/>
  </r>
  <r>
    <x v="10"/>
    <x v="0"/>
    <x v="0"/>
    <n v="520"/>
    <n v="20"/>
    <n v="500"/>
  </r>
  <r>
    <x v="10"/>
    <x v="1"/>
    <x v="12"/>
    <n v="47"/>
    <n v="14"/>
    <n v="33"/>
  </r>
  <r>
    <x v="10"/>
    <x v="1"/>
    <x v="3"/>
    <n v="32"/>
    <n v="20"/>
    <n v="12"/>
  </r>
  <r>
    <x v="10"/>
    <x v="1"/>
    <x v="8"/>
    <n v="63"/>
    <n v="26"/>
    <n v="37"/>
  </r>
  <r>
    <x v="10"/>
    <x v="2"/>
    <x v="4"/>
    <n v="37"/>
    <n v="5"/>
    <n v="32"/>
  </r>
  <r>
    <x v="6"/>
    <x v="3"/>
    <x v="0"/>
    <n v="31"/>
    <n v="24"/>
    <n v="7"/>
  </r>
  <r>
    <x v="6"/>
    <x v="5"/>
    <x v="4"/>
    <n v="54"/>
    <n v="11"/>
    <n v="43"/>
  </r>
  <r>
    <x v="6"/>
    <x v="1"/>
    <x v="12"/>
    <n v="50"/>
    <n v="17"/>
    <n v="33"/>
  </r>
  <r>
    <x v="6"/>
    <x v="1"/>
    <x v="3"/>
    <n v="30"/>
    <n v="19"/>
    <n v="11"/>
  </r>
  <r>
    <x v="6"/>
    <x v="4"/>
    <x v="1"/>
    <n v="2020"/>
    <n v="150"/>
    <n v="1870"/>
  </r>
  <r>
    <x v="6"/>
    <x v="4"/>
    <x v="9"/>
    <n v="152"/>
    <n v="7"/>
    <n v="145"/>
  </r>
  <r>
    <x v="7"/>
    <x v="0"/>
    <x v="1"/>
    <n v="1967"/>
    <n v="158"/>
    <n v="1809"/>
  </r>
  <r>
    <x v="7"/>
    <x v="1"/>
    <x v="7"/>
    <n v="469"/>
    <n v="180"/>
    <n v="289"/>
  </r>
  <r>
    <x v="8"/>
    <x v="2"/>
    <x v="1"/>
    <n v="189"/>
    <n v="31"/>
    <n v="158"/>
  </r>
  <r>
    <x v="8"/>
    <x v="4"/>
    <x v="6"/>
    <n v="31"/>
    <n v="1"/>
    <n v="30"/>
  </r>
  <r>
    <x v="9"/>
    <x v="4"/>
    <x v="1"/>
    <n v="1912"/>
    <n v="138"/>
    <n v="1774"/>
  </r>
  <r>
    <x v="0"/>
    <x v="3"/>
    <x v="9"/>
    <n v="11"/>
    <n v="9"/>
    <n v="2"/>
  </r>
  <r>
    <x v="0"/>
    <x v="3"/>
    <x v="4"/>
    <n v="52"/>
    <n v="46"/>
    <n v="6"/>
  </r>
  <r>
    <x v="0"/>
    <x v="1"/>
    <x v="12"/>
    <n v="70"/>
    <n v="32"/>
    <n v="38"/>
  </r>
  <r>
    <x v="1"/>
    <x v="1"/>
    <x v="3"/>
    <n v="37"/>
    <n v="20"/>
    <n v="17"/>
  </r>
  <r>
    <x v="1"/>
    <x v="2"/>
    <x v="4"/>
    <n v="38"/>
    <n v="4"/>
    <n v="34"/>
  </r>
  <r>
    <x v="1"/>
    <x v="4"/>
    <x v="5"/>
    <n v="103"/>
    <n v="3"/>
    <n v="100"/>
  </r>
  <r>
    <x v="3"/>
    <x v="3"/>
    <x v="0"/>
    <n v="31"/>
    <n v="26"/>
    <n v="5"/>
  </r>
  <r>
    <x v="3"/>
    <x v="0"/>
    <x v="1"/>
    <n v="2061"/>
    <n v="127"/>
    <n v="1934"/>
  </r>
  <r>
    <x v="3"/>
    <x v="1"/>
    <x v="12"/>
    <n v="42"/>
    <n v="17"/>
    <n v="25"/>
  </r>
  <r>
    <x v="4"/>
    <x v="0"/>
    <x v="4"/>
    <n v="261"/>
    <n v="14"/>
    <n v="247"/>
  </r>
  <r>
    <x v="4"/>
    <x v="1"/>
    <x v="11"/>
    <n v="164"/>
    <n v="155"/>
    <n v="9"/>
  </r>
  <r>
    <x v="4"/>
    <x v="1"/>
    <x v="2"/>
    <n v="79"/>
    <n v="57"/>
    <n v="22"/>
  </r>
  <r>
    <x v="4"/>
    <x v="2"/>
    <x v="1"/>
    <n v="256"/>
    <n v="47"/>
    <n v="209"/>
  </r>
  <r>
    <x v="5"/>
    <x v="1"/>
    <x v="11"/>
    <n v="170"/>
    <n v="159"/>
    <n v="11"/>
  </r>
  <r>
    <x v="5"/>
    <x v="1"/>
    <x v="7"/>
    <n v="388"/>
    <n v="146"/>
    <n v="242"/>
  </r>
  <r>
    <x v="5"/>
    <x v="2"/>
    <x v="1"/>
    <n v="240"/>
    <n v="46"/>
    <n v="194"/>
  </r>
  <r>
    <x v="5"/>
    <x v="2"/>
    <x v="4"/>
    <n v="37"/>
    <n v="5"/>
    <n v="32"/>
  </r>
  <r>
    <x v="5"/>
    <x v="4"/>
    <x v="5"/>
    <n v="80"/>
    <n v="2"/>
    <n v="78"/>
  </r>
  <r>
    <x v="5"/>
    <x v="4"/>
    <x v="9"/>
    <n v="147"/>
    <n v="2"/>
    <n v="145"/>
  </r>
  <r>
    <x v="10"/>
    <x v="3"/>
    <x v="9"/>
    <n v="8"/>
    <n v="7"/>
    <n v="1"/>
  </r>
  <r>
    <x v="10"/>
    <x v="3"/>
    <x v="4"/>
    <n v="45"/>
    <n v="38"/>
    <n v="7"/>
  </r>
  <r>
    <x v="10"/>
    <x v="1"/>
    <x v="2"/>
    <n v="90"/>
    <n v="61"/>
    <n v="29"/>
  </r>
  <r>
    <x v="10"/>
    <x v="4"/>
    <x v="10"/>
    <n v="6"/>
    <n v="0"/>
    <n v="6"/>
  </r>
  <r>
    <x v="10"/>
    <x v="4"/>
    <x v="1"/>
    <n v="2070"/>
    <n v="154"/>
    <n v="1916"/>
  </r>
  <r>
    <x v="10"/>
    <x v="4"/>
    <x v="4"/>
    <n v="608"/>
    <n v="30"/>
    <n v="578"/>
  </r>
  <r>
    <x v="6"/>
    <x v="3"/>
    <x v="6"/>
    <n v="1"/>
    <n v="1"/>
    <n v="0"/>
  </r>
  <r>
    <x v="6"/>
    <x v="3"/>
    <x v="5"/>
    <n v="4"/>
    <n v="3"/>
    <n v="1"/>
  </r>
  <r>
    <x v="6"/>
    <x v="1"/>
    <x v="2"/>
    <n v="91"/>
    <n v="61"/>
    <n v="30"/>
  </r>
  <r>
    <x v="6"/>
    <x v="4"/>
    <x v="0"/>
    <n v="687"/>
    <n v="29"/>
    <n v="658"/>
  </r>
  <r>
    <x v="7"/>
    <x v="3"/>
    <x v="0"/>
    <n v="27"/>
    <n v="20"/>
    <n v="7"/>
  </r>
  <r>
    <x v="7"/>
    <x v="3"/>
    <x v="5"/>
    <n v="4"/>
    <n v="3"/>
    <n v="1"/>
  </r>
  <r>
    <x v="7"/>
    <x v="4"/>
    <x v="6"/>
    <n v="35"/>
    <n v="1"/>
    <n v="34"/>
  </r>
  <r>
    <x v="7"/>
    <x v="4"/>
    <x v="9"/>
    <n v="157"/>
    <n v="5"/>
    <n v="152"/>
  </r>
  <r>
    <x v="8"/>
    <x v="3"/>
    <x v="1"/>
    <n v="91"/>
    <n v="74"/>
    <n v="17"/>
  </r>
  <r>
    <x v="8"/>
    <x v="3"/>
    <x v="4"/>
    <n v="37"/>
    <n v="32"/>
    <n v="5"/>
  </r>
  <r>
    <x v="8"/>
    <x v="0"/>
    <x v="0"/>
    <n v="521"/>
    <n v="22"/>
    <n v="499"/>
  </r>
  <r>
    <x v="8"/>
    <x v="5"/>
    <x v="4"/>
    <n v="54"/>
    <n v="9"/>
    <n v="45"/>
  </r>
  <r>
    <x v="8"/>
    <x v="1"/>
    <x v="2"/>
    <n v="98"/>
    <n v="58"/>
    <n v="40"/>
  </r>
  <r>
    <x v="8"/>
    <x v="1"/>
    <x v="7"/>
    <n v="465"/>
    <n v="203"/>
    <n v="262"/>
  </r>
  <r>
    <x v="8"/>
    <x v="2"/>
    <x v="4"/>
    <n v="37"/>
    <n v="6"/>
    <n v="31"/>
  </r>
  <r>
    <x v="9"/>
    <x v="3"/>
    <x v="6"/>
    <n v="1"/>
    <n v="1"/>
    <n v="0"/>
  </r>
  <r>
    <x v="0"/>
    <x v="2"/>
    <x v="0"/>
    <n v="73"/>
    <n v="8"/>
    <n v="65"/>
  </r>
  <r>
    <x v="0"/>
    <x v="4"/>
    <x v="5"/>
    <n v="115"/>
    <n v="3"/>
    <n v="112"/>
  </r>
  <r>
    <x v="0"/>
    <x v="4"/>
    <x v="4"/>
    <n v="679"/>
    <n v="22"/>
    <n v="657"/>
  </r>
  <r>
    <x v="1"/>
    <x v="3"/>
    <x v="1"/>
    <n v="110"/>
    <n v="89"/>
    <n v="21"/>
  </r>
  <r>
    <x v="1"/>
    <x v="1"/>
    <x v="11"/>
    <n v="195"/>
    <n v="176"/>
    <n v="19"/>
  </r>
  <r>
    <x v="1"/>
    <x v="1"/>
    <x v="13"/>
    <n v="2"/>
    <n v="2"/>
    <n v="0"/>
  </r>
  <r>
    <x v="1"/>
    <x v="1"/>
    <x v="2"/>
    <n v="59"/>
    <n v="40"/>
    <n v="19"/>
  </r>
  <r>
    <x v="1"/>
    <x v="1"/>
    <x v="12"/>
    <n v="44"/>
    <n v="21"/>
    <n v="23"/>
  </r>
  <r>
    <x v="1"/>
    <x v="4"/>
    <x v="10"/>
    <n v="7"/>
    <n v="0"/>
    <n v="7"/>
  </r>
  <r>
    <x v="1"/>
    <x v="4"/>
    <x v="1"/>
    <n v="2285"/>
    <n v="109"/>
    <n v="2176"/>
  </r>
  <r>
    <x v="1"/>
    <x v="4"/>
    <x v="9"/>
    <n v="130"/>
    <n v="1"/>
    <n v="129"/>
  </r>
  <r>
    <x v="2"/>
    <x v="0"/>
    <x v="0"/>
    <n v="543"/>
    <n v="17"/>
    <n v="526"/>
  </r>
  <r>
    <x v="2"/>
    <x v="1"/>
    <x v="12"/>
    <n v="40"/>
    <n v="15"/>
    <n v="25"/>
  </r>
  <r>
    <x v="2"/>
    <x v="4"/>
    <x v="10"/>
    <n v="4"/>
    <n v="0"/>
    <n v="4"/>
  </r>
  <r>
    <x v="2"/>
    <x v="4"/>
    <x v="0"/>
    <n v="600"/>
    <n v="27"/>
    <n v="573"/>
  </r>
  <r>
    <x v="3"/>
    <x v="3"/>
    <x v="5"/>
    <n v="5"/>
    <n v="4"/>
    <n v="1"/>
  </r>
  <r>
    <x v="3"/>
    <x v="0"/>
    <x v="4"/>
    <n v="260"/>
    <n v="16"/>
    <n v="244"/>
  </r>
  <r>
    <x v="4"/>
    <x v="1"/>
    <x v="3"/>
    <n v="32"/>
    <n v="19"/>
    <n v="13"/>
  </r>
  <r>
    <x v="4"/>
    <x v="4"/>
    <x v="0"/>
    <n v="689"/>
    <n v="26"/>
    <n v="663"/>
  </r>
  <r>
    <x v="4"/>
    <x v="4"/>
    <x v="9"/>
    <n v="153"/>
    <n v="2"/>
    <n v="151"/>
  </r>
  <r>
    <x v="4"/>
    <x v="4"/>
    <x v="4"/>
    <n v="603"/>
    <n v="31"/>
    <n v="572"/>
  </r>
  <r>
    <x v="5"/>
    <x v="3"/>
    <x v="1"/>
    <n v="124"/>
    <n v="103"/>
    <n v="21"/>
  </r>
  <r>
    <x v="5"/>
    <x v="3"/>
    <x v="9"/>
    <n v="9"/>
    <n v="8"/>
    <n v="1"/>
  </r>
  <r>
    <x v="5"/>
    <x v="5"/>
    <x v="14"/>
    <n v="18"/>
    <n v="1"/>
    <n v="17"/>
  </r>
  <r>
    <x v="5"/>
    <x v="2"/>
    <x v="0"/>
    <n v="40"/>
    <n v="3"/>
    <n v="37"/>
  </r>
  <r>
    <x v="5"/>
    <x v="4"/>
    <x v="10"/>
    <n v="4"/>
    <n v="0"/>
    <n v="4"/>
  </r>
  <r>
    <x v="10"/>
    <x v="1"/>
    <x v="7"/>
    <n v="400"/>
    <n v="152"/>
    <n v="248"/>
  </r>
  <r>
    <x v="10"/>
    <x v="4"/>
    <x v="6"/>
    <n v="31"/>
    <n v="0"/>
    <n v="31"/>
  </r>
  <r>
    <x v="10"/>
    <x v="4"/>
    <x v="0"/>
    <n v="688"/>
    <n v="31"/>
    <n v="657"/>
  </r>
  <r>
    <x v="6"/>
    <x v="3"/>
    <x v="1"/>
    <n v="95"/>
    <n v="79"/>
    <n v="16"/>
  </r>
  <r>
    <x v="6"/>
    <x v="0"/>
    <x v="4"/>
    <n v="267"/>
    <n v="14"/>
    <n v="253"/>
  </r>
  <r>
    <x v="6"/>
    <x v="1"/>
    <x v="11"/>
    <n v="187"/>
    <n v="178"/>
    <n v="9"/>
  </r>
  <r>
    <x v="6"/>
    <x v="1"/>
    <x v="13"/>
    <n v="3"/>
    <n v="2"/>
    <n v="1"/>
  </r>
  <r>
    <x v="6"/>
    <x v="1"/>
    <x v="7"/>
    <n v="413"/>
    <n v="161"/>
    <n v="252"/>
  </r>
  <r>
    <x v="6"/>
    <x v="2"/>
    <x v="1"/>
    <n v="223"/>
    <n v="44"/>
    <n v="179"/>
  </r>
  <r>
    <x v="6"/>
    <x v="4"/>
    <x v="5"/>
    <n v="79"/>
    <n v="2"/>
    <n v="77"/>
  </r>
  <r>
    <x v="7"/>
    <x v="3"/>
    <x v="6"/>
    <n v="1"/>
    <n v="1"/>
    <n v="0"/>
  </r>
  <r>
    <x v="7"/>
    <x v="0"/>
    <x v="0"/>
    <n v="526"/>
    <n v="18"/>
    <n v="508"/>
  </r>
  <r>
    <x v="7"/>
    <x v="1"/>
    <x v="12"/>
    <n v="57"/>
    <n v="25"/>
    <n v="32"/>
  </r>
  <r>
    <x v="7"/>
    <x v="1"/>
    <x v="3"/>
    <n v="33"/>
    <n v="20"/>
    <n v="13"/>
  </r>
  <r>
    <x v="7"/>
    <x v="2"/>
    <x v="4"/>
    <n v="36"/>
    <n v="6"/>
    <n v="30"/>
  </r>
  <r>
    <x v="8"/>
    <x v="1"/>
    <x v="8"/>
    <n v="58"/>
    <n v="18"/>
    <n v="40"/>
  </r>
  <r>
    <x v="9"/>
    <x v="3"/>
    <x v="4"/>
    <n v="40"/>
    <n v="35"/>
    <n v="5"/>
  </r>
  <r>
    <x v="9"/>
    <x v="5"/>
    <x v="4"/>
    <n v="53"/>
    <n v="8"/>
    <n v="45"/>
  </r>
  <r>
    <x v="9"/>
    <x v="1"/>
    <x v="13"/>
    <n v="3"/>
    <n v="2"/>
    <n v="1"/>
  </r>
  <r>
    <x v="9"/>
    <x v="2"/>
    <x v="0"/>
    <n v="41"/>
    <n v="6"/>
    <n v="35"/>
  </r>
</pivotCacheRecords>
</file>

<file path=xl/pivotCache/pivotCacheRecords6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6">
  <r>
    <x v="0"/>
    <x v="0"/>
    <x v="0"/>
    <n v="223.6"/>
    <n v="197.5"/>
    <n v="26.1"/>
  </r>
  <r>
    <x v="0"/>
    <x v="0"/>
    <x v="1"/>
    <n v="42.3"/>
    <n v="25.7"/>
    <n v="16.600000000000001"/>
  </r>
  <r>
    <x v="0"/>
    <x v="1"/>
    <x v="2"/>
    <n v="28"/>
    <m/>
    <n v="28"/>
  </r>
  <r>
    <x v="1"/>
    <x v="2"/>
    <x v="3"/>
    <n v="5"/>
    <n v="4"/>
    <n v="1"/>
  </r>
  <r>
    <x v="1"/>
    <x v="2"/>
    <x v="4"/>
    <n v="12.85"/>
    <n v="10.85"/>
    <n v="2"/>
  </r>
  <r>
    <x v="1"/>
    <x v="2"/>
    <x v="5"/>
    <n v="49.46"/>
    <n v="43.46"/>
    <n v="6"/>
  </r>
  <r>
    <x v="1"/>
    <x v="3"/>
    <x v="5"/>
    <n v="263.75"/>
    <n v="12"/>
    <n v="251.75"/>
  </r>
  <r>
    <x v="2"/>
    <x v="0"/>
    <x v="0"/>
    <n v="145.72971428571435"/>
    <n v="128.96057142857148"/>
    <n v="16.769142857142857"/>
  </r>
  <r>
    <x v="2"/>
    <x v="1"/>
    <x v="3"/>
    <n v="90"/>
    <n v="3"/>
    <n v="87"/>
  </r>
  <r>
    <x v="3"/>
    <x v="0"/>
    <x v="6"/>
    <n v="30.86"/>
    <n v="18.36"/>
    <n v="12.5"/>
  </r>
  <r>
    <x v="4"/>
    <x v="2"/>
    <x v="3"/>
    <n v="4"/>
    <n v="3"/>
    <n v="1"/>
  </r>
  <r>
    <x v="4"/>
    <x v="0"/>
    <x v="7"/>
    <n v="58.61"/>
    <n v="21.26"/>
    <n v="37.35"/>
  </r>
  <r>
    <x v="5"/>
    <x v="2"/>
    <x v="2"/>
    <m/>
    <n v="1"/>
    <m/>
  </r>
  <r>
    <x v="5"/>
    <x v="3"/>
    <x v="8"/>
    <n v="1855.3"/>
    <n v="153.15"/>
    <n v="1702.1499999999999"/>
  </r>
  <r>
    <x v="6"/>
    <x v="0"/>
    <x v="9"/>
    <n v="49.8"/>
    <n v="16.8"/>
    <n v="33"/>
  </r>
  <r>
    <x v="6"/>
    <x v="0"/>
    <x v="7"/>
    <n v="55.730000000000004"/>
    <n v="18.38"/>
    <n v="37.35"/>
  </r>
  <r>
    <x v="6"/>
    <x v="1"/>
    <x v="8"/>
    <n v="2017.43"/>
    <n v="148.43"/>
    <n v="1869"/>
  </r>
  <r>
    <x v="7"/>
    <x v="2"/>
    <x v="4"/>
    <n v="10"/>
    <n v="9"/>
    <n v="1"/>
  </r>
  <r>
    <x v="7"/>
    <x v="4"/>
    <x v="5"/>
    <n v="53"/>
    <n v="10"/>
    <n v="43"/>
  </r>
  <r>
    <x v="7"/>
    <x v="0"/>
    <x v="10"/>
    <n v="449.55000000000007"/>
    <n v="168.88000000000002"/>
    <n v="280.67"/>
  </r>
  <r>
    <x v="7"/>
    <x v="1"/>
    <x v="8"/>
    <n v="1988.43"/>
    <n v="146.92999999999998"/>
    <n v="1841.5"/>
  </r>
  <r>
    <x v="8"/>
    <x v="2"/>
    <x v="11"/>
    <n v="28.29"/>
    <n v="24.29"/>
    <n v="4"/>
  </r>
  <r>
    <x v="8"/>
    <x v="2"/>
    <x v="8"/>
    <n v="87.91"/>
    <n v="70.91"/>
    <n v="17"/>
  </r>
  <r>
    <x v="8"/>
    <x v="0"/>
    <x v="6"/>
    <n v="36"/>
    <n v="24"/>
    <n v="12"/>
  </r>
  <r>
    <x v="9"/>
    <x v="3"/>
    <x v="8"/>
    <n v="1615.34"/>
    <n v="128.5"/>
    <n v="1486.84"/>
  </r>
  <r>
    <x v="9"/>
    <x v="0"/>
    <x v="9"/>
    <n v="85.68"/>
    <n v="40.08"/>
    <n v="45.6"/>
  </r>
  <r>
    <x v="9"/>
    <x v="0"/>
    <x v="7"/>
    <n v="55.879999999999995"/>
    <n v="15.529999999999998"/>
    <n v="40.35"/>
  </r>
  <r>
    <x v="9"/>
    <x v="1"/>
    <x v="2"/>
    <n v="31"/>
    <n v="1"/>
    <n v="30"/>
  </r>
  <r>
    <x v="9"/>
    <x v="1"/>
    <x v="11"/>
    <n v="640"/>
    <n v="39"/>
    <n v="601"/>
  </r>
  <r>
    <x v="9"/>
    <x v="1"/>
    <x v="4"/>
    <n v="156"/>
    <n v="9"/>
    <n v="147"/>
  </r>
  <r>
    <x v="0"/>
    <x v="2"/>
    <x v="11"/>
    <n v="51.01"/>
    <n v="45.01"/>
    <n v="6"/>
  </r>
  <r>
    <x v="0"/>
    <x v="3"/>
    <x v="5"/>
    <n v="262.12"/>
    <n v="10"/>
    <n v="252.12000000000003"/>
  </r>
  <r>
    <x v="0"/>
    <x v="0"/>
    <x v="10"/>
    <n v="256.39999999999998"/>
    <n v="39.199999999999996"/>
    <n v="217.2"/>
  </r>
  <r>
    <x v="1"/>
    <x v="1"/>
    <x v="5"/>
    <n v="664"/>
    <n v="27"/>
    <n v="637"/>
  </r>
  <r>
    <x v="2"/>
    <x v="1"/>
    <x v="11"/>
    <n v="598.34523809523807"/>
    <n v="27"/>
    <n v="571.34523809523807"/>
  </r>
  <r>
    <x v="2"/>
    <x v="1"/>
    <x v="4"/>
    <n v="126"/>
    <n v="2"/>
    <n v="124"/>
  </r>
  <r>
    <x v="2"/>
    <x v="1"/>
    <x v="5"/>
    <n v="585.31904761904764"/>
    <n v="22"/>
    <n v="563.31904761904764"/>
  </r>
  <r>
    <x v="10"/>
    <x v="0"/>
    <x v="0"/>
    <n v="140.91"/>
    <n v="130.36000000000001"/>
    <n v="10.55"/>
  </r>
  <r>
    <x v="10"/>
    <x v="1"/>
    <x v="12"/>
    <m/>
    <m/>
    <n v="4"/>
  </r>
  <r>
    <x v="10"/>
    <x v="1"/>
    <x v="3"/>
    <n v="70"/>
    <n v="2"/>
    <n v="68"/>
  </r>
  <r>
    <x v="10"/>
    <x v="1"/>
    <x v="4"/>
    <n v="151"/>
    <n v="2"/>
    <n v="149"/>
  </r>
  <r>
    <x v="3"/>
    <x v="2"/>
    <x v="11"/>
    <n v="26.79"/>
    <n v="22.79"/>
    <n v="4"/>
  </r>
  <r>
    <x v="3"/>
    <x v="3"/>
    <x v="5"/>
    <n v="246.25"/>
    <n v="13.75"/>
    <n v="232.5"/>
  </r>
  <r>
    <x v="3"/>
    <x v="0"/>
    <x v="1"/>
    <n v="75.81"/>
    <n v="53.98"/>
    <n v="21.83"/>
  </r>
  <r>
    <x v="4"/>
    <x v="2"/>
    <x v="2"/>
    <m/>
    <n v="1"/>
    <m/>
  </r>
  <r>
    <x v="4"/>
    <x v="3"/>
    <x v="8"/>
    <n v="1863.8"/>
    <n v="148.4"/>
    <n v="1715.3999999999999"/>
  </r>
  <r>
    <x v="4"/>
    <x v="0"/>
    <x v="1"/>
    <n v="80.399999999999991"/>
    <n v="55.399999999999991"/>
    <n v="25"/>
  </r>
  <r>
    <x v="4"/>
    <x v="0"/>
    <x v="9"/>
    <n v="49"/>
    <n v="15"/>
    <n v="34"/>
  </r>
  <r>
    <x v="4"/>
    <x v="1"/>
    <x v="11"/>
    <n v="687"/>
    <n v="27"/>
    <n v="660"/>
  </r>
  <r>
    <x v="5"/>
    <x v="2"/>
    <x v="11"/>
    <n v="26"/>
    <n v="21"/>
    <n v="5"/>
  </r>
  <r>
    <x v="5"/>
    <x v="2"/>
    <x v="3"/>
    <n v="4"/>
    <n v="3"/>
    <n v="1"/>
  </r>
  <r>
    <x v="5"/>
    <x v="0"/>
    <x v="0"/>
    <n v="154.34000000000003"/>
    <n v="144.79000000000002"/>
    <n v="9.5500000000000007"/>
  </r>
  <r>
    <x v="5"/>
    <x v="0"/>
    <x v="10"/>
    <n v="382.5"/>
    <n v="142.84"/>
    <n v="239.66000000000003"/>
  </r>
  <r>
    <x v="7"/>
    <x v="0"/>
    <x v="0"/>
    <n v="163.91"/>
    <n v="150.60999999999999"/>
    <n v="13.299999999999999"/>
  </r>
  <r>
    <x v="7"/>
    <x v="0"/>
    <x v="13"/>
    <n v="4"/>
    <n v="1"/>
    <n v="3"/>
  </r>
  <r>
    <x v="7"/>
    <x v="1"/>
    <x v="11"/>
    <n v="660"/>
    <n v="39"/>
    <n v="621"/>
  </r>
  <r>
    <x v="8"/>
    <x v="2"/>
    <x v="2"/>
    <m/>
    <n v="1"/>
    <m/>
  </r>
  <r>
    <x v="8"/>
    <x v="4"/>
    <x v="11"/>
    <m/>
    <m/>
    <n v="1"/>
  </r>
  <r>
    <x v="8"/>
    <x v="1"/>
    <x v="5"/>
    <n v="601"/>
    <n v="31"/>
    <n v="570"/>
  </r>
  <r>
    <x v="9"/>
    <x v="0"/>
    <x v="0"/>
    <n v="123.35999999999999"/>
    <n v="110.35999999999999"/>
    <n v="13"/>
  </r>
  <r>
    <x v="9"/>
    <x v="0"/>
    <x v="1"/>
    <n v="88.1"/>
    <n v="47.1"/>
    <n v="41"/>
  </r>
  <r>
    <x v="9"/>
    <x v="1"/>
    <x v="8"/>
    <n v="1909.31"/>
    <n v="137.32999999999998"/>
    <n v="1771.98"/>
  </r>
  <r>
    <x v="0"/>
    <x v="2"/>
    <x v="4"/>
    <n v="11"/>
    <n v="9"/>
    <n v="2"/>
  </r>
  <r>
    <x v="1"/>
    <x v="0"/>
    <x v="1"/>
    <n v="55.470000000000006"/>
    <n v="36.870000000000005"/>
    <n v="18.600000000000001"/>
  </r>
  <r>
    <x v="1"/>
    <x v="0"/>
    <x v="7"/>
    <n v="128.98000000000002"/>
    <n v="65.05000000000004"/>
    <n v="63.929999999999993"/>
  </r>
  <r>
    <x v="1"/>
    <x v="1"/>
    <x v="3"/>
    <n v="103"/>
    <n v="3"/>
    <n v="100"/>
  </r>
  <r>
    <x v="2"/>
    <x v="2"/>
    <x v="8"/>
    <n v="89.021904761904764"/>
    <n v="71.021904761904764"/>
    <n v="18"/>
  </r>
  <r>
    <x v="10"/>
    <x v="0"/>
    <x v="9"/>
    <n v="42"/>
    <n v="17"/>
    <n v="25"/>
  </r>
  <r>
    <x v="10"/>
    <x v="1"/>
    <x v="5"/>
    <n v="587"/>
    <n v="21"/>
    <n v="566"/>
  </r>
  <r>
    <x v="3"/>
    <x v="0"/>
    <x v="10"/>
    <n v="354.57"/>
    <n v="133.04"/>
    <n v="221.53"/>
  </r>
  <r>
    <x v="4"/>
    <x v="0"/>
    <x v="10"/>
    <n v="375.56000000000006"/>
    <n v="139.56"/>
    <n v="236.00000000000003"/>
  </r>
  <r>
    <x v="4"/>
    <x v="1"/>
    <x v="3"/>
    <n v="80"/>
    <n v="2"/>
    <n v="78"/>
  </r>
  <r>
    <x v="4"/>
    <x v="1"/>
    <x v="4"/>
    <n v="147"/>
    <n v="2"/>
    <n v="145"/>
  </r>
  <r>
    <x v="5"/>
    <x v="2"/>
    <x v="4"/>
    <n v="8"/>
    <n v="7"/>
    <n v="1"/>
  </r>
  <r>
    <x v="5"/>
    <x v="2"/>
    <x v="5"/>
    <n v="45"/>
    <n v="38"/>
    <n v="7"/>
  </r>
  <r>
    <x v="5"/>
    <x v="3"/>
    <x v="5"/>
    <n v="236.5"/>
    <n v="11.75"/>
    <n v="224.75"/>
  </r>
  <r>
    <x v="5"/>
    <x v="1"/>
    <x v="5"/>
    <n v="608"/>
    <n v="30"/>
    <n v="578"/>
  </r>
  <r>
    <x v="6"/>
    <x v="2"/>
    <x v="2"/>
    <m/>
    <n v="1"/>
    <m/>
  </r>
  <r>
    <x v="6"/>
    <x v="2"/>
    <x v="8"/>
    <n v="90.06"/>
    <n v="74.06"/>
    <n v="16"/>
  </r>
  <r>
    <x v="6"/>
    <x v="2"/>
    <x v="3"/>
    <n v="4"/>
    <n v="3"/>
    <n v="1"/>
  </r>
  <r>
    <x v="6"/>
    <x v="1"/>
    <x v="11"/>
    <n v="687"/>
    <n v="29"/>
    <n v="658"/>
  </r>
  <r>
    <x v="7"/>
    <x v="2"/>
    <x v="2"/>
    <m/>
    <n v="1"/>
    <m/>
  </r>
  <r>
    <x v="7"/>
    <x v="2"/>
    <x v="11"/>
    <n v="27"/>
    <n v="20"/>
    <n v="7"/>
  </r>
  <r>
    <x v="7"/>
    <x v="2"/>
    <x v="3"/>
    <n v="4"/>
    <n v="3"/>
    <n v="1"/>
  </r>
  <r>
    <x v="7"/>
    <x v="1"/>
    <x v="2"/>
    <n v="35"/>
    <n v="1"/>
    <n v="34"/>
  </r>
  <r>
    <x v="7"/>
    <x v="1"/>
    <x v="4"/>
    <n v="157"/>
    <n v="5"/>
    <n v="152"/>
  </r>
  <r>
    <x v="8"/>
    <x v="3"/>
    <x v="5"/>
    <n v="231.79999999999998"/>
    <n v="12.75"/>
    <n v="219.04999999999998"/>
  </r>
  <r>
    <x v="8"/>
    <x v="4"/>
    <x v="5"/>
    <n v="54"/>
    <n v="9"/>
    <n v="45"/>
  </r>
  <r>
    <x v="8"/>
    <x v="0"/>
    <x v="9"/>
    <n v="80.14"/>
    <n v="36.14"/>
    <n v="44"/>
  </r>
  <r>
    <x v="8"/>
    <x v="0"/>
    <x v="7"/>
    <n v="53.88"/>
    <n v="14.530000000000001"/>
    <n v="39.35"/>
  </r>
  <r>
    <x v="9"/>
    <x v="2"/>
    <x v="11"/>
    <n v="25.79"/>
    <n v="20.79"/>
    <n v="5"/>
  </r>
  <r>
    <x v="0"/>
    <x v="1"/>
    <x v="12"/>
    <n v="9"/>
    <m/>
    <n v="9"/>
  </r>
  <r>
    <x v="0"/>
    <x v="1"/>
    <x v="11"/>
    <n v="660"/>
    <n v="26"/>
    <n v="634"/>
  </r>
  <r>
    <x v="1"/>
    <x v="2"/>
    <x v="11"/>
    <n v="50.79"/>
    <n v="42.79"/>
    <n v="8"/>
  </r>
  <r>
    <x v="1"/>
    <x v="0"/>
    <x v="10"/>
    <n v="325.23"/>
    <n v="94.63"/>
    <n v="230.60000000000002"/>
  </r>
  <r>
    <x v="2"/>
    <x v="2"/>
    <x v="11"/>
    <n v="43"/>
    <n v="38"/>
    <n v="5"/>
  </r>
  <r>
    <x v="2"/>
    <x v="2"/>
    <x v="3"/>
    <n v="6"/>
    <n v="4"/>
    <n v="2"/>
  </r>
  <r>
    <x v="10"/>
    <x v="2"/>
    <x v="4"/>
    <n v="8"/>
    <n v="7"/>
    <n v="1"/>
  </r>
  <r>
    <x v="10"/>
    <x v="3"/>
    <x v="5"/>
    <n v="247.25"/>
    <n v="15.75"/>
    <n v="231.5"/>
  </r>
  <r>
    <x v="10"/>
    <x v="1"/>
    <x v="2"/>
    <m/>
    <m/>
    <n v="34"/>
  </r>
  <r>
    <x v="3"/>
    <x v="2"/>
    <x v="3"/>
    <n v="5"/>
    <n v="4"/>
    <n v="1"/>
  </r>
  <r>
    <x v="3"/>
    <x v="2"/>
    <x v="4"/>
    <n v="8"/>
    <n v="7"/>
    <n v="1"/>
  </r>
  <r>
    <x v="3"/>
    <x v="2"/>
    <x v="5"/>
    <n v="43"/>
    <n v="36"/>
    <n v="7"/>
  </r>
  <r>
    <x v="3"/>
    <x v="3"/>
    <x v="11"/>
    <n v="477.18"/>
    <n v="18.25"/>
    <n v="458.93"/>
  </r>
  <r>
    <x v="3"/>
    <x v="1"/>
    <x v="12"/>
    <n v="4"/>
    <m/>
    <n v="4"/>
  </r>
  <r>
    <x v="3"/>
    <x v="1"/>
    <x v="3"/>
    <n v="74"/>
    <n v="2"/>
    <n v="72"/>
  </r>
  <r>
    <x v="3"/>
    <x v="1"/>
    <x v="5"/>
    <n v="602"/>
    <n v="31"/>
    <n v="571"/>
  </r>
  <r>
    <x v="4"/>
    <x v="2"/>
    <x v="11"/>
    <n v="27"/>
    <n v="21"/>
    <n v="6"/>
  </r>
  <r>
    <x v="4"/>
    <x v="2"/>
    <x v="5"/>
    <n v="42"/>
    <n v="36"/>
    <n v="6"/>
  </r>
  <r>
    <x v="4"/>
    <x v="3"/>
    <x v="11"/>
    <n v="478.93"/>
    <n v="19"/>
    <n v="459.93"/>
  </r>
  <r>
    <x v="4"/>
    <x v="3"/>
    <x v="5"/>
    <n v="241.25"/>
    <n v="12.5"/>
    <n v="228.75"/>
  </r>
  <r>
    <x v="4"/>
    <x v="1"/>
    <x v="8"/>
    <n v="2073.9299999999998"/>
    <n v="130.93"/>
    <n v="1943"/>
  </r>
  <r>
    <x v="5"/>
    <x v="0"/>
    <x v="9"/>
    <n v="47"/>
    <n v="14"/>
    <n v="33"/>
  </r>
  <r>
    <x v="5"/>
    <x v="0"/>
    <x v="6"/>
    <n v="32"/>
    <n v="20"/>
    <n v="12"/>
  </r>
  <r>
    <x v="5"/>
    <x v="1"/>
    <x v="12"/>
    <m/>
    <m/>
    <n v="6"/>
  </r>
  <r>
    <x v="6"/>
    <x v="4"/>
    <x v="5"/>
    <n v="54"/>
    <n v="11"/>
    <n v="43"/>
  </r>
  <r>
    <x v="6"/>
    <x v="0"/>
    <x v="6"/>
    <n v="30"/>
    <n v="19"/>
    <n v="11"/>
  </r>
  <r>
    <x v="6"/>
    <x v="1"/>
    <x v="4"/>
    <n v="152"/>
    <n v="7"/>
    <n v="145"/>
  </r>
  <r>
    <x v="7"/>
    <x v="3"/>
    <x v="11"/>
    <n v="461.28999999999996"/>
    <n v="14.5"/>
    <n v="446.78999999999996"/>
  </r>
  <r>
    <x v="7"/>
    <x v="3"/>
    <x v="5"/>
    <n v="235.85"/>
    <n v="12.25"/>
    <n v="223.6"/>
  </r>
  <r>
    <x v="7"/>
    <x v="0"/>
    <x v="7"/>
    <n v="55.65"/>
    <n v="16.299999999999997"/>
    <n v="39.35"/>
  </r>
  <r>
    <x v="8"/>
    <x v="1"/>
    <x v="2"/>
    <n v="31"/>
    <n v="1"/>
    <n v="30"/>
  </r>
  <r>
    <x v="9"/>
    <x v="2"/>
    <x v="3"/>
    <m/>
    <n v="4"/>
    <m/>
  </r>
  <r>
    <x v="9"/>
    <x v="3"/>
    <x v="11"/>
    <n v="452.13"/>
    <n v="23.25"/>
    <n v="428.88"/>
  </r>
  <r>
    <x v="9"/>
    <x v="3"/>
    <x v="5"/>
    <n v="222.29999999999998"/>
    <n v="9.75"/>
    <n v="212.54999999999998"/>
  </r>
  <r>
    <x v="0"/>
    <x v="0"/>
    <x v="13"/>
    <m/>
    <m/>
    <m/>
  </r>
  <r>
    <x v="0"/>
    <x v="0"/>
    <x v="9"/>
    <n v="69.7"/>
    <n v="31.7"/>
    <n v="38"/>
  </r>
  <r>
    <x v="0"/>
    <x v="0"/>
    <x v="6"/>
    <n v="19.8"/>
    <n v="6.8"/>
    <n v="13"/>
  </r>
  <r>
    <x v="0"/>
    <x v="1"/>
    <x v="8"/>
    <n v="2373.7600000000002"/>
    <n v="106"/>
    <n v="2267.7600000000002"/>
  </r>
  <r>
    <x v="0"/>
    <x v="1"/>
    <x v="4"/>
    <n v="136"/>
    <n v="2"/>
    <n v="134"/>
  </r>
  <r>
    <x v="1"/>
    <x v="3"/>
    <x v="8"/>
    <n v="1906.75"/>
    <n v="128.25"/>
    <n v="1778.5"/>
  </r>
  <r>
    <x v="1"/>
    <x v="0"/>
    <x v="6"/>
    <n v="36.9"/>
    <n v="19.899999999999999"/>
    <n v="17"/>
  </r>
  <r>
    <x v="1"/>
    <x v="1"/>
    <x v="12"/>
    <n v="7"/>
    <m/>
    <n v="7"/>
  </r>
  <r>
    <x v="2"/>
    <x v="2"/>
    <x v="5"/>
    <n v="50.314285714285717"/>
    <n v="43.314285714285717"/>
    <n v="7"/>
  </r>
  <r>
    <x v="2"/>
    <x v="3"/>
    <x v="11"/>
    <n v="486.17999999999995"/>
    <n v="16.75"/>
    <n v="469.42999999999995"/>
  </r>
  <r>
    <x v="2"/>
    <x v="3"/>
    <x v="5"/>
    <n v="247.75"/>
    <n v="14"/>
    <n v="233.75"/>
  </r>
  <r>
    <x v="10"/>
    <x v="0"/>
    <x v="13"/>
    <n v="3"/>
    <n v="2"/>
    <n v="1"/>
  </r>
  <r>
    <x v="10"/>
    <x v="0"/>
    <x v="10"/>
    <n v="332.41"/>
    <n v="106.79"/>
    <n v="225.62"/>
  </r>
  <r>
    <x v="10"/>
    <x v="0"/>
    <x v="7"/>
    <n v="115.06"/>
    <n v="56.58"/>
    <n v="58.48"/>
  </r>
  <r>
    <x v="3"/>
    <x v="3"/>
    <x v="8"/>
    <n v="1821.55"/>
    <n v="121.65"/>
    <n v="1699.9"/>
  </r>
  <r>
    <x v="3"/>
    <x v="1"/>
    <x v="2"/>
    <n v="34"/>
    <m/>
    <n v="34"/>
  </r>
  <r>
    <x v="3"/>
    <x v="1"/>
    <x v="8"/>
    <n v="1988.43"/>
    <n v="113.43"/>
    <n v="1875"/>
  </r>
  <r>
    <x v="4"/>
    <x v="0"/>
    <x v="0"/>
    <n v="144.99"/>
    <n v="134.44"/>
    <n v="10.549999999999999"/>
  </r>
  <r>
    <x v="4"/>
    <x v="0"/>
    <x v="6"/>
    <n v="34"/>
    <n v="21"/>
    <n v="13"/>
  </r>
  <r>
    <x v="4"/>
    <x v="1"/>
    <x v="2"/>
    <m/>
    <m/>
    <n v="33"/>
  </r>
  <r>
    <x v="5"/>
    <x v="0"/>
    <x v="7"/>
    <n v="56.95"/>
    <n v="20.6"/>
    <n v="36.35"/>
  </r>
  <r>
    <x v="5"/>
    <x v="1"/>
    <x v="3"/>
    <n v="80"/>
    <n v="2"/>
    <n v="78"/>
  </r>
  <r>
    <x v="5"/>
    <x v="1"/>
    <x v="4"/>
    <n v="153"/>
    <n v="5"/>
    <n v="148"/>
  </r>
  <r>
    <x v="6"/>
    <x v="0"/>
    <x v="1"/>
    <n v="88.429999999999993"/>
    <n v="59.429999999999993"/>
    <n v="29"/>
  </r>
  <r>
    <x v="6"/>
    <x v="1"/>
    <x v="2"/>
    <m/>
    <m/>
    <n v="35"/>
  </r>
  <r>
    <x v="6"/>
    <x v="1"/>
    <x v="5"/>
    <n v="603"/>
    <n v="31"/>
    <n v="572"/>
  </r>
  <r>
    <x v="7"/>
    <x v="3"/>
    <x v="8"/>
    <n v="1678.3400000000001"/>
    <n v="135.9"/>
    <n v="1542.44"/>
  </r>
  <r>
    <x v="7"/>
    <x v="0"/>
    <x v="6"/>
    <n v="32"/>
    <n v="19"/>
    <n v="13"/>
  </r>
  <r>
    <x v="7"/>
    <x v="1"/>
    <x v="5"/>
    <n v="607"/>
    <n v="30"/>
    <n v="577"/>
  </r>
  <r>
    <x v="8"/>
    <x v="3"/>
    <x v="11"/>
    <n v="453.13"/>
    <n v="18"/>
    <n v="435.13"/>
  </r>
  <r>
    <x v="8"/>
    <x v="0"/>
    <x v="13"/>
    <n v="4"/>
    <n v="1"/>
    <n v="3"/>
  </r>
  <r>
    <x v="9"/>
    <x v="2"/>
    <x v="8"/>
    <n v="86.850000000000009"/>
    <n v="68.850000000000009"/>
    <n v="18"/>
  </r>
  <r>
    <x v="9"/>
    <x v="4"/>
    <x v="11"/>
    <m/>
    <m/>
    <n v="2"/>
  </r>
  <r>
    <x v="9"/>
    <x v="0"/>
    <x v="6"/>
    <n v="35"/>
    <n v="24"/>
    <n v="11"/>
  </r>
  <r>
    <x v="9"/>
    <x v="1"/>
    <x v="12"/>
    <m/>
    <m/>
    <n v="5"/>
  </r>
  <r>
    <x v="9"/>
    <x v="1"/>
    <x v="3"/>
    <n v="71"/>
    <n v="2"/>
    <n v="69"/>
  </r>
  <r>
    <x v="0"/>
    <x v="2"/>
    <x v="3"/>
    <n v="5"/>
    <n v="4"/>
    <n v="1"/>
  </r>
  <r>
    <x v="0"/>
    <x v="2"/>
    <x v="5"/>
    <n v="51.56"/>
    <n v="45.56"/>
    <n v="6"/>
  </r>
  <r>
    <x v="1"/>
    <x v="0"/>
    <x v="9"/>
    <n v="45.99"/>
    <n v="22.990000000000002"/>
    <n v="23"/>
  </r>
  <r>
    <x v="1"/>
    <x v="1"/>
    <x v="2"/>
    <n v="33"/>
    <m/>
    <n v="33"/>
  </r>
  <r>
    <x v="2"/>
    <x v="0"/>
    <x v="1"/>
    <n v="70.714285714285694"/>
    <n v="53.714285714285701"/>
    <n v="17"/>
  </r>
  <r>
    <x v="2"/>
    <x v="1"/>
    <x v="2"/>
    <n v="35"/>
    <n v="0"/>
    <n v="35"/>
  </r>
  <r>
    <x v="2"/>
    <x v="1"/>
    <x v="8"/>
    <n v="2250.7857142857101"/>
    <n v="112.88571428571429"/>
    <n v="2137.9"/>
  </r>
  <r>
    <x v="10"/>
    <x v="2"/>
    <x v="11"/>
    <n v="30.79"/>
    <n v="26"/>
    <n v="4.79"/>
  </r>
  <r>
    <x v="10"/>
    <x v="1"/>
    <x v="11"/>
    <n v="636"/>
    <n v="29"/>
    <n v="607"/>
  </r>
  <r>
    <x v="3"/>
    <x v="2"/>
    <x v="8"/>
    <n v="100.83"/>
    <n v="83.33"/>
    <n v="17.5"/>
  </r>
  <r>
    <x v="3"/>
    <x v="0"/>
    <x v="9"/>
    <n v="49.71"/>
    <n v="16.71"/>
    <n v="33"/>
  </r>
  <r>
    <x v="4"/>
    <x v="2"/>
    <x v="8"/>
    <n v="119.32999999999998"/>
    <n v="98.329999999999984"/>
    <n v="21"/>
  </r>
  <r>
    <x v="4"/>
    <x v="1"/>
    <x v="12"/>
    <m/>
    <m/>
    <n v="4"/>
  </r>
  <r>
    <x v="5"/>
    <x v="2"/>
    <x v="8"/>
    <n v="99.83"/>
    <n v="81.83"/>
    <n v="18"/>
  </r>
  <r>
    <x v="5"/>
    <x v="4"/>
    <x v="5"/>
    <n v="36"/>
    <n v="7"/>
    <n v="29"/>
  </r>
  <r>
    <x v="5"/>
    <x v="0"/>
    <x v="13"/>
    <n v="3"/>
    <n v="2"/>
    <n v="1"/>
  </r>
  <r>
    <x v="5"/>
    <x v="0"/>
    <x v="1"/>
    <n v="88.61"/>
    <n v="59.61"/>
    <n v="29"/>
  </r>
  <r>
    <x v="6"/>
    <x v="2"/>
    <x v="11"/>
    <n v="30"/>
    <n v="23"/>
    <n v="7"/>
  </r>
  <r>
    <x v="6"/>
    <x v="0"/>
    <x v="0"/>
    <n v="160.44999999999999"/>
    <n v="151.58999999999997"/>
    <n v="8.86"/>
  </r>
  <r>
    <x v="6"/>
    <x v="0"/>
    <x v="10"/>
    <n v="398.88"/>
    <n v="154.14000000000001"/>
    <n v="244.73999999999998"/>
  </r>
  <r>
    <x v="7"/>
    <x v="1"/>
    <x v="3"/>
    <n v="76"/>
    <n v="2"/>
    <n v="74"/>
  </r>
  <r>
    <x v="8"/>
    <x v="2"/>
    <x v="4"/>
    <n v="10"/>
    <n v="9"/>
    <n v="1"/>
  </r>
  <r>
    <x v="8"/>
    <x v="2"/>
    <x v="5"/>
    <n v="36.86"/>
    <n v="31.86"/>
    <n v="5"/>
  </r>
  <r>
    <x v="8"/>
    <x v="3"/>
    <x v="8"/>
    <n v="1648.19"/>
    <n v="127.25"/>
    <n v="1520.94"/>
  </r>
  <r>
    <x v="8"/>
    <x v="0"/>
    <x v="10"/>
    <n v="441.38"/>
    <n v="188.97999999999996"/>
    <n v="252.40000000000003"/>
  </r>
  <r>
    <x v="8"/>
    <x v="1"/>
    <x v="12"/>
    <m/>
    <m/>
    <n v="5"/>
  </r>
  <r>
    <x v="8"/>
    <x v="1"/>
    <x v="11"/>
    <n v="655"/>
    <n v="39"/>
    <n v="616"/>
  </r>
  <r>
    <x v="8"/>
    <x v="1"/>
    <x v="3"/>
    <n v="78"/>
    <n v="2"/>
    <n v="76"/>
  </r>
  <r>
    <x v="8"/>
    <x v="1"/>
    <x v="4"/>
    <n v="148"/>
    <n v="9"/>
    <n v="139"/>
  </r>
  <r>
    <x v="9"/>
    <x v="1"/>
    <x v="5"/>
    <n v="606.77"/>
    <n v="31"/>
    <n v="575.77"/>
  </r>
  <r>
    <x v="0"/>
    <x v="2"/>
    <x v="8"/>
    <n v="94.39"/>
    <n v="85.39"/>
    <n v="9"/>
  </r>
  <r>
    <x v="0"/>
    <x v="3"/>
    <x v="11"/>
    <n v="489.46"/>
    <n v="17.760000000000002"/>
    <n v="471.7"/>
  </r>
  <r>
    <x v="0"/>
    <x v="1"/>
    <x v="3"/>
    <n v="115"/>
    <n v="3"/>
    <n v="112"/>
  </r>
  <r>
    <x v="0"/>
    <x v="1"/>
    <x v="5"/>
    <n v="679"/>
    <n v="22"/>
    <n v="657"/>
  </r>
  <r>
    <x v="1"/>
    <x v="0"/>
    <x v="13"/>
    <n v="2"/>
    <n v="2"/>
    <n v="0"/>
  </r>
  <r>
    <x v="1"/>
    <x v="1"/>
    <x v="8"/>
    <n v="2285"/>
    <n v="109"/>
    <n v="2176"/>
  </r>
  <r>
    <x v="1"/>
    <x v="1"/>
    <x v="4"/>
    <n v="130"/>
    <n v="1"/>
    <n v="129"/>
  </r>
  <r>
    <x v="2"/>
    <x v="2"/>
    <x v="4"/>
    <n v="6.8333333333333339"/>
    <n v="6.8333333333333339"/>
    <m/>
  </r>
  <r>
    <x v="2"/>
    <x v="3"/>
    <x v="8"/>
    <n v="1792.8328571428574"/>
    <n v="116.4"/>
    <n v="1676.4328571428573"/>
  </r>
  <r>
    <x v="2"/>
    <x v="0"/>
    <x v="9"/>
    <n v="40"/>
    <n v="15"/>
    <n v="25"/>
  </r>
  <r>
    <x v="2"/>
    <x v="0"/>
    <x v="10"/>
    <n v="303.60857142857139"/>
    <n v="95.918571428571425"/>
    <n v="207.69"/>
  </r>
  <r>
    <x v="2"/>
    <x v="0"/>
    <x v="7"/>
    <n v="122.20028571428573"/>
    <n v="57.195428571428593"/>
    <n v="65.004857142857134"/>
  </r>
  <r>
    <x v="2"/>
    <x v="1"/>
    <x v="12"/>
    <n v="4"/>
    <n v="0"/>
    <n v="4"/>
  </r>
  <r>
    <x v="10"/>
    <x v="2"/>
    <x v="3"/>
    <n v="5"/>
    <n v="4"/>
    <n v="1"/>
  </r>
  <r>
    <x v="10"/>
    <x v="2"/>
    <x v="5"/>
    <n v="40.85"/>
    <n v="34.85"/>
    <n v="6"/>
  </r>
  <r>
    <x v="10"/>
    <x v="3"/>
    <x v="11"/>
    <n v="502.68"/>
    <n v="15.5"/>
    <n v="487.18"/>
  </r>
  <r>
    <x v="10"/>
    <x v="0"/>
    <x v="1"/>
    <n v="75.62"/>
    <n v="55"/>
    <n v="20.62"/>
  </r>
  <r>
    <x v="3"/>
    <x v="0"/>
    <x v="7"/>
    <n v="110.41"/>
    <n v="52.13"/>
    <n v="58.28"/>
  </r>
  <r>
    <x v="3"/>
    <x v="1"/>
    <x v="11"/>
    <n v="689"/>
    <n v="26"/>
    <n v="663"/>
  </r>
  <r>
    <x v="3"/>
    <x v="1"/>
    <x v="4"/>
    <n v="153"/>
    <n v="2"/>
    <n v="151"/>
  </r>
  <r>
    <x v="4"/>
    <x v="2"/>
    <x v="4"/>
    <n v="9"/>
    <n v="8"/>
    <n v="1"/>
  </r>
  <r>
    <x v="4"/>
    <x v="4"/>
    <x v="14"/>
    <n v="18"/>
    <n v="1"/>
    <n v="17"/>
  </r>
  <r>
    <x v="5"/>
    <x v="1"/>
    <x v="11"/>
    <n v="688"/>
    <n v="31"/>
    <n v="657"/>
  </r>
  <r>
    <x v="5"/>
    <x v="1"/>
    <x v="8"/>
    <n v="2067.9299999999998"/>
    <n v="152.93"/>
    <n v="1915"/>
  </r>
  <r>
    <x v="6"/>
    <x v="3"/>
    <x v="11"/>
    <n v="461.93"/>
    <n v="14"/>
    <n v="447.93"/>
  </r>
  <r>
    <x v="6"/>
    <x v="3"/>
    <x v="8"/>
    <n v="1784.5500000000002"/>
    <n v="143.4"/>
    <n v="1641.15"/>
  </r>
  <r>
    <x v="6"/>
    <x v="0"/>
    <x v="13"/>
    <n v="3"/>
    <n v="2"/>
    <n v="1"/>
  </r>
  <r>
    <x v="6"/>
    <x v="1"/>
    <x v="3"/>
    <n v="79"/>
    <n v="2"/>
    <n v="77"/>
  </r>
  <r>
    <x v="7"/>
    <x v="2"/>
    <x v="8"/>
    <n v="86.460000000000008"/>
    <n v="72.460000000000008"/>
    <n v="14"/>
  </r>
  <r>
    <x v="7"/>
    <x v="0"/>
    <x v="9"/>
    <n v="57"/>
    <n v="25"/>
    <n v="32"/>
  </r>
  <r>
    <x v="8"/>
    <x v="1"/>
    <x v="8"/>
    <n v="1969.43"/>
    <n v="143.93"/>
    <n v="1825.5"/>
  </r>
  <r>
    <x v="9"/>
    <x v="4"/>
    <x v="5"/>
    <n v="53"/>
    <n v="8"/>
    <n v="45"/>
  </r>
  <r>
    <x v="9"/>
    <x v="0"/>
    <x v="13"/>
    <n v="3"/>
    <n v="2"/>
    <n v="1"/>
  </r>
  <r>
    <x v="9"/>
    <x v="0"/>
    <x v="10"/>
    <n v="438.38"/>
    <n v="204.51"/>
    <n v="233.86999999999998"/>
  </r>
  <r>
    <x v="0"/>
    <x v="3"/>
    <x v="8"/>
    <n v="1913.5500000000002"/>
    <n v="132.88999999999999"/>
    <n v="1780.66"/>
  </r>
  <r>
    <x v="0"/>
    <x v="0"/>
    <x v="7"/>
    <n v="199.5"/>
    <n v="119.8"/>
    <n v="79.7"/>
  </r>
  <r>
    <x v="1"/>
    <x v="2"/>
    <x v="8"/>
    <n v="102.69"/>
    <n v="81.69"/>
    <n v="21"/>
  </r>
  <r>
    <x v="1"/>
    <x v="3"/>
    <x v="11"/>
    <n v="498"/>
    <n v="16.5"/>
    <n v="481.5"/>
  </r>
  <r>
    <x v="1"/>
    <x v="0"/>
    <x v="0"/>
    <n v="151.38999999999999"/>
    <n v="135.17999999999998"/>
    <n v="16.21"/>
  </r>
  <r>
    <x v="1"/>
    <x v="1"/>
    <x v="11"/>
    <n v="634"/>
    <n v="24"/>
    <n v="610"/>
  </r>
  <r>
    <x v="2"/>
    <x v="0"/>
    <x v="13"/>
    <n v="3"/>
    <n v="2"/>
    <n v="1"/>
  </r>
  <r>
    <x v="2"/>
    <x v="0"/>
    <x v="6"/>
    <n v="33.309428571428569"/>
    <n v="17.309428571428572"/>
    <n v="16"/>
  </r>
  <r>
    <x v="10"/>
    <x v="2"/>
    <x v="8"/>
    <n v="76.33"/>
    <n v="63.83"/>
    <n v="12.5"/>
  </r>
  <r>
    <x v="10"/>
    <x v="3"/>
    <x v="8"/>
    <n v="1807.55"/>
    <n v="112.65"/>
    <n v="1694.9"/>
  </r>
  <r>
    <x v="10"/>
    <x v="0"/>
    <x v="6"/>
    <n v="33.86"/>
    <n v="18.86"/>
    <n v="15"/>
  </r>
  <r>
    <x v="10"/>
    <x v="1"/>
    <x v="8"/>
    <n v="2158.58"/>
    <n v="122.58"/>
    <n v="2036"/>
  </r>
  <r>
    <x v="3"/>
    <x v="0"/>
    <x v="0"/>
    <n v="135.37"/>
    <n v="126.82"/>
    <n v="8.5500000000000007"/>
  </r>
  <r>
    <x v="3"/>
    <x v="0"/>
    <x v="13"/>
    <n v="2"/>
    <n v="1"/>
    <n v="1"/>
  </r>
  <r>
    <x v="4"/>
    <x v="0"/>
    <x v="13"/>
    <n v="3"/>
    <n v="2"/>
    <n v="1"/>
  </r>
  <r>
    <x v="4"/>
    <x v="1"/>
    <x v="5"/>
    <n v="611"/>
    <n v="33"/>
    <n v="578"/>
  </r>
  <r>
    <x v="5"/>
    <x v="3"/>
    <x v="11"/>
    <n v="459.93"/>
    <n v="17"/>
    <n v="442.93"/>
  </r>
  <r>
    <x v="5"/>
    <x v="1"/>
    <x v="2"/>
    <m/>
    <m/>
    <n v="31"/>
  </r>
  <r>
    <x v="6"/>
    <x v="2"/>
    <x v="4"/>
    <n v="10"/>
    <n v="9"/>
    <n v="1"/>
  </r>
  <r>
    <x v="6"/>
    <x v="2"/>
    <x v="5"/>
    <n v="41"/>
    <n v="35"/>
    <n v="6"/>
  </r>
  <r>
    <x v="6"/>
    <x v="3"/>
    <x v="5"/>
    <n v="236"/>
    <n v="11.25"/>
    <n v="224.75"/>
  </r>
  <r>
    <x v="6"/>
    <x v="1"/>
    <x v="12"/>
    <m/>
    <m/>
    <n v="5"/>
  </r>
  <r>
    <x v="7"/>
    <x v="2"/>
    <x v="5"/>
    <n v="42"/>
    <n v="37"/>
    <n v="5"/>
  </r>
  <r>
    <x v="7"/>
    <x v="0"/>
    <x v="1"/>
    <n v="100.35"/>
    <n v="72.849999999999994"/>
    <n v="27.5"/>
  </r>
  <r>
    <x v="7"/>
    <x v="1"/>
    <x v="12"/>
    <m/>
    <m/>
    <n v="5"/>
  </r>
  <r>
    <x v="8"/>
    <x v="2"/>
    <x v="3"/>
    <n v="4"/>
    <n v="3"/>
    <n v="1"/>
  </r>
  <r>
    <x v="8"/>
    <x v="0"/>
    <x v="0"/>
    <n v="140.28"/>
    <n v="124.76"/>
    <n v="15.52"/>
  </r>
  <r>
    <x v="8"/>
    <x v="0"/>
    <x v="1"/>
    <n v="94.669999999999987"/>
    <n v="54.669999999999995"/>
    <n v="40"/>
  </r>
  <r>
    <x v="9"/>
    <x v="2"/>
    <x v="2"/>
    <m/>
    <n v="1"/>
    <m/>
  </r>
  <r>
    <x v="9"/>
    <x v="2"/>
    <x v="4"/>
    <n v="9"/>
    <n v="8"/>
    <n v="1"/>
  </r>
  <r>
    <x v="9"/>
    <x v="2"/>
    <x v="5"/>
    <n v="39.57"/>
    <n v="34.57"/>
    <n v="5"/>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
  <r>
    <x v="0"/>
    <x v="0"/>
    <s v="S40000003"/>
    <x v="0"/>
    <n v="416"/>
    <m/>
    <n v="4"/>
    <n v="4"/>
    <n v="8"/>
    <n v="107"/>
    <n v="149"/>
    <n v="144"/>
  </r>
  <r>
    <x v="0"/>
    <x v="0"/>
    <s v="S40000004"/>
    <x v="0"/>
    <n v="175"/>
    <m/>
    <n v="6"/>
    <n v="2"/>
    <n v="7"/>
    <n v="46"/>
    <n v="66"/>
    <n v="48"/>
  </r>
  <r>
    <x v="0"/>
    <x v="0"/>
    <s v="S40000005"/>
    <x v="0"/>
    <n v="133"/>
    <m/>
    <n v="4"/>
    <n v="5"/>
    <n v="6"/>
    <n v="59"/>
    <n v="19"/>
    <n v="40"/>
  </r>
  <r>
    <x v="0"/>
    <x v="0"/>
    <s v="S92000003"/>
    <x v="0"/>
    <n v="237"/>
    <m/>
    <n v="56"/>
    <n v="9"/>
    <n v="24"/>
    <n v="102"/>
    <n v="0"/>
    <n v="46"/>
  </r>
  <r>
    <x v="1"/>
    <x v="0"/>
    <s v="S40000003"/>
    <x v="0"/>
    <n v="340"/>
    <m/>
    <n v="3"/>
    <n v="9"/>
    <n v="14"/>
    <n v="113"/>
    <n v="109"/>
    <n v="92"/>
  </r>
  <r>
    <x v="1"/>
    <x v="0"/>
    <s v="S40000004"/>
    <x v="0"/>
    <n v="163"/>
    <m/>
    <n v="3"/>
    <n v="7"/>
    <n v="12"/>
    <n v="48"/>
    <n v="65"/>
    <n v="28"/>
  </r>
  <r>
    <x v="1"/>
    <x v="0"/>
    <s v="S40000005"/>
    <x v="0"/>
    <n v="126"/>
    <m/>
    <n v="3"/>
    <n v="7"/>
    <n v="6"/>
    <n v="64"/>
    <n v="19"/>
    <n v="27"/>
  </r>
  <r>
    <x v="1"/>
    <x v="0"/>
    <s v="S92000003"/>
    <x v="0"/>
    <n v="238"/>
    <n v="2"/>
    <n v="35"/>
    <n v="13"/>
    <n v="27"/>
    <n v="112"/>
    <n v="0"/>
    <n v="49"/>
  </r>
  <r>
    <x v="2"/>
    <x v="0"/>
    <s v="S40000003"/>
    <x v="0"/>
    <n v="286"/>
    <m/>
    <n v="2"/>
    <n v="10"/>
    <n v="15"/>
    <n v="110"/>
    <n v="84"/>
    <n v="65"/>
  </r>
  <r>
    <x v="2"/>
    <x v="0"/>
    <s v="S40000004"/>
    <x v="0"/>
    <n v="124"/>
    <m/>
    <n v="3"/>
    <n v="5"/>
    <n v="13"/>
    <n v="35"/>
    <n v="56"/>
    <n v="12"/>
  </r>
  <r>
    <x v="2"/>
    <x v="0"/>
    <s v="S40000005"/>
    <x v="0"/>
    <n v="121"/>
    <m/>
    <n v="3"/>
    <n v="7"/>
    <n v="11"/>
    <n v="61"/>
    <n v="20"/>
    <n v="19"/>
  </r>
  <r>
    <x v="2"/>
    <x v="0"/>
    <s v="S92000003"/>
    <x v="0"/>
    <n v="297"/>
    <n v="3"/>
    <n v="32"/>
    <n v="12"/>
    <n v="35"/>
    <n v="110"/>
    <n v="7"/>
    <n v="98"/>
  </r>
  <r>
    <x v="3"/>
    <x v="0"/>
    <s v="S40000003"/>
    <x v="0"/>
    <n v="294"/>
    <m/>
    <n v="2"/>
    <n v="10"/>
    <n v="15"/>
    <n v="120"/>
    <n v="89"/>
    <n v="58"/>
  </r>
  <r>
    <x v="3"/>
    <x v="0"/>
    <s v="S40000004"/>
    <x v="0"/>
    <n v="142"/>
    <m/>
    <n v="3"/>
    <n v="5"/>
    <n v="13"/>
    <n v="48"/>
    <n v="54"/>
    <n v="19"/>
  </r>
  <r>
    <x v="3"/>
    <x v="0"/>
    <s v="S40000005"/>
    <x v="0"/>
    <n v="135"/>
    <m/>
    <n v="3"/>
    <n v="7"/>
    <n v="12"/>
    <n v="75"/>
    <n v="14"/>
    <n v="24"/>
  </r>
  <r>
    <x v="3"/>
    <x v="0"/>
    <s v="S92000003"/>
    <x v="0"/>
    <n v="267"/>
    <n v="3"/>
    <n v="34"/>
    <n v="12"/>
    <n v="38"/>
    <n v="103"/>
    <n v="8"/>
    <n v="69"/>
  </r>
  <r>
    <x v="4"/>
    <x v="0"/>
    <s v="S40000003"/>
    <x v="0"/>
    <n v="300"/>
    <m/>
    <n v="2"/>
    <n v="10"/>
    <n v="16"/>
    <n v="133"/>
    <n v="82"/>
    <n v="57"/>
  </r>
  <r>
    <x v="4"/>
    <x v="0"/>
    <s v="S40000004"/>
    <x v="0"/>
    <n v="128"/>
    <m/>
    <n v="3"/>
    <n v="3"/>
    <n v="11"/>
    <n v="45"/>
    <n v="49"/>
    <n v="17"/>
  </r>
  <r>
    <x v="4"/>
    <x v="0"/>
    <s v="S40000005"/>
    <x v="0"/>
    <n v="141"/>
    <m/>
    <n v="3"/>
    <n v="8"/>
    <n v="11"/>
    <n v="81"/>
    <n v="15"/>
    <n v="23"/>
  </r>
  <r>
    <x v="4"/>
    <x v="0"/>
    <s v="S92000003"/>
    <x v="0"/>
    <n v="277"/>
    <n v="2"/>
    <n v="42"/>
    <n v="11"/>
    <n v="41"/>
    <n v="107"/>
    <n v="7"/>
    <n v="67"/>
  </r>
  <r>
    <x v="5"/>
    <x v="1"/>
    <s v="S40000003"/>
    <x v="1"/>
    <n v="0"/>
    <m/>
    <n v="0"/>
    <n v="0"/>
    <n v="0"/>
    <n v="0"/>
    <n v="0"/>
    <n v="0"/>
  </r>
  <r>
    <x v="5"/>
    <x v="1"/>
    <s v="S40000004"/>
    <x v="2"/>
    <n v="0"/>
    <m/>
    <n v="0"/>
    <n v="0"/>
    <n v="0"/>
    <n v="0"/>
    <n v="0"/>
    <n v="0"/>
  </r>
  <r>
    <x v="5"/>
    <x v="1"/>
    <s v="S40000005"/>
    <x v="3"/>
    <n v="0"/>
    <m/>
    <n v="0"/>
    <n v="0"/>
    <n v="0"/>
    <n v="0"/>
    <n v="0"/>
    <n v="0"/>
  </r>
  <r>
    <x v="5"/>
    <x v="0"/>
    <s v="S92000003"/>
    <x v="0"/>
    <n v="792"/>
    <n v="3"/>
    <n v="49"/>
    <n v="34"/>
    <n v="84"/>
    <n v="388"/>
    <n v="64"/>
    <n v="170"/>
  </r>
  <r>
    <x v="6"/>
    <x v="1"/>
    <s v="S40000003"/>
    <x v="1"/>
    <n v="0"/>
    <m/>
    <n v="0"/>
    <n v="0"/>
    <n v="0"/>
    <n v="0"/>
    <n v="0"/>
    <n v="0"/>
  </r>
  <r>
    <x v="6"/>
    <x v="1"/>
    <s v="S40000004"/>
    <x v="2"/>
    <n v="0"/>
    <m/>
    <n v="0"/>
    <n v="0"/>
    <n v="0"/>
    <n v="0"/>
    <n v="0"/>
    <n v="0"/>
  </r>
  <r>
    <x v="6"/>
    <x v="1"/>
    <s v="S40000005"/>
    <x v="3"/>
    <n v="0"/>
    <m/>
    <n v="0"/>
    <n v="0"/>
    <n v="0"/>
    <n v="0"/>
    <n v="0"/>
    <n v="0"/>
  </r>
  <r>
    <x v="6"/>
    <x v="0"/>
    <s v="S92000003"/>
    <x v="0"/>
    <n v="817"/>
    <n v="3"/>
    <n v="47"/>
    <n v="32"/>
    <n v="90"/>
    <n v="400"/>
    <n v="63"/>
    <n v="182"/>
  </r>
  <r>
    <x v="7"/>
    <x v="1"/>
    <s v="S40000003"/>
    <x v="1"/>
    <n v="0"/>
    <m/>
    <n v="0"/>
    <n v="0"/>
    <n v="0"/>
    <n v="0"/>
    <n v="0"/>
    <n v="0"/>
  </r>
  <r>
    <x v="7"/>
    <x v="1"/>
    <s v="S40000004"/>
    <x v="2"/>
    <n v="0"/>
    <m/>
    <n v="0"/>
    <n v="0"/>
    <n v="0"/>
    <n v="0"/>
    <n v="0"/>
    <n v="0"/>
  </r>
  <r>
    <x v="7"/>
    <x v="1"/>
    <s v="S40000005"/>
    <x v="3"/>
    <n v="0"/>
    <m/>
    <n v="0"/>
    <n v="0"/>
    <n v="0"/>
    <n v="0"/>
    <n v="0"/>
    <n v="0"/>
  </r>
  <r>
    <x v="7"/>
    <x v="0"/>
    <s v="S92000003"/>
    <x v="0"/>
    <n v="835"/>
    <n v="3"/>
    <n v="50"/>
    <n v="30"/>
    <n v="91"/>
    <n v="413"/>
    <n v="61"/>
    <n v="187"/>
  </r>
  <r>
    <x v="8"/>
    <x v="1"/>
    <m/>
    <x v="3"/>
    <n v="0"/>
    <m/>
    <n v="0"/>
    <n v="0"/>
    <n v="0"/>
    <n v="0"/>
    <n v="0"/>
    <n v="0"/>
  </r>
  <r>
    <x v="8"/>
    <x v="1"/>
    <m/>
    <x v="1"/>
    <n v="0"/>
    <m/>
    <n v="0"/>
    <n v="0"/>
    <n v="0"/>
    <n v="0"/>
    <n v="0"/>
    <n v="0"/>
  </r>
  <r>
    <x v="8"/>
    <x v="1"/>
    <s v="S40000004"/>
    <x v="2"/>
    <n v="0"/>
    <m/>
    <n v="0"/>
    <n v="0"/>
    <n v="0"/>
    <n v="0"/>
    <n v="0"/>
    <n v="0"/>
  </r>
  <r>
    <x v="8"/>
    <x v="0"/>
    <s v="S92000003"/>
    <x v="0"/>
    <n v="920"/>
    <n v="4"/>
    <n v="57"/>
    <n v="33"/>
    <n v="104"/>
    <n v="469"/>
    <n v="60"/>
    <n v="193"/>
  </r>
  <r>
    <x v="9"/>
    <x v="1"/>
    <m/>
    <x v="3"/>
    <n v="0"/>
    <m/>
    <n v="0"/>
    <n v="0"/>
    <n v="0"/>
    <n v="0"/>
    <n v="0"/>
    <n v="0"/>
  </r>
  <r>
    <x v="9"/>
    <x v="1"/>
    <m/>
    <x v="1"/>
    <n v="0"/>
    <m/>
    <n v="0"/>
    <n v="0"/>
    <n v="0"/>
    <n v="0"/>
    <n v="0"/>
    <n v="0"/>
  </r>
  <r>
    <x v="9"/>
    <x v="1"/>
    <s v="S40000004"/>
    <x v="2"/>
    <n v="0"/>
    <m/>
    <n v="0"/>
    <n v="0"/>
    <n v="0"/>
    <n v="0"/>
    <n v="0"/>
    <n v="0"/>
  </r>
  <r>
    <x v="9"/>
    <x v="0"/>
    <s v="S92000003"/>
    <x v="0"/>
    <n v="901"/>
    <n v="4"/>
    <n v="81"/>
    <n v="36"/>
    <n v="98"/>
    <n v="465"/>
    <n v="58"/>
    <n v="159"/>
  </r>
  <r>
    <x v="10"/>
    <x v="1"/>
    <m/>
    <x v="3"/>
    <n v="0"/>
    <m/>
    <n v="0"/>
    <n v="0"/>
    <n v="0"/>
    <n v="0"/>
    <n v="0"/>
    <n v="0"/>
  </r>
  <r>
    <x v="10"/>
    <x v="1"/>
    <m/>
    <x v="1"/>
    <n v="0"/>
    <m/>
    <n v="0"/>
    <n v="0"/>
    <n v="0"/>
    <n v="0"/>
    <n v="0"/>
    <n v="0"/>
  </r>
  <r>
    <x v="10"/>
    <x v="1"/>
    <s v="S40000004"/>
    <x v="2"/>
    <n v="0"/>
    <m/>
    <n v="0"/>
    <n v="0"/>
    <n v="0"/>
    <n v="0"/>
    <n v="0"/>
    <n v="0"/>
  </r>
  <r>
    <x v="10"/>
    <x v="0"/>
    <s v="S92000003"/>
    <x v="0"/>
    <n v="887"/>
    <n v="3"/>
    <n v="87"/>
    <n v="35"/>
    <n v="90"/>
    <n v="470"/>
    <n v="60"/>
    <n v="142"/>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
  <r>
    <x v="0"/>
    <x v="0"/>
    <s v="S12000005"/>
    <x v="0"/>
    <n v="0"/>
    <n v="0"/>
    <n v="0"/>
    <n v="0"/>
  </r>
  <r>
    <x v="0"/>
    <x v="0"/>
    <s v="S12000006"/>
    <x v="1"/>
    <n v="4"/>
    <n v="0"/>
    <n v="1"/>
    <n v="3"/>
  </r>
  <r>
    <x v="0"/>
    <x v="0"/>
    <s v="S12000008"/>
    <x v="2"/>
    <n v="0"/>
    <n v="0"/>
    <n v="0"/>
    <n v="0"/>
  </r>
  <r>
    <x v="0"/>
    <x v="0"/>
    <s v="S12000010"/>
    <x v="3"/>
    <n v="0"/>
    <n v="0"/>
    <n v="0"/>
    <n v="0"/>
  </r>
  <r>
    <x v="0"/>
    <x v="0"/>
    <s v="S12000011"/>
    <x v="4"/>
    <n v="0"/>
    <n v="0"/>
    <n v="0"/>
    <n v="0"/>
  </r>
  <r>
    <x v="0"/>
    <x v="0"/>
    <s v="S12000013"/>
    <x v="5"/>
    <n v="0"/>
    <n v="0"/>
    <n v="0"/>
    <n v="0"/>
  </r>
  <r>
    <x v="0"/>
    <x v="0"/>
    <s v="S12000014"/>
    <x v="6"/>
    <n v="0"/>
    <n v="0"/>
    <n v="0"/>
    <n v="0"/>
  </r>
  <r>
    <x v="0"/>
    <x v="0"/>
    <s v="S12000017"/>
    <x v="7"/>
    <n v="72"/>
    <n v="8"/>
    <n v="13"/>
    <n v="51"/>
  </r>
  <r>
    <x v="0"/>
    <x v="0"/>
    <s v="S12000018"/>
    <x v="8"/>
    <n v="0"/>
    <n v="0"/>
    <n v="0"/>
    <n v="0"/>
  </r>
  <r>
    <x v="0"/>
    <x v="0"/>
    <s v="S12000019"/>
    <x v="9"/>
    <n v="0"/>
    <n v="0"/>
    <n v="0"/>
    <n v="0"/>
  </r>
  <r>
    <x v="0"/>
    <x v="0"/>
    <s v="S12000020"/>
    <x v="10"/>
    <n v="32"/>
    <n v="1"/>
    <n v="2"/>
    <n v="29"/>
  </r>
  <r>
    <x v="0"/>
    <x v="0"/>
    <s v="S12000021"/>
    <x v="11"/>
    <n v="21"/>
    <n v="0"/>
    <n v="6"/>
    <n v="15"/>
  </r>
  <r>
    <x v="0"/>
    <x v="0"/>
    <s v="S12000023"/>
    <x v="12"/>
    <n v="0"/>
    <n v="0"/>
    <n v="0"/>
    <n v="0"/>
  </r>
  <r>
    <x v="0"/>
    <x v="0"/>
    <s v="S12000024"/>
    <x v="13"/>
    <n v="25"/>
    <n v="0"/>
    <n v="3"/>
    <n v="22"/>
  </r>
  <r>
    <x v="0"/>
    <x v="0"/>
    <s v="S12000026"/>
    <x v="14"/>
    <n v="0"/>
    <n v="0"/>
    <n v="0"/>
    <n v="0"/>
  </r>
  <r>
    <x v="0"/>
    <x v="0"/>
    <s v="S12000027"/>
    <x v="15"/>
    <n v="0"/>
    <n v="0"/>
    <n v="0"/>
    <n v="0"/>
  </r>
  <r>
    <x v="0"/>
    <x v="0"/>
    <s v="S12000028"/>
    <x v="16"/>
    <n v="0"/>
    <n v="0"/>
    <n v="0"/>
    <n v="0"/>
  </r>
  <r>
    <x v="0"/>
    <x v="0"/>
    <s v="S12000029"/>
    <x v="17"/>
    <n v="2"/>
    <n v="0"/>
    <n v="1"/>
    <n v="1"/>
  </r>
  <r>
    <x v="0"/>
    <x v="0"/>
    <s v="S12000030"/>
    <x v="18"/>
    <n v="0"/>
    <n v="0"/>
    <n v="0"/>
    <n v="0"/>
  </r>
  <r>
    <x v="0"/>
    <x v="0"/>
    <s v="S12000033"/>
    <x v="19"/>
    <n v="0"/>
    <n v="0"/>
    <n v="0"/>
    <n v="0"/>
  </r>
  <r>
    <x v="0"/>
    <x v="0"/>
    <s v="S12000034"/>
    <x v="20"/>
    <n v="0"/>
    <n v="0"/>
    <n v="0"/>
    <n v="0"/>
  </r>
  <r>
    <x v="0"/>
    <x v="0"/>
    <s v="S12000035"/>
    <x v="21"/>
    <n v="203"/>
    <n v="0"/>
    <n v="47"/>
    <n v="156"/>
  </r>
  <r>
    <x v="0"/>
    <x v="0"/>
    <s v="S12000036"/>
    <x v="22"/>
    <n v="0"/>
    <n v="0"/>
    <n v="0"/>
    <n v="0"/>
  </r>
  <r>
    <x v="0"/>
    <x v="0"/>
    <s v="S12000038"/>
    <x v="23"/>
    <n v="0"/>
    <n v="0"/>
    <n v="0"/>
    <n v="0"/>
  </r>
  <r>
    <x v="0"/>
    <x v="0"/>
    <s v="S12000039"/>
    <x v="24"/>
    <n v="0"/>
    <n v="0"/>
    <n v="0"/>
    <n v="0"/>
  </r>
  <r>
    <x v="0"/>
    <x v="0"/>
    <s v="S12000040"/>
    <x v="25"/>
    <n v="0"/>
    <n v="0"/>
    <n v="0"/>
    <n v="0"/>
  </r>
  <r>
    <x v="0"/>
    <x v="0"/>
    <s v="S12000041"/>
    <x v="26"/>
    <n v="0"/>
    <n v="0"/>
    <n v="0"/>
    <n v="0"/>
  </r>
  <r>
    <x v="0"/>
    <x v="0"/>
    <s v="S12000042"/>
    <x v="27"/>
    <n v="0"/>
    <n v="0"/>
    <n v="0"/>
    <n v="0"/>
  </r>
  <r>
    <x v="0"/>
    <x v="0"/>
    <s v="S12000044"/>
    <x v="28"/>
    <n v="0"/>
    <n v="0"/>
    <n v="0"/>
    <n v="0"/>
  </r>
  <r>
    <x v="0"/>
    <x v="0"/>
    <s v="S12000045"/>
    <x v="29"/>
    <n v="0"/>
    <n v="0"/>
    <n v="0"/>
    <n v="0"/>
  </r>
  <r>
    <x v="0"/>
    <x v="0"/>
    <s v="S12000046"/>
    <x v="30"/>
    <n v="0"/>
    <n v="0"/>
    <n v="0"/>
    <n v="0"/>
  </r>
  <r>
    <x v="0"/>
    <x v="0"/>
    <s v="S12000047"/>
    <x v="31"/>
    <n v="0"/>
    <n v="0"/>
    <n v="0"/>
    <n v="0"/>
  </r>
  <r>
    <x v="1"/>
    <x v="0"/>
    <s v="S12000005"/>
    <x v="0"/>
    <n v="0"/>
    <n v="0"/>
    <n v="0"/>
    <n v="0"/>
  </r>
  <r>
    <x v="1"/>
    <x v="0"/>
    <s v="S12000006"/>
    <x v="1"/>
    <n v="3"/>
    <n v="0"/>
    <n v="1"/>
    <n v="2"/>
  </r>
  <r>
    <x v="1"/>
    <x v="0"/>
    <s v="S12000008"/>
    <x v="2"/>
    <n v="0"/>
    <n v="0"/>
    <n v="0"/>
    <n v="0"/>
  </r>
  <r>
    <x v="1"/>
    <x v="0"/>
    <s v="S12000010"/>
    <x v="3"/>
    <n v="0"/>
    <n v="0"/>
    <n v="0"/>
    <n v="0"/>
  </r>
  <r>
    <x v="1"/>
    <x v="0"/>
    <s v="S12000011"/>
    <x v="4"/>
    <n v="0"/>
    <n v="0"/>
    <n v="0"/>
    <n v="0"/>
  </r>
  <r>
    <x v="1"/>
    <x v="0"/>
    <s v="S12000013"/>
    <x v="5"/>
    <n v="0"/>
    <n v="0"/>
    <n v="0"/>
    <n v="0"/>
  </r>
  <r>
    <x v="1"/>
    <x v="0"/>
    <s v="S12000014"/>
    <x v="6"/>
    <n v="0"/>
    <n v="0"/>
    <n v="0"/>
    <n v="0"/>
  </r>
  <r>
    <x v="1"/>
    <x v="0"/>
    <s v="S12000017"/>
    <x v="7"/>
    <n v="69"/>
    <n v="8"/>
    <n v="12"/>
    <n v="49"/>
  </r>
  <r>
    <x v="1"/>
    <x v="0"/>
    <s v="S12000018"/>
    <x v="8"/>
    <n v="0"/>
    <n v="0"/>
    <n v="0"/>
    <n v="0"/>
  </r>
  <r>
    <x v="1"/>
    <x v="0"/>
    <s v="S12000019"/>
    <x v="9"/>
    <n v="0"/>
    <n v="0"/>
    <n v="0"/>
    <n v="0"/>
  </r>
  <r>
    <x v="1"/>
    <x v="0"/>
    <s v="S12000020"/>
    <x v="10"/>
    <n v="25"/>
    <n v="1"/>
    <n v="2"/>
    <n v="22"/>
  </r>
  <r>
    <x v="1"/>
    <x v="0"/>
    <s v="S12000021"/>
    <x v="11"/>
    <n v="26"/>
    <n v="3"/>
    <n v="3"/>
    <n v="20"/>
  </r>
  <r>
    <x v="1"/>
    <x v="0"/>
    <s v="S12000023"/>
    <x v="12"/>
    <n v="1"/>
    <n v="0"/>
    <n v="1"/>
    <n v="0"/>
  </r>
  <r>
    <x v="1"/>
    <x v="0"/>
    <s v="S12000024"/>
    <x v="13"/>
    <n v="24"/>
    <n v="0"/>
    <n v="5"/>
    <n v="19"/>
  </r>
  <r>
    <x v="1"/>
    <x v="0"/>
    <s v="S12000026"/>
    <x v="14"/>
    <n v="0"/>
    <n v="0"/>
    <n v="0"/>
    <n v="0"/>
  </r>
  <r>
    <x v="1"/>
    <x v="0"/>
    <s v="S12000027"/>
    <x v="15"/>
    <n v="1"/>
    <n v="0"/>
    <n v="0"/>
    <n v="1"/>
  </r>
  <r>
    <x v="1"/>
    <x v="0"/>
    <s v="S12000028"/>
    <x v="16"/>
    <n v="0"/>
    <n v="0"/>
    <n v="0"/>
    <n v="0"/>
  </r>
  <r>
    <x v="1"/>
    <x v="0"/>
    <s v="S12000029"/>
    <x v="17"/>
    <n v="4"/>
    <n v="1"/>
    <m/>
    <n v="3"/>
  </r>
  <r>
    <x v="1"/>
    <x v="0"/>
    <s v="S12000030"/>
    <x v="18"/>
    <n v="0"/>
    <n v="0"/>
    <n v="0"/>
    <n v="0"/>
  </r>
  <r>
    <x v="1"/>
    <x v="0"/>
    <s v="S12000033"/>
    <x v="19"/>
    <n v="0"/>
    <n v="0"/>
    <n v="0"/>
    <n v="0"/>
  </r>
  <r>
    <x v="1"/>
    <x v="0"/>
    <s v="S12000034"/>
    <x v="20"/>
    <n v="0"/>
    <n v="0"/>
    <n v="0"/>
    <n v="0"/>
  </r>
  <r>
    <x v="1"/>
    <x v="0"/>
    <s v="S12000035"/>
    <x v="21"/>
    <n v="225"/>
    <n v="25"/>
    <n v="20"/>
    <n v="180"/>
  </r>
  <r>
    <x v="1"/>
    <x v="0"/>
    <s v="S12000036"/>
    <x v="22"/>
    <n v="0"/>
    <n v="0"/>
    <n v="0"/>
    <n v="0"/>
  </r>
  <r>
    <x v="1"/>
    <x v="0"/>
    <s v="S12000038"/>
    <x v="23"/>
    <n v="0"/>
    <n v="0"/>
    <n v="0"/>
    <n v="0"/>
  </r>
  <r>
    <x v="1"/>
    <x v="0"/>
    <s v="S12000039"/>
    <x v="24"/>
    <n v="0"/>
    <n v="0"/>
    <n v="0"/>
    <n v="0"/>
  </r>
  <r>
    <x v="1"/>
    <x v="0"/>
    <s v="S12000040"/>
    <x v="25"/>
    <n v="0"/>
    <n v="0"/>
    <n v="0"/>
    <n v="0"/>
  </r>
  <r>
    <x v="1"/>
    <x v="0"/>
    <s v="S12000041"/>
    <x v="26"/>
    <n v="0"/>
    <n v="0"/>
    <n v="0"/>
    <n v="0"/>
  </r>
  <r>
    <x v="1"/>
    <x v="0"/>
    <s v="S12000042"/>
    <x v="27"/>
    <n v="0"/>
    <n v="0"/>
    <n v="0"/>
    <n v="0"/>
  </r>
  <r>
    <x v="1"/>
    <x v="0"/>
    <s v="S12000044"/>
    <x v="28"/>
    <n v="0"/>
    <n v="0"/>
    <n v="0"/>
    <n v="0"/>
  </r>
  <r>
    <x v="1"/>
    <x v="0"/>
    <s v="S12000045"/>
    <x v="29"/>
    <n v="0"/>
    <n v="0"/>
    <n v="0"/>
    <n v="0"/>
  </r>
  <r>
    <x v="1"/>
    <x v="0"/>
    <s v="S12000046"/>
    <x v="30"/>
    <n v="0"/>
    <n v="0"/>
    <n v="0"/>
    <n v="0"/>
  </r>
  <r>
    <x v="1"/>
    <x v="0"/>
    <s v="S12000047"/>
    <x v="31"/>
    <n v="0"/>
    <n v="0"/>
    <n v="0"/>
    <n v="0"/>
  </r>
  <r>
    <x v="2"/>
    <x v="0"/>
    <s v="S12000005"/>
    <x v="0"/>
    <n v="0"/>
    <n v="0"/>
    <n v="0"/>
    <n v="0"/>
  </r>
  <r>
    <x v="2"/>
    <x v="0"/>
    <s v="S12000006"/>
    <x v="1"/>
    <n v="5"/>
    <n v="1"/>
    <n v="1"/>
    <n v="3"/>
  </r>
  <r>
    <x v="2"/>
    <x v="0"/>
    <s v="S12000008"/>
    <x v="2"/>
    <n v="0"/>
    <n v="0"/>
    <n v="0"/>
    <n v="0"/>
  </r>
  <r>
    <x v="2"/>
    <x v="0"/>
    <s v="S12000010"/>
    <x v="3"/>
    <n v="0"/>
    <n v="0"/>
    <n v="0"/>
    <n v="0"/>
  </r>
  <r>
    <x v="2"/>
    <x v="0"/>
    <s v="S12000011"/>
    <x v="4"/>
    <n v="0"/>
    <n v="0"/>
    <n v="0"/>
    <n v="0"/>
  </r>
  <r>
    <x v="2"/>
    <x v="0"/>
    <s v="S12000013"/>
    <x v="5"/>
    <n v="0"/>
    <n v="0"/>
    <n v="0"/>
    <n v="0"/>
  </r>
  <r>
    <x v="2"/>
    <x v="0"/>
    <s v="S12000014"/>
    <x v="6"/>
    <n v="0"/>
    <n v="0"/>
    <n v="0"/>
    <n v="0"/>
  </r>
  <r>
    <x v="2"/>
    <x v="0"/>
    <s v="S12000017"/>
    <x v="7"/>
    <n v="68"/>
    <n v="8"/>
    <n v="14"/>
    <n v="46"/>
  </r>
  <r>
    <x v="2"/>
    <x v="0"/>
    <s v="S12000018"/>
    <x v="8"/>
    <n v="0"/>
    <n v="0"/>
    <n v="0"/>
    <n v="0"/>
  </r>
  <r>
    <x v="2"/>
    <x v="0"/>
    <s v="S12000019"/>
    <x v="9"/>
    <n v="0"/>
    <n v="0"/>
    <n v="0"/>
    <n v="0"/>
  </r>
  <r>
    <x v="2"/>
    <x v="0"/>
    <s v="S12000020"/>
    <x v="10"/>
    <n v="20"/>
    <n v="2"/>
    <n v="1"/>
    <n v="17"/>
  </r>
  <r>
    <x v="2"/>
    <x v="0"/>
    <s v="S12000021"/>
    <x v="11"/>
    <n v="22"/>
    <n v="3"/>
    <n v="4"/>
    <n v="15"/>
  </r>
  <r>
    <x v="2"/>
    <x v="0"/>
    <s v="S12000023"/>
    <x v="12"/>
    <n v="0"/>
    <n v="0"/>
    <n v="0"/>
    <n v="0"/>
  </r>
  <r>
    <x v="2"/>
    <x v="0"/>
    <s v="S12000024"/>
    <x v="13"/>
    <n v="23"/>
    <n v="0"/>
    <n v="2"/>
    <n v="21"/>
  </r>
  <r>
    <x v="2"/>
    <x v="0"/>
    <s v="S12000026"/>
    <x v="14"/>
    <n v="0"/>
    <n v="0"/>
    <n v="0"/>
    <n v="0"/>
  </r>
  <r>
    <x v="2"/>
    <x v="0"/>
    <s v="S12000027"/>
    <x v="15"/>
    <n v="0"/>
    <n v="0"/>
    <n v="0"/>
    <n v="0"/>
  </r>
  <r>
    <x v="2"/>
    <x v="0"/>
    <s v="S12000028"/>
    <x v="16"/>
    <n v="0"/>
    <n v="0"/>
    <n v="0"/>
    <n v="0"/>
  </r>
  <r>
    <x v="2"/>
    <x v="0"/>
    <s v="S12000029"/>
    <x v="17"/>
    <n v="3"/>
    <n v="0"/>
    <n v="1"/>
    <n v="2"/>
  </r>
  <r>
    <x v="2"/>
    <x v="0"/>
    <s v="S12000030"/>
    <x v="18"/>
    <n v="0"/>
    <n v="0"/>
    <n v="0"/>
    <n v="0"/>
  </r>
  <r>
    <x v="2"/>
    <x v="0"/>
    <s v="S12000033"/>
    <x v="19"/>
    <n v="0"/>
    <n v="0"/>
    <n v="0"/>
    <n v="0"/>
  </r>
  <r>
    <x v="2"/>
    <x v="0"/>
    <s v="S12000034"/>
    <x v="20"/>
    <n v="0"/>
    <n v="0"/>
    <n v="0"/>
    <n v="0"/>
  </r>
  <r>
    <x v="2"/>
    <x v="0"/>
    <s v="S12000035"/>
    <x v="21"/>
    <n v="201"/>
    <n v="22"/>
    <n v="23"/>
    <n v="156"/>
  </r>
  <r>
    <x v="2"/>
    <x v="0"/>
    <s v="S12000036"/>
    <x v="22"/>
    <n v="0"/>
    <n v="0"/>
    <n v="0"/>
    <n v="0"/>
  </r>
  <r>
    <x v="2"/>
    <x v="0"/>
    <s v="S12000038"/>
    <x v="23"/>
    <n v="0"/>
    <n v="0"/>
    <n v="0"/>
    <n v="0"/>
  </r>
  <r>
    <x v="2"/>
    <x v="0"/>
    <s v="S12000039"/>
    <x v="24"/>
    <n v="0"/>
    <n v="0"/>
    <n v="0"/>
    <n v="0"/>
  </r>
  <r>
    <x v="2"/>
    <x v="0"/>
    <s v="S12000040"/>
    <x v="25"/>
    <n v="0"/>
    <n v="0"/>
    <n v="0"/>
    <n v="0"/>
  </r>
  <r>
    <x v="2"/>
    <x v="0"/>
    <s v="S12000041"/>
    <x v="26"/>
    <n v="0"/>
    <n v="0"/>
    <n v="0"/>
    <n v="0"/>
  </r>
  <r>
    <x v="2"/>
    <x v="0"/>
    <s v="S12000042"/>
    <x v="27"/>
    <n v="0"/>
    <n v="0"/>
    <n v="0"/>
    <n v="0"/>
  </r>
  <r>
    <x v="2"/>
    <x v="0"/>
    <s v="S12000044"/>
    <x v="28"/>
    <n v="0"/>
    <n v="0"/>
    <n v="0"/>
    <n v="0"/>
  </r>
  <r>
    <x v="2"/>
    <x v="0"/>
    <s v="S12000045"/>
    <x v="29"/>
    <n v="0"/>
    <n v="0"/>
    <n v="0"/>
    <n v="0"/>
  </r>
  <r>
    <x v="2"/>
    <x v="0"/>
    <s v="S12000046"/>
    <x v="30"/>
    <n v="0"/>
    <n v="0"/>
    <n v="0"/>
    <n v="0"/>
  </r>
  <r>
    <x v="2"/>
    <x v="0"/>
    <s v="S12000047"/>
    <x v="31"/>
    <n v="0"/>
    <n v="0"/>
    <n v="0"/>
    <n v="0"/>
  </r>
  <r>
    <x v="3"/>
    <x v="0"/>
    <s v="S12000005"/>
    <x v="0"/>
    <n v="0"/>
    <n v="0"/>
    <n v="0"/>
    <n v="0"/>
  </r>
  <r>
    <x v="3"/>
    <x v="0"/>
    <s v="S12000006"/>
    <x v="1"/>
    <n v="5"/>
    <n v="1"/>
    <n v="1"/>
    <n v="3"/>
  </r>
  <r>
    <x v="3"/>
    <x v="0"/>
    <s v="S12000008"/>
    <x v="2"/>
    <n v="0"/>
    <n v="0"/>
    <n v="0"/>
    <n v="0"/>
  </r>
  <r>
    <x v="3"/>
    <x v="0"/>
    <s v="S12000010"/>
    <x v="3"/>
    <n v="0"/>
    <n v="0"/>
    <n v="0"/>
    <n v="0"/>
  </r>
  <r>
    <x v="3"/>
    <x v="0"/>
    <s v="S12000011"/>
    <x v="4"/>
    <n v="0"/>
    <n v="0"/>
    <n v="0"/>
    <n v="0"/>
  </r>
  <r>
    <x v="3"/>
    <x v="0"/>
    <s v="S12000013"/>
    <x v="5"/>
    <n v="0"/>
    <n v="0"/>
    <n v="0"/>
    <n v="0"/>
  </r>
  <r>
    <x v="3"/>
    <x v="0"/>
    <s v="S12000014"/>
    <x v="6"/>
    <n v="0"/>
    <n v="0"/>
    <n v="0"/>
    <n v="0"/>
  </r>
  <r>
    <x v="3"/>
    <x v="0"/>
    <s v="S12000017"/>
    <x v="7"/>
    <n v="67"/>
    <n v="7"/>
    <n v="13"/>
    <n v="47"/>
  </r>
  <r>
    <x v="3"/>
    <x v="0"/>
    <s v="S12000018"/>
    <x v="8"/>
    <n v="0"/>
    <n v="0"/>
    <n v="0"/>
    <n v="0"/>
  </r>
  <r>
    <x v="3"/>
    <x v="0"/>
    <s v="S12000019"/>
    <x v="9"/>
    <n v="0"/>
    <n v="0"/>
    <n v="0"/>
    <n v="0"/>
  </r>
  <r>
    <x v="3"/>
    <x v="0"/>
    <s v="S12000020"/>
    <x v="10"/>
    <n v="4"/>
    <n v="1"/>
    <n v="2"/>
    <n v="1"/>
  </r>
  <r>
    <x v="3"/>
    <x v="0"/>
    <s v="S12000021"/>
    <x v="11"/>
    <n v="18"/>
    <n v="3"/>
    <n v="4"/>
    <n v="11"/>
  </r>
  <r>
    <x v="3"/>
    <x v="0"/>
    <s v="S12000023"/>
    <x v="12"/>
    <n v="0"/>
    <n v="0"/>
    <n v="0"/>
    <n v="0"/>
  </r>
  <r>
    <x v="3"/>
    <x v="0"/>
    <s v="S12000024"/>
    <x v="13"/>
    <n v="23"/>
    <n v="0"/>
    <n v="3"/>
    <n v="20"/>
  </r>
  <r>
    <x v="3"/>
    <x v="0"/>
    <s v="S12000026"/>
    <x v="14"/>
    <n v="0"/>
    <n v="0"/>
    <n v="0"/>
    <n v="0"/>
  </r>
  <r>
    <x v="3"/>
    <x v="0"/>
    <s v="S12000027"/>
    <x v="15"/>
    <n v="0"/>
    <n v="0"/>
    <n v="0"/>
    <n v="0"/>
  </r>
  <r>
    <x v="3"/>
    <x v="0"/>
    <s v="S12000028"/>
    <x v="16"/>
    <n v="0"/>
    <n v="0"/>
    <n v="0"/>
    <n v="0"/>
  </r>
  <r>
    <x v="3"/>
    <x v="0"/>
    <s v="S12000029"/>
    <x v="17"/>
    <n v="3"/>
    <n v="1"/>
    <n v="0"/>
    <n v="2"/>
  </r>
  <r>
    <x v="3"/>
    <x v="0"/>
    <s v="S12000030"/>
    <x v="18"/>
    <n v="0"/>
    <n v="0"/>
    <n v="0"/>
    <n v="0"/>
  </r>
  <r>
    <x v="3"/>
    <x v="0"/>
    <s v="S12000033"/>
    <x v="19"/>
    <n v="0"/>
    <n v="0"/>
    <n v="0"/>
    <n v="0"/>
  </r>
  <r>
    <x v="3"/>
    <x v="0"/>
    <s v="S12000034"/>
    <x v="20"/>
    <n v="0"/>
    <n v="0"/>
    <n v="0"/>
    <n v="0"/>
  </r>
  <r>
    <x v="3"/>
    <x v="0"/>
    <s v="S12000035"/>
    <x v="21"/>
    <n v="200"/>
    <n v="24"/>
    <n v="21"/>
    <n v="155"/>
  </r>
  <r>
    <x v="3"/>
    <x v="0"/>
    <s v="S12000036"/>
    <x v="22"/>
    <n v="0"/>
    <n v="0"/>
    <n v="0"/>
    <n v="0"/>
  </r>
  <r>
    <x v="3"/>
    <x v="0"/>
    <s v="S12000038"/>
    <x v="23"/>
    <n v="0"/>
    <n v="0"/>
    <n v="0"/>
    <n v="0"/>
  </r>
  <r>
    <x v="3"/>
    <x v="0"/>
    <s v="S12000039"/>
    <x v="24"/>
    <n v="0"/>
    <n v="0"/>
    <n v="0"/>
    <n v="0"/>
  </r>
  <r>
    <x v="3"/>
    <x v="0"/>
    <s v="S12000040"/>
    <x v="25"/>
    <n v="0"/>
    <n v="0"/>
    <n v="0"/>
    <n v="0"/>
  </r>
  <r>
    <x v="3"/>
    <x v="0"/>
    <s v="S12000041"/>
    <x v="26"/>
    <n v="0"/>
    <n v="0"/>
    <n v="0"/>
    <n v="0"/>
  </r>
  <r>
    <x v="3"/>
    <x v="0"/>
    <s v="S12000042"/>
    <x v="27"/>
    <n v="0"/>
    <n v="0"/>
    <n v="0"/>
    <n v="0"/>
  </r>
  <r>
    <x v="3"/>
    <x v="0"/>
    <s v="S12000044"/>
    <x v="28"/>
    <n v="0"/>
    <n v="0"/>
    <n v="0"/>
    <n v="0"/>
  </r>
  <r>
    <x v="3"/>
    <x v="0"/>
    <s v="S12000045"/>
    <x v="29"/>
    <n v="0"/>
    <n v="0"/>
    <n v="0"/>
    <n v="0"/>
  </r>
  <r>
    <x v="3"/>
    <x v="0"/>
    <s v="S12000046"/>
    <x v="30"/>
    <n v="0"/>
    <n v="0"/>
    <n v="0"/>
    <n v="0"/>
  </r>
  <r>
    <x v="3"/>
    <x v="0"/>
    <s v="S12000047"/>
    <x v="31"/>
    <n v="0"/>
    <n v="0"/>
    <n v="0"/>
    <n v="0"/>
  </r>
  <r>
    <x v="4"/>
    <x v="0"/>
    <s v="S12000006"/>
    <x v="1"/>
    <n v="4"/>
    <n v="1"/>
    <m/>
    <n v="3"/>
  </r>
  <r>
    <x v="4"/>
    <x v="0"/>
    <s v="S12000017"/>
    <x v="7"/>
    <n v="64"/>
    <n v="7"/>
    <n v="11"/>
    <n v="46"/>
  </r>
  <r>
    <x v="4"/>
    <x v="0"/>
    <s v="S12000020"/>
    <x v="10"/>
    <n v="4"/>
    <n v="2"/>
    <n v="1"/>
    <n v="1"/>
  </r>
  <r>
    <x v="4"/>
    <x v="0"/>
    <s v="S12000021"/>
    <x v="11"/>
    <n v="23"/>
    <n v="3"/>
    <n v="3"/>
    <n v="17"/>
  </r>
  <r>
    <x v="4"/>
    <x v="0"/>
    <s v="S12000024"/>
    <x v="13"/>
    <n v="28"/>
    <m/>
    <n v="3"/>
    <n v="25"/>
  </r>
  <r>
    <x v="4"/>
    <x v="0"/>
    <s v="S12000029"/>
    <x v="17"/>
    <n v="2"/>
    <n v="1"/>
    <m/>
    <n v="1"/>
  </r>
  <r>
    <x v="4"/>
    <x v="0"/>
    <s v="S12000035"/>
    <x v="21"/>
    <n v="211"/>
    <n v="25"/>
    <n v="22"/>
    <n v="164"/>
  </r>
  <r>
    <x v="5"/>
    <x v="0"/>
    <s v="S12000006"/>
    <x v="1"/>
    <n v="6"/>
    <n v="1"/>
    <n v="0"/>
    <n v="5"/>
  </r>
  <r>
    <x v="5"/>
    <x v="0"/>
    <s v="S12000017"/>
    <x v="7"/>
    <n v="62"/>
    <n v="7"/>
    <n v="12"/>
    <n v="43"/>
  </r>
  <r>
    <x v="5"/>
    <x v="0"/>
    <s v="S12000020"/>
    <x v="10"/>
    <n v="4"/>
    <n v="1"/>
    <n v="2"/>
    <n v="1"/>
  </r>
  <r>
    <x v="5"/>
    <x v="0"/>
    <s v="S12000021"/>
    <x v="11"/>
    <n v="22"/>
    <n v="3"/>
    <n v="3"/>
    <n v="16"/>
  </r>
  <r>
    <x v="5"/>
    <x v="0"/>
    <s v="S12000029"/>
    <x v="17"/>
    <n v="2"/>
    <n v="1"/>
    <n v="0"/>
    <n v="1"/>
  </r>
  <r>
    <x v="5"/>
    <x v="0"/>
    <s v="S12000035"/>
    <x v="21"/>
    <n v="203"/>
    <n v="25"/>
    <n v="22"/>
    <n v="156"/>
  </r>
  <r>
    <x v="5"/>
    <x v="0"/>
    <s v="S12000048"/>
    <x v="13"/>
    <n v="22"/>
    <n v="0"/>
    <n v="3"/>
    <n v="19"/>
  </r>
  <r>
    <x v="6"/>
    <x v="0"/>
    <s v="S40000003"/>
    <x v="21"/>
    <n v="212"/>
    <n v="25"/>
    <n v="22"/>
    <n v="165"/>
  </r>
  <r>
    <x v="6"/>
    <x v="0"/>
    <s v="S40000003"/>
    <x v="1"/>
    <n v="5"/>
    <n v="1"/>
    <n v="1"/>
    <n v="3"/>
  </r>
  <r>
    <x v="6"/>
    <x v="0"/>
    <s v="S40000003"/>
    <x v="11"/>
    <n v="22"/>
    <n v="3"/>
    <n v="3"/>
    <n v="16"/>
  </r>
  <r>
    <x v="6"/>
    <x v="0"/>
    <s v="S40000003"/>
    <x v="17"/>
    <n v="2"/>
    <n v="1"/>
    <n v="0"/>
    <n v="1"/>
  </r>
  <r>
    <x v="6"/>
    <x v="0"/>
    <s v="S40000005"/>
    <x v="7"/>
    <n v="49"/>
    <n v="6"/>
    <n v="10"/>
    <n v="33"/>
  </r>
  <r>
    <x v="6"/>
    <x v="0"/>
    <s v="S40000005"/>
    <x v="10"/>
    <n v="4"/>
    <n v="1"/>
    <n v="2"/>
    <n v="1"/>
  </r>
  <r>
    <x v="6"/>
    <x v="0"/>
    <s v="S40000005"/>
    <x v="13"/>
    <n v="21"/>
    <n v="0"/>
    <n v="3"/>
    <n v="18"/>
  </r>
  <r>
    <x v="7"/>
    <x v="0"/>
    <s v="S40000003"/>
    <x v="21"/>
    <n v="201"/>
    <n v="25"/>
    <n v="22"/>
    <n v="154"/>
  </r>
  <r>
    <x v="7"/>
    <x v="0"/>
    <s v="S40000003"/>
    <x v="1"/>
    <n v="6"/>
    <n v="1"/>
    <n v="1"/>
    <n v="4"/>
  </r>
  <r>
    <x v="7"/>
    <x v="0"/>
    <s v="S40000003"/>
    <x v="11"/>
    <n v="22"/>
    <n v="3"/>
    <n v="3"/>
    <n v="16"/>
  </r>
  <r>
    <x v="7"/>
    <x v="0"/>
    <s v="S40000003"/>
    <x v="17"/>
    <n v="2"/>
    <n v="1"/>
    <n v="0"/>
    <n v="1"/>
  </r>
  <r>
    <x v="7"/>
    <x v="0"/>
    <s v="S40000005"/>
    <x v="7"/>
    <n v="48"/>
    <n v="6"/>
    <n v="12"/>
    <n v="30"/>
  </r>
  <r>
    <x v="7"/>
    <x v="0"/>
    <s v="S40000005"/>
    <x v="10"/>
    <n v="3"/>
    <n v="1"/>
    <n v="2"/>
    <n v="0"/>
  </r>
  <r>
    <x v="7"/>
    <x v="0"/>
    <s v="S40000005"/>
    <x v="13"/>
    <n v="21"/>
    <n v="0"/>
    <n v="3"/>
    <n v="18"/>
  </r>
  <r>
    <x v="8"/>
    <x v="0"/>
    <m/>
    <x v="21"/>
    <n v="183"/>
    <n v="24"/>
    <n v="21"/>
    <n v="138"/>
  </r>
  <r>
    <x v="8"/>
    <x v="0"/>
    <m/>
    <x v="1"/>
    <n v="6"/>
    <n v="1"/>
    <n v="1"/>
    <n v="4"/>
  </r>
  <r>
    <x v="8"/>
    <x v="0"/>
    <m/>
    <x v="7"/>
    <n v="45"/>
    <n v="7"/>
    <n v="12"/>
    <n v="26"/>
  </r>
  <r>
    <x v="8"/>
    <x v="0"/>
    <m/>
    <x v="11"/>
    <n v="19"/>
    <n v="3"/>
    <n v="3"/>
    <n v="13"/>
  </r>
  <r>
    <x v="8"/>
    <x v="0"/>
    <m/>
    <x v="13"/>
    <n v="22"/>
    <n v="0"/>
    <n v="3"/>
    <n v="19"/>
  </r>
  <r>
    <x v="8"/>
    <x v="0"/>
    <m/>
    <x v="17"/>
    <n v="2"/>
    <n v="1"/>
    <n v="0"/>
    <n v="1"/>
  </r>
  <r>
    <x v="9"/>
    <x v="0"/>
    <m/>
    <x v="21"/>
    <n v="172"/>
    <n v="25"/>
    <n v="21"/>
    <n v="126"/>
  </r>
  <r>
    <x v="9"/>
    <x v="0"/>
    <m/>
    <x v="1"/>
    <n v="6"/>
    <n v="1"/>
    <n v="1"/>
    <n v="4"/>
  </r>
  <r>
    <x v="9"/>
    <x v="0"/>
    <m/>
    <x v="7"/>
    <n v="42"/>
    <n v="6"/>
    <n v="11"/>
    <n v="25"/>
  </r>
  <r>
    <x v="9"/>
    <x v="0"/>
    <m/>
    <x v="10"/>
    <n v="3"/>
    <n v="1"/>
    <n v="2"/>
    <n v="0"/>
  </r>
  <r>
    <x v="9"/>
    <x v="0"/>
    <m/>
    <x v="11"/>
    <n v="20"/>
    <n v="3"/>
    <n v="2"/>
    <n v="15"/>
  </r>
  <r>
    <x v="9"/>
    <x v="0"/>
    <m/>
    <x v="13"/>
    <n v="21"/>
    <n v="0"/>
    <n v="3"/>
    <n v="18"/>
  </r>
  <r>
    <x v="9"/>
    <x v="0"/>
    <m/>
    <x v="17"/>
    <n v="2"/>
    <n v="1"/>
    <n v="0"/>
    <n v="1"/>
  </r>
  <r>
    <x v="10"/>
    <x v="0"/>
    <m/>
    <x v="21"/>
    <n v="172"/>
    <n v="25"/>
    <n v="21"/>
    <n v="126"/>
  </r>
  <r>
    <x v="10"/>
    <x v="0"/>
    <m/>
    <x v="1"/>
    <n v="7"/>
    <n v="1"/>
    <n v="2"/>
    <n v="4"/>
  </r>
  <r>
    <x v="10"/>
    <x v="0"/>
    <m/>
    <x v="7"/>
    <n v="47"/>
    <n v="6"/>
    <n v="11"/>
    <n v="30"/>
  </r>
  <r>
    <x v="10"/>
    <x v="0"/>
    <m/>
    <x v="10"/>
    <n v="3"/>
    <n v="1"/>
    <n v="2"/>
    <n v="0"/>
  </r>
  <r>
    <x v="10"/>
    <x v="0"/>
    <m/>
    <x v="11"/>
    <n v="19"/>
    <n v="2"/>
    <n v="2"/>
    <n v="15"/>
  </r>
  <r>
    <x v="10"/>
    <x v="0"/>
    <m/>
    <x v="13"/>
    <n v="21"/>
    <n v="0"/>
    <n v="3"/>
    <n v="18"/>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x v="0"/>
    <n v="146"/>
    <n v="4055"/>
    <n v="160"/>
    <n v="2879"/>
    <m/>
    <m/>
    <n v="199"/>
    <n v="34"/>
    <n v="650"/>
    <n v="464"/>
    <n v="63"/>
    <n v="374"/>
  </r>
  <r>
    <x v="1"/>
    <n v="175"/>
    <n v="3371"/>
    <n v="171"/>
    <n v="2692"/>
    <m/>
    <m/>
    <n v="158"/>
    <n v="31"/>
    <n v="476"/>
    <n v="370"/>
    <n v="55"/>
    <n v="277"/>
  </r>
  <r>
    <x v="2"/>
    <n v="148"/>
    <n v="4011"/>
    <n v="182"/>
    <n v="2870"/>
    <m/>
    <m/>
    <n v="202"/>
    <n v="32"/>
    <n v="649"/>
    <n v="487"/>
    <n v="59"/>
    <n v="400"/>
  </r>
  <r>
    <x v="3"/>
    <n v="219"/>
    <n v="3362"/>
    <n v="197"/>
    <n v="2675"/>
    <n v="11"/>
    <n v="43"/>
    <n v="151"/>
    <n v="31"/>
    <n v="461"/>
    <n v="374"/>
    <n v="52"/>
    <n v="251"/>
  </r>
  <r>
    <x v="4"/>
    <n v="158"/>
    <n v="3993"/>
    <n v="173"/>
    <n v="2903"/>
    <m/>
    <m/>
    <n v="203"/>
    <n v="31"/>
    <n v="604"/>
    <n v="482"/>
    <n v="52"/>
    <n v="365"/>
  </r>
  <r>
    <x v="5"/>
    <n v="225"/>
    <n v="3305"/>
    <n v="191"/>
    <n v="2567"/>
    <n v="10"/>
    <n v="43"/>
    <n v="146"/>
    <n v="28"/>
    <n v="501"/>
    <n v="419"/>
    <n v="46"/>
    <n v="231"/>
  </r>
  <r>
    <x v="6"/>
    <n v="227"/>
    <n v="3263"/>
    <n v="185"/>
    <n v="2550"/>
    <n v="9"/>
    <n v="46"/>
    <n v="144"/>
    <n v="28"/>
    <n v="484"/>
    <n v="417"/>
    <n v="40"/>
    <n v="226"/>
  </r>
  <r>
    <x v="7"/>
    <n v="159"/>
    <n v="3842"/>
    <n v="178"/>
    <n v="2762"/>
    <m/>
    <m/>
    <n v="199"/>
    <n v="24"/>
    <n v="545"/>
    <n v="416"/>
    <n v="52"/>
    <n v="307"/>
  </r>
  <r>
    <x v="8"/>
    <n v="164"/>
    <n v="3692"/>
    <n v="172"/>
    <n v="2778"/>
    <m/>
    <m/>
    <n v="192"/>
    <n v="38"/>
    <n v="480"/>
    <n v="387"/>
    <n v="56"/>
    <n v="322"/>
  </r>
  <r>
    <x v="9"/>
    <n v="167"/>
    <n v="3523"/>
    <n v="163"/>
    <n v="2707"/>
    <m/>
    <m/>
    <n v="171"/>
    <n v="32"/>
    <n v="463"/>
    <n v="365"/>
    <n v="56"/>
    <n v="286"/>
  </r>
  <r>
    <x v="10"/>
    <n v="178"/>
    <n v="3467"/>
    <n v="158"/>
    <n v="2712"/>
    <m/>
    <m/>
    <n v="139"/>
    <n v="26"/>
    <n v="466"/>
    <n v="372"/>
    <n v="48"/>
    <n v="268"/>
  </r>
  <r>
    <x v="11"/>
    <n v="220"/>
    <n v="3202"/>
    <n v="191"/>
    <n v="2517"/>
    <n v="8"/>
    <n v="47"/>
    <n v="142"/>
    <n v="29"/>
    <n v="482"/>
    <n v="405"/>
    <n v="42"/>
    <n v="227"/>
  </r>
  <r>
    <x v="12"/>
    <n v="196"/>
    <n v="3441"/>
    <n v="201"/>
    <n v="2734"/>
    <n v="1"/>
    <n v="17"/>
    <n v="172"/>
    <n v="35"/>
    <n v="427"/>
    <n v="365"/>
    <n v="54"/>
    <n v="263"/>
  </r>
  <r>
    <x v="13"/>
    <n v="222"/>
    <n v="3414"/>
    <n v="208"/>
    <n v="2729"/>
    <n v="7"/>
    <n v="29"/>
    <n v="156"/>
    <n v="32"/>
    <n v="447"/>
    <n v="370"/>
    <n v="54"/>
    <n v="2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512AC19-6028-4067-AF35-499DF93CC07C}" name="PivotTable2" cacheId="5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36" firstHeaderRow="0" firstDataRow="1" firstDataCol="1" rowPageCount="1" colPageCount="1"/>
  <pivotFields count="8">
    <pivotField axis="axisPage" subtotalTop="0" showAll="0">
      <items count="7">
        <item x="0"/>
        <item x="1"/>
        <item x="2"/>
        <item x="3"/>
        <item x="4"/>
        <item x="5"/>
        <item t="default"/>
      </items>
    </pivotField>
    <pivotField axis="axisRow" subtotalTop="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6">
    <i>
      <x/>
    </i>
    <i i="1">
      <x v="1"/>
    </i>
    <i i="2">
      <x v="2"/>
    </i>
    <i i="3">
      <x v="3"/>
    </i>
    <i i="4">
      <x v="4"/>
    </i>
    <i i="5">
      <x v="5"/>
    </i>
  </colItems>
  <pageFields count="1">
    <pageField fld="0" item="5" hier="-1"/>
  </pageFields>
  <dataFields count="6">
    <dataField name="Sum of Wholetime" fld="2" baseField="1" baseItem="0"/>
    <dataField name="Sum of Wholetime and Retained" fld="3" baseField="1" baseItem="0"/>
    <dataField name="Sum of Wholetime and Day" fld="4" baseField="1" baseItem="0"/>
    <dataField name="Sum of Retained" fld="6" baseField="1" baseItem="0"/>
    <dataField name="Sum of Volunteer" fld="5" baseField="1" baseItem="0"/>
    <dataField name="Sum of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PivotTable1" cacheId="1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E61" firstHeaderRow="0" firstDataRow="1" firstDataCol="1" rowPageCount="1" colPageCount="1"/>
  <pivotFields count="8">
    <pivotField axis="axisPage" subtotalTop="0" showAll="0">
      <items count="8">
        <item x="0"/>
        <item x="1"/>
        <item x="2"/>
        <item m="1" x="6"/>
        <item x="3"/>
        <item x="4"/>
        <item x="5"/>
        <item t="default"/>
      </items>
    </pivotField>
    <pivotField axis="axisRow" subtotalTop="0" showAll="0">
      <items count="7">
        <item x="0"/>
        <item x="1"/>
        <item x="2"/>
        <item x="3"/>
        <item m="1" x="4"/>
        <item m="1" x="5"/>
        <item t="default"/>
      </items>
    </pivotField>
    <pivotField axis="axisRow" subtotalTop="0" showAll="0" sortType="ascending">
      <items count="61">
        <item x="6"/>
        <item x="29"/>
        <item x="17"/>
        <item x="45"/>
        <item x="9"/>
        <item m="1" x="53"/>
        <item x="10"/>
        <item x="4"/>
        <item m="1" x="50"/>
        <item m="1" x="58"/>
        <item x="28"/>
        <item m="1" x="51"/>
        <item x="11"/>
        <item x="41"/>
        <item x="24"/>
        <item x="30"/>
        <item x="21"/>
        <item x="18"/>
        <item x="8"/>
        <item x="12"/>
        <item x="13"/>
        <item x="36"/>
        <item x="35"/>
        <item x="40"/>
        <item m="1" x="55"/>
        <item x="23"/>
        <item x="42"/>
        <item x="5"/>
        <item x="3"/>
        <item x="14"/>
        <item m="1" x="54"/>
        <item x="25"/>
        <item x="0"/>
        <item x="39"/>
        <item x="31"/>
        <item m="1" x="56"/>
        <item x="7"/>
        <item x="46"/>
        <item x="16"/>
        <item x="15"/>
        <item x="1"/>
        <item m="1" x="59"/>
        <item x="47"/>
        <item m="1" x="57"/>
        <item x="2"/>
        <item m="1" x="52"/>
        <item x="19"/>
        <item x="27"/>
        <item x="43"/>
        <item x="44"/>
        <item x="37"/>
        <item x="33"/>
        <item x="38"/>
        <item x="48"/>
        <item x="26"/>
        <item x="34"/>
        <item x="20"/>
        <item x="22"/>
        <item x="32"/>
        <item m="1" x="49"/>
        <item t="default"/>
      </items>
    </pivotField>
    <pivotField showAll="0"/>
    <pivotField dataField="1" subtotalTop="0" showAll="0"/>
    <pivotField dataField="1" subtotalTop="0" showAll="0"/>
    <pivotField dataField="1" subtotalTop="0" showAll="0"/>
    <pivotField dataField="1" subtotalTop="0" showAll="0"/>
  </pivotFields>
  <rowFields count="2">
    <field x="1"/>
    <field x="2"/>
  </rowFields>
  <rowItems count="58">
    <i>
      <x/>
    </i>
    <i r="1">
      <x/>
    </i>
    <i r="1">
      <x v="2"/>
    </i>
    <i r="1">
      <x v="4"/>
    </i>
    <i r="1">
      <x v="6"/>
    </i>
    <i r="1">
      <x v="10"/>
    </i>
    <i r="1">
      <x v="12"/>
    </i>
    <i r="1">
      <x v="14"/>
    </i>
    <i r="1">
      <x v="17"/>
    </i>
    <i r="1">
      <x v="19"/>
    </i>
    <i r="1">
      <x v="20"/>
    </i>
    <i r="1">
      <x v="22"/>
    </i>
    <i r="1">
      <x v="25"/>
    </i>
    <i r="1">
      <x v="26"/>
    </i>
    <i r="1">
      <x v="28"/>
    </i>
    <i r="1">
      <x v="29"/>
    </i>
    <i r="1">
      <x v="31"/>
    </i>
    <i r="1">
      <x v="32"/>
    </i>
    <i r="1">
      <x v="34"/>
    </i>
    <i r="1">
      <x v="36"/>
    </i>
    <i r="1">
      <x v="37"/>
    </i>
    <i r="1">
      <x v="39"/>
    </i>
    <i r="1">
      <x v="40"/>
    </i>
    <i r="1">
      <x v="44"/>
    </i>
    <i r="1">
      <x v="46"/>
    </i>
    <i r="1">
      <x v="48"/>
    </i>
    <i r="1">
      <x v="49"/>
    </i>
    <i r="1">
      <x v="50"/>
    </i>
    <i r="1">
      <x v="51"/>
    </i>
    <i r="1">
      <x v="52"/>
    </i>
    <i r="1">
      <x v="56"/>
    </i>
    <i r="1">
      <x v="57"/>
    </i>
    <i t="default">
      <x/>
    </i>
    <i>
      <x v="1"/>
    </i>
    <i r="1">
      <x v="1"/>
    </i>
    <i r="1">
      <x v="7"/>
    </i>
    <i r="1">
      <x v="13"/>
    </i>
    <i r="1">
      <x v="15"/>
    </i>
    <i r="1">
      <x v="18"/>
    </i>
    <i r="1">
      <x v="21"/>
    </i>
    <i r="1">
      <x v="23"/>
    </i>
    <i r="1">
      <x v="25"/>
    </i>
    <i r="1">
      <x v="27"/>
    </i>
    <i r="1">
      <x v="29"/>
    </i>
    <i r="1">
      <x v="31"/>
    </i>
    <i r="1">
      <x v="33"/>
    </i>
    <i r="1">
      <x v="54"/>
    </i>
    <i r="1">
      <x v="58"/>
    </i>
    <i t="default">
      <x v="1"/>
    </i>
    <i>
      <x v="2"/>
    </i>
    <i r="1">
      <x v="16"/>
    </i>
    <i r="1">
      <x v="38"/>
    </i>
    <i r="1">
      <x v="55"/>
    </i>
    <i t="default">
      <x v="2"/>
    </i>
    <i>
      <x v="3"/>
    </i>
    <i r="1">
      <x v="47"/>
    </i>
    <i t="default">
      <x v="3"/>
    </i>
    <i t="grand">
      <x/>
    </i>
  </rowItems>
  <colFields count="1">
    <field x="-2"/>
  </colFields>
  <colItems count="4">
    <i>
      <x/>
    </i>
    <i i="1">
      <x v="1"/>
    </i>
    <i i="2">
      <x v="2"/>
    </i>
    <i i="3">
      <x v="3"/>
    </i>
  </colItems>
  <pageFields count="1">
    <pageField fld="0" item="6" hier="-1"/>
  </pageFields>
  <dataFields count="4">
    <dataField name="Sum of Operational Crewing" fld="4" baseField="0" baseItem="0"/>
    <dataField name="Sum of Incident Command Officers" fld="5" baseField="0" baseItem="0"/>
    <dataField name="Sum of Office Duties" fld="6" baseField="0" baseItem="0"/>
    <dataField name="Sum of Trainees"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2100-000000000000}" name="PivotTable4" cacheId="6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8" firstHeaderRow="0" firstDataRow="1" firstDataCol="1" rowPageCount="1" colPageCount="1"/>
  <pivotFields count="8">
    <pivotField axis="axisPage" subtotalTop="0" showAll="0">
      <items count="12">
        <item x="0"/>
        <item x="3"/>
        <item x="10"/>
        <item x="4"/>
        <item x="5"/>
        <item x="1"/>
        <item x="7"/>
        <item x="9"/>
        <item x="2"/>
        <item x="8"/>
        <item x="6"/>
        <item t="default"/>
      </items>
    </pivotField>
    <pivotField axis="axisRow" subtotalTop="0" showAll="0">
      <items count="8">
        <item m="1" x="5"/>
        <item x="3"/>
        <item x="1"/>
        <item x="2"/>
        <item x="0"/>
        <item m="1" x="6"/>
        <item m="1" x="4"/>
        <item t="default"/>
      </items>
    </pivotField>
    <pivotField dataField="1" subtotalTop="0" showAll="0"/>
    <pivotField dataField="1" subtotalTop="0" showAll="0"/>
    <pivotField dataField="1" showAll="0"/>
    <pivotField dataField="1" subtotalTop="0" showAll="0"/>
    <pivotField dataField="1" subtotalTop="0" showAll="0"/>
    <pivotField dataField="1" subtotalTop="0" showAll="0"/>
  </pivotFields>
  <rowFields count="1">
    <field x="1"/>
  </rowFields>
  <rowItems count="5">
    <i>
      <x v="1"/>
    </i>
    <i>
      <x v="2"/>
    </i>
    <i>
      <x v="3"/>
    </i>
    <i>
      <x v="4"/>
    </i>
    <i t="grand">
      <x/>
    </i>
  </rowItems>
  <colFields count="1">
    <field x="-2"/>
  </colFields>
  <colItems count="6">
    <i>
      <x/>
    </i>
    <i i="1">
      <x v="1"/>
    </i>
    <i i="2">
      <x v="2"/>
    </i>
    <i i="3">
      <x v="3"/>
    </i>
    <i i="4">
      <x v="4"/>
    </i>
    <i i="5">
      <x v="5"/>
    </i>
  </colItems>
  <pageFields count="1">
    <pageField fld="0" item="10" hier="-1"/>
  </pageFields>
  <dataFields count="6">
    <dataField name="Sum of Wholetime Operational" fld="2" baseField="1" baseItem="0"/>
    <dataField name="Sum of RDS" fld="3" baseField="1" baseItem="0"/>
    <dataField name="Sum of Control" fld="5" baseField="1" baseItem="0"/>
    <dataField name="Sum of Support" fld="6" baseField="1" baseItem="0"/>
    <dataField name="Sum of Volunteer" fld="7" baseField="1" baseItem="0"/>
    <dataField name="Sum of RDS Fulltim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PivotTable5" cacheId="1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62" firstHeaderRow="0" firstDataRow="1" firstDataCol="1" rowPageCount="1" colPageCount="1"/>
  <pivotFields count="11">
    <pivotField axis="axisPage" subtotalTop="0" showAll="0">
      <items count="13">
        <item x="7"/>
        <item x="6"/>
        <item x="8"/>
        <item x="10"/>
        <item x="9"/>
        <item x="5"/>
        <item x="2"/>
        <item x="0"/>
        <item x="11"/>
        <item x="3"/>
        <item x="4"/>
        <item x="1"/>
        <item t="default"/>
      </items>
    </pivotField>
    <pivotField axis="axisRow" subtotalTop="0" showAll="0">
      <items count="7">
        <item m="1" x="5"/>
        <item x="0"/>
        <item x="1"/>
        <item x="2"/>
        <item x="3"/>
        <item x="4"/>
        <item t="default"/>
      </items>
    </pivotField>
    <pivotField axis="axisRow" subtotalTop="0" showAll="0">
      <items count="66">
        <item x="11"/>
        <item x="16"/>
        <item x="34"/>
        <item x="33"/>
        <item m="1" x="61"/>
        <item x="18"/>
        <item x="35"/>
        <item x="43"/>
        <item x="39"/>
        <item m="1" x="56"/>
        <item x="6"/>
        <item x="25"/>
        <item x="36"/>
        <item x="15"/>
        <item x="1"/>
        <item x="40"/>
        <item x="46"/>
        <item x="13"/>
        <item x="47"/>
        <item x="24"/>
        <item x="3"/>
        <item x="17"/>
        <item x="32"/>
        <item x="29"/>
        <item x="41"/>
        <item x="12"/>
        <item x="49"/>
        <item x="10"/>
        <item x="2"/>
        <item x="0"/>
        <item x="42"/>
        <item x="20"/>
        <item x="21"/>
        <item x="8"/>
        <item x="27"/>
        <item x="30"/>
        <item m="1" x="53"/>
        <item x="14"/>
        <item x="48"/>
        <item x="44"/>
        <item x="37"/>
        <item x="4"/>
        <item x="7"/>
        <item x="28"/>
        <item x="22"/>
        <item x="45"/>
        <item x="9"/>
        <item x="26"/>
        <item x="5"/>
        <item x="19"/>
        <item x="31"/>
        <item x="50"/>
        <item m="1" x="51"/>
        <item m="1" x="57"/>
        <item x="38"/>
        <item m="1" x="54"/>
        <item x="23"/>
        <item m="1" x="63"/>
        <item m="1" x="64"/>
        <item m="1" x="62"/>
        <item m="1" x="58"/>
        <item m="1" x="59"/>
        <item m="1" x="52"/>
        <item m="1" x="55"/>
        <item m="1" x="60"/>
        <item t="default"/>
      </items>
    </pivotField>
    <pivotField showAll="0"/>
    <pivotField subtotalTop="0" showAll="0"/>
    <pivotField dataField="1" subtotalTop="0" showAll="0"/>
    <pivotField dataField="1" showAll="0"/>
    <pivotField dataField="1" showAll="0"/>
    <pivotField dataField="1" subtotalTop="0" showAll="0"/>
    <pivotField dataField="1" showAll="0"/>
    <pivotField dataField="1" showAll="0"/>
  </pivotFields>
  <rowFields count="2">
    <field x="1"/>
    <field x="2"/>
  </rowFields>
  <rowItems count="59">
    <i>
      <x v="1"/>
    </i>
    <i r="1">
      <x/>
    </i>
    <i r="1">
      <x v="1"/>
    </i>
    <i r="1">
      <x v="3"/>
    </i>
    <i r="1">
      <x v="5"/>
    </i>
    <i r="1">
      <x v="7"/>
    </i>
    <i r="1">
      <x v="8"/>
    </i>
    <i r="1">
      <x v="10"/>
    </i>
    <i r="1">
      <x v="11"/>
    </i>
    <i r="1">
      <x v="14"/>
    </i>
    <i r="1">
      <x v="16"/>
    </i>
    <i r="1">
      <x v="17"/>
    </i>
    <i r="1">
      <x v="19"/>
    </i>
    <i r="1">
      <x v="22"/>
    </i>
    <i r="1">
      <x v="24"/>
    </i>
    <i r="1">
      <x v="25"/>
    </i>
    <i r="1">
      <x v="27"/>
    </i>
    <i r="1">
      <x v="28"/>
    </i>
    <i r="1">
      <x v="29"/>
    </i>
    <i r="1">
      <x v="30"/>
    </i>
    <i r="1">
      <x v="31"/>
    </i>
    <i r="1">
      <x v="33"/>
    </i>
    <i r="1">
      <x v="34"/>
    </i>
    <i r="1">
      <x v="35"/>
    </i>
    <i r="1">
      <x v="37"/>
    </i>
    <i r="1">
      <x v="38"/>
    </i>
    <i r="1">
      <x v="40"/>
    </i>
    <i r="1">
      <x v="41"/>
    </i>
    <i r="1">
      <x v="42"/>
    </i>
    <i r="1">
      <x v="43"/>
    </i>
    <i r="1">
      <x v="44"/>
    </i>
    <i r="1">
      <x v="48"/>
    </i>
    <i r="1">
      <x v="49"/>
    </i>
    <i t="default">
      <x v="1"/>
    </i>
    <i>
      <x v="2"/>
    </i>
    <i r="1">
      <x v="6"/>
    </i>
    <i r="1">
      <x v="10"/>
    </i>
    <i r="1">
      <x v="12"/>
    </i>
    <i r="1">
      <x v="15"/>
    </i>
    <i r="1">
      <x v="18"/>
    </i>
    <i r="1">
      <x v="20"/>
    </i>
    <i r="1">
      <x v="21"/>
    </i>
    <i r="1">
      <x v="23"/>
    </i>
    <i r="1">
      <x v="25"/>
    </i>
    <i r="1">
      <x v="27"/>
    </i>
    <i r="1">
      <x v="46"/>
    </i>
    <i r="1">
      <x v="50"/>
    </i>
    <i r="1">
      <x v="54"/>
    </i>
    <i r="1">
      <x v="56"/>
    </i>
    <i t="default">
      <x v="2"/>
    </i>
    <i>
      <x v="3"/>
    </i>
    <i r="1">
      <x v="13"/>
    </i>
    <i r="1">
      <x v="32"/>
    </i>
    <i r="1">
      <x v="47"/>
    </i>
    <i t="default">
      <x v="3"/>
    </i>
    <i>
      <x v="4"/>
    </i>
    <i r="1">
      <x v="39"/>
    </i>
    <i t="default">
      <x v="4"/>
    </i>
    <i t="grand">
      <x/>
    </i>
  </rowItems>
  <colFields count="1">
    <field x="-2"/>
  </colFields>
  <colItems count="6">
    <i>
      <x/>
    </i>
    <i i="1">
      <x v="1"/>
    </i>
    <i i="2">
      <x v="2"/>
    </i>
    <i i="3">
      <x v="3"/>
    </i>
    <i i="4">
      <x v="4"/>
    </i>
    <i i="5">
      <x v="5"/>
    </i>
  </colItems>
  <pageFields count="1">
    <pageField fld="0" item="11" hier="-1"/>
  </pageFields>
  <dataFields count="6">
    <dataField name="Sum of Control" fld="5" baseField="1" baseItem="0"/>
    <dataField name="Sum of Support" fld="8" baseField="1" baseItem="0"/>
    <dataField name="Sum of RDS Fulltime" fld="6" baseField="2" baseItem="17"/>
    <dataField name="Sum of Retained Duty System" fld="7" baseField="0" baseItem="0"/>
    <dataField name="Sum of Volunteer" fld="9" baseField="0" baseItem="0"/>
    <dataField name="Sum of Wholetime Operational"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2900-000000000000}" name="PivotTable6" cacheId="6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10" firstHeaderRow="0" firstDataRow="1" firstDataCol="1" rowPageCount="1" colPageCount="1"/>
  <pivotFields count="10">
    <pivotField axis="axisPage" subtotalTop="0" showAll="0">
      <items count="12">
        <item x="6"/>
        <item x="7"/>
        <item x="0"/>
        <item x="4"/>
        <item x="8"/>
        <item x="10"/>
        <item x="1"/>
        <item x="3"/>
        <item x="9"/>
        <item x="2"/>
        <item x="5"/>
        <item t="default"/>
      </items>
    </pivotField>
    <pivotField axis="axisRow" subtotalTop="0" showAll="0">
      <items count="7">
        <item x="4"/>
        <item x="0"/>
        <item x="1"/>
        <item x="2"/>
        <item x="3"/>
        <item x="5"/>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7">
    <i>
      <x/>
    </i>
    <i>
      <x v="1"/>
    </i>
    <i>
      <x v="2"/>
    </i>
    <i>
      <x v="3"/>
    </i>
    <i>
      <x v="4"/>
    </i>
    <i>
      <x v="5"/>
    </i>
    <i t="grand">
      <x/>
    </i>
  </rowItems>
  <colFields count="1">
    <field x="-2"/>
  </colFields>
  <colItems count="7">
    <i>
      <x/>
    </i>
    <i i="1">
      <x v="1"/>
    </i>
    <i i="2">
      <x v="2"/>
    </i>
    <i i="3">
      <x v="3"/>
    </i>
    <i i="4">
      <x v="4"/>
    </i>
    <i i="5">
      <x v="5"/>
    </i>
    <i i="6">
      <x v="6"/>
    </i>
  </colItems>
  <pageFields count="1">
    <pageField fld="0" item="10" hier="-1"/>
  </pageFields>
  <dataFields count="7">
    <dataField name="Sum of Brigade Manager" fld="3" baseField="1" baseItem="0"/>
    <dataField name="Sum of Area Manager" fld="4" baseField="1" baseItem="0"/>
    <dataField name="Sum of Group Manager" fld="5" baseField="1" baseItem="0"/>
    <dataField name="Sum of Station Manager" fld="6" baseField="1" baseItem="0"/>
    <dataField name="Sum of Watch Manager" fld="7" baseField="1" baseItem="0"/>
    <dataField name="Sum of Crew Manager" fld="8" baseField="1" baseItem="0"/>
    <dataField name="Sum of Firefighter" fld="9"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PivotTable7" cacheId="1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8" firstHeaderRow="0" firstDataRow="1" firstDataCol="1" rowPageCount="1" colPageCount="1"/>
  <pivotFields count="9">
    <pivotField axis="axisPage" subtotalTop="0" showAll="0">
      <items count="7">
        <item x="0"/>
        <item x="1"/>
        <item x="2"/>
        <item x="3"/>
        <item x="4"/>
        <item x="5"/>
        <item t="default"/>
      </items>
    </pivotField>
    <pivotField axis="axisRow" subtotalTop="0" showAll="0">
      <items count="5">
        <item x="0"/>
        <item x="1"/>
        <item x="2"/>
        <item x="3"/>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5">
    <i>
      <x/>
    </i>
    <i>
      <x v="1"/>
    </i>
    <i>
      <x v="2"/>
    </i>
    <i>
      <x v="3"/>
    </i>
    <i t="grand">
      <x/>
    </i>
  </rowItems>
  <colFields count="1">
    <field x="-2"/>
  </colFields>
  <colItems count="7">
    <i>
      <x/>
    </i>
    <i i="1">
      <x v="1"/>
    </i>
    <i i="2">
      <x v="2"/>
    </i>
    <i i="3">
      <x v="3"/>
    </i>
    <i i="4">
      <x v="4"/>
    </i>
    <i i="5">
      <x v="5"/>
    </i>
    <i i="6">
      <x v="6"/>
    </i>
  </colItems>
  <pageFields count="1">
    <pageField fld="0" item="5" hier="-1"/>
  </pageFields>
  <dataFields count="7">
    <dataField name="Sum of Brigade Commander" fld="2" baseField="0" baseItem="0"/>
    <dataField name="Sum of Area Commander" fld="3" baseField="0" baseItem="0"/>
    <dataField name="Sum of Group Commander" fld="4" baseField="0" baseItem="0"/>
    <dataField name="Sum of Station Commander" fld="5" baseField="0" baseItem="0"/>
    <dataField name="Sum of Watch Commander" fld="6" baseField="0" baseItem="0"/>
    <dataField name="Sum of Crew Commander" fld="7" baseField="0" baseItem="0"/>
    <dataField name="Sum of Firefighter"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2F00-000000000000}" name="PivotTable8" cacheId="1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8" firstHeaderRow="0" firstDataRow="1" firstDataCol="1" rowPageCount="1" colPageCount="1"/>
  <pivotFields count="10">
    <pivotField axis="axisPage" subtotalTop="0" showAll="0">
      <items count="12">
        <item x="0"/>
        <item x="4"/>
        <item x="1"/>
        <item x="5"/>
        <item x="6"/>
        <item x="7"/>
        <item x="9"/>
        <item x="8"/>
        <item x="2"/>
        <item x="3"/>
        <item x="10"/>
        <item t="default"/>
      </items>
    </pivotField>
    <pivotField axis="axisRow" subtotalTop="0" showAll="0">
      <items count="6">
        <item x="0"/>
        <item x="1"/>
        <item x="3"/>
        <item x="2"/>
        <item m="1" x="4"/>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subtotalTop="0" showAll="0"/>
  </pivotFields>
  <rowFields count="1">
    <field x="1"/>
  </rowFields>
  <rowItems count="5">
    <i>
      <x/>
    </i>
    <i>
      <x v="1"/>
    </i>
    <i>
      <x v="2"/>
    </i>
    <i>
      <x v="3"/>
    </i>
    <i t="grand">
      <x/>
    </i>
  </rowItems>
  <colFields count="1">
    <field x="-2"/>
  </colFields>
  <colItems count="7">
    <i>
      <x/>
    </i>
    <i i="1">
      <x v="1"/>
    </i>
    <i i="2">
      <x v="2"/>
    </i>
    <i i="3">
      <x v="3"/>
    </i>
    <i i="4">
      <x v="4"/>
    </i>
    <i i="5">
      <x v="5"/>
    </i>
    <i i="6">
      <x v="6"/>
    </i>
  </colItems>
  <pageFields count="1">
    <pageField fld="0" item="10" hier="-1"/>
  </pageFields>
  <dataFields count="7">
    <dataField name="Sum of Brigade Manager" fld="2" baseField="1" baseItem="0"/>
    <dataField name="Sum of Area Manager" fld="3" baseField="1" baseItem="0"/>
    <dataField name="Sum of Group Manager" fld="4" baseField="1" baseItem="0"/>
    <dataField name="Sum of Station Manager" fld="5" baseField="1" baseItem="0"/>
    <dataField name="Sum of Watch Manager" fld="6" baseField="0" baseItem="0"/>
    <dataField name="Sum of Crew Manager" fld="7" baseField="1" baseItem="0"/>
    <dataField name="Sum of Firefighter"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3400-000000000000}" name="PivotTable9" cacheId="1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61" firstHeaderRow="0" firstDataRow="1" firstDataCol="1" rowPageCount="1" colPageCount="1"/>
  <pivotFields count="11">
    <pivotField axis="axisPage" subtotalTop="0" showAll="0">
      <items count="13">
        <item x="0"/>
        <item x="1"/>
        <item x="2"/>
        <item x="3"/>
        <item x="4"/>
        <item x="5"/>
        <item x="6"/>
        <item x="7"/>
        <item x="8"/>
        <item m="1" x="11"/>
        <item x="9"/>
        <item x="10"/>
        <item t="default"/>
      </items>
    </pivotField>
    <pivotField axis="axisRow" subtotalTop="0" showAll="0">
      <items count="6">
        <item x="0"/>
        <item x="1"/>
        <item x="2"/>
        <item x="3"/>
        <item m="1" x="4"/>
        <item t="default"/>
      </items>
    </pivotField>
    <pivotField showAll="0"/>
    <pivotField axis="axisRow" subtotalTop="0" showAll="0">
      <items count="112">
        <item x="19"/>
        <item x="20"/>
        <item x="32"/>
        <item x="26"/>
        <item x="21"/>
        <item x="33"/>
        <item x="22"/>
        <item x="0"/>
        <item m="1" x="63"/>
        <item x="1"/>
        <item x="27"/>
        <item x="42"/>
        <item x="44"/>
        <item x="2"/>
        <item x="34"/>
        <item x="29"/>
        <item x="3"/>
        <item x="35"/>
        <item x="4"/>
        <item x="36"/>
        <item x="37"/>
        <item x="6"/>
        <item x="38"/>
        <item x="31"/>
        <item x="30"/>
        <item x="7"/>
        <item x="39"/>
        <item x="8"/>
        <item x="9"/>
        <item x="10"/>
        <item x="5"/>
        <item x="45"/>
        <item x="11"/>
        <item x="28"/>
        <item x="12"/>
        <item x="13"/>
        <item x="23"/>
        <item m="1" x="95"/>
        <item m="1" x="78"/>
        <item m="1" x="100"/>
        <item m="1" x="58"/>
        <item m="1" x="98"/>
        <item m="1" x="103"/>
        <item m="1" x="53"/>
        <item m="1" x="87"/>
        <item m="1" x="72"/>
        <item m="1" x="108"/>
        <item m="1" x="85"/>
        <item m="1" x="90"/>
        <item m="1" x="56"/>
        <item m="1" x="77"/>
        <item m="1" x="60"/>
        <item m="1" x="93"/>
        <item m="1" x="97"/>
        <item m="1" x="79"/>
        <item m="1" x="62"/>
        <item m="1" x="102"/>
        <item m="1" x="67"/>
        <item m="1" x="109"/>
        <item m="1" x="81"/>
        <item m="1" x="66"/>
        <item m="1" x="107"/>
        <item m="1" x="70"/>
        <item m="1" x="54"/>
        <item m="1" x="89"/>
        <item m="1" x="73"/>
        <item m="1" x="68"/>
        <item m="1" x="110"/>
        <item m="1" x="86"/>
        <item m="1" x="71"/>
        <item m="1" x="91"/>
        <item m="1" x="75"/>
        <item m="1" x="57"/>
        <item m="1" x="96"/>
        <item m="1" x="74"/>
        <item m="1" x="94"/>
        <item m="1" x="76"/>
        <item m="1" x="59"/>
        <item m="1" x="99"/>
        <item m="1" x="80"/>
        <item m="1" x="64"/>
        <item m="1" x="104"/>
        <item m="1" x="83"/>
        <item m="1" x="105"/>
        <item m="1" x="84"/>
        <item m="1" x="69"/>
        <item m="1" x="82"/>
        <item x="46"/>
        <item x="14"/>
        <item x="15"/>
        <item x="16"/>
        <item x="17"/>
        <item x="18"/>
        <item x="40"/>
        <item x="43"/>
        <item x="24"/>
        <item x="25"/>
        <item x="41"/>
        <item m="1" x="50"/>
        <item x="47"/>
        <item m="1" x="88"/>
        <item x="48"/>
        <item m="1" x="65"/>
        <item x="49"/>
        <item m="1" x="61"/>
        <item m="1" x="101"/>
        <item m="1" x="55"/>
        <item m="1" x="92"/>
        <item m="1" x="106"/>
        <item m="1" x="52"/>
        <item m="1" x="51"/>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2">
    <field x="1"/>
    <field x="3"/>
  </rowFields>
  <rowItems count="58">
    <i>
      <x/>
    </i>
    <i r="1">
      <x/>
    </i>
    <i r="1">
      <x v="1"/>
    </i>
    <i r="1">
      <x v="3"/>
    </i>
    <i r="1">
      <x v="4"/>
    </i>
    <i r="1">
      <x v="6"/>
    </i>
    <i r="1">
      <x v="7"/>
    </i>
    <i r="1">
      <x v="9"/>
    </i>
    <i r="1">
      <x v="10"/>
    </i>
    <i r="1">
      <x v="13"/>
    </i>
    <i r="1">
      <x v="15"/>
    </i>
    <i r="1">
      <x v="16"/>
    </i>
    <i r="1">
      <x v="18"/>
    </i>
    <i r="1">
      <x v="21"/>
    </i>
    <i r="1">
      <x v="23"/>
    </i>
    <i r="1">
      <x v="24"/>
    </i>
    <i r="1">
      <x v="25"/>
    </i>
    <i r="1">
      <x v="27"/>
    </i>
    <i r="1">
      <x v="28"/>
    </i>
    <i r="1">
      <x v="29"/>
    </i>
    <i r="1">
      <x v="30"/>
    </i>
    <i r="1">
      <x v="32"/>
    </i>
    <i r="1">
      <x v="33"/>
    </i>
    <i r="1">
      <x v="35"/>
    </i>
    <i r="1">
      <x v="36"/>
    </i>
    <i r="1">
      <x v="88"/>
    </i>
    <i r="1">
      <x v="89"/>
    </i>
    <i r="1">
      <x v="90"/>
    </i>
    <i r="1">
      <x v="91"/>
    </i>
    <i r="1">
      <x v="92"/>
    </i>
    <i r="1">
      <x v="95"/>
    </i>
    <i r="1">
      <x v="96"/>
    </i>
    <i t="default">
      <x/>
    </i>
    <i>
      <x v="1"/>
    </i>
    <i r="1">
      <x v="5"/>
    </i>
    <i r="1">
      <x v="9"/>
    </i>
    <i r="1">
      <x v="11"/>
    </i>
    <i r="1">
      <x v="14"/>
    </i>
    <i r="1">
      <x v="17"/>
    </i>
    <i r="1">
      <x v="19"/>
    </i>
    <i r="1">
      <x v="20"/>
    </i>
    <i r="1">
      <x v="22"/>
    </i>
    <i r="1">
      <x v="24"/>
    </i>
    <i r="1">
      <x v="26"/>
    </i>
    <i r="1">
      <x v="97"/>
    </i>
    <i r="1">
      <x v="99"/>
    </i>
    <i r="1">
      <x v="101"/>
    </i>
    <i r="1">
      <x v="103"/>
    </i>
    <i t="default">
      <x v="1"/>
    </i>
    <i>
      <x v="2"/>
    </i>
    <i r="1">
      <x v="12"/>
    </i>
    <i r="1">
      <x v="31"/>
    </i>
    <i r="1">
      <x v="94"/>
    </i>
    <i t="default">
      <x v="2"/>
    </i>
    <i>
      <x v="3"/>
    </i>
    <i r="1">
      <x v="87"/>
    </i>
    <i t="default">
      <x v="3"/>
    </i>
    <i t="grand">
      <x/>
    </i>
  </rowItems>
  <colFields count="1">
    <field x="-2"/>
  </colFields>
  <colItems count="7">
    <i>
      <x/>
    </i>
    <i i="1">
      <x v="1"/>
    </i>
    <i i="2">
      <x v="2"/>
    </i>
    <i i="3">
      <x v="3"/>
    </i>
    <i i="4">
      <x v="4"/>
    </i>
    <i i="5">
      <x v="5"/>
    </i>
    <i i="6">
      <x v="6"/>
    </i>
  </colItems>
  <pageFields count="1">
    <pageField fld="0" item="11" hier="-1"/>
  </pageFields>
  <dataFields count="7">
    <dataField name="Sum of Brigade Manager" fld="5" baseField="1" baseItem="0"/>
    <dataField name="Sum of Area Manager" fld="4" baseField="1" baseItem="0"/>
    <dataField name="Sum of Group Manager" fld="8" baseField="1" baseItem="0"/>
    <dataField name="Sum of Station Manager" fld="9" baseField="1" baseItem="0"/>
    <dataField name="Sum of Watch Manager" fld="10" baseField="0" baseItem="0"/>
    <dataField name="Sum of Crew Manager" fld="6" baseField="0" baseItem="0"/>
    <dataField name="Sum of Firefighter" fld="7"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3700-000000000000}" name="PivotTable11" cacheId="16"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33" firstHeaderRow="0" firstDataRow="1" firstDataCol="1" rowPageCount="1" colPageCount="1"/>
  <pivotFields count="7">
    <pivotField axis="axisPage" subtotalTop="0" showAll="0">
      <items count="12">
        <item x="0"/>
        <item x="1"/>
        <item x="2"/>
        <item x="3"/>
        <item x="4"/>
        <item x="5"/>
        <item x="6"/>
        <item x="7"/>
        <item x="8"/>
        <item x="9"/>
        <item x="10"/>
        <item t="default"/>
      </items>
    </pivotField>
    <pivotField subtotalTop="0" showAll="0"/>
    <pivotField axis="axisRow" subtotalTop="0" showAll="0">
      <items count="39">
        <item x="0"/>
        <item x="1"/>
        <item x="2"/>
        <item x="3"/>
        <item x="4"/>
        <item x="5"/>
        <item m="1" x="35"/>
        <item x="6"/>
        <item x="7"/>
        <item x="8"/>
        <item x="9"/>
        <item x="10"/>
        <item x="11"/>
        <item x="12"/>
        <item x="13"/>
        <item x="14"/>
        <item x="15"/>
        <item x="16"/>
        <item x="17"/>
        <item x="18"/>
        <item x="19"/>
        <item x="20"/>
        <item x="21"/>
        <item x="22"/>
        <item x="23"/>
        <item x="24"/>
        <item x="25"/>
        <item x="26"/>
        <item x="27"/>
        <item x="28"/>
        <item x="29"/>
        <item x="30"/>
        <item x="31"/>
        <item m="1" x="36"/>
        <item m="1" x="37"/>
        <item m="1" x="32"/>
        <item m="1" x="33"/>
        <item m="1" x="34"/>
        <item t="default"/>
      </items>
    </pivotField>
    <pivotField subtotalTop="0" showAll="0"/>
    <pivotField dataField="1" subtotalTop="0" showAll="0"/>
    <pivotField dataField="1" subtotalTop="0" showAll="0"/>
    <pivotField dataField="1" subtotalTop="0" showAll="0"/>
  </pivotFields>
  <rowFields count="1">
    <field x="2"/>
  </rowFields>
  <rowItems count="30">
    <i>
      <x/>
    </i>
    <i>
      <x v="1"/>
    </i>
    <i>
      <x v="2"/>
    </i>
    <i>
      <x v="3"/>
    </i>
    <i>
      <x v="4"/>
    </i>
    <i>
      <x v="5"/>
    </i>
    <i>
      <x v="7"/>
    </i>
    <i>
      <x v="8"/>
    </i>
    <i>
      <x v="9"/>
    </i>
    <i>
      <x v="11"/>
    </i>
    <i>
      <x v="13"/>
    </i>
    <i>
      <x v="14"/>
    </i>
    <i>
      <x v="16"/>
    </i>
    <i>
      <x v="17"/>
    </i>
    <i>
      <x v="18"/>
    </i>
    <i>
      <x v="19"/>
    </i>
    <i>
      <x v="20"/>
    </i>
    <i>
      <x v="21"/>
    </i>
    <i>
      <x v="22"/>
    </i>
    <i>
      <x v="23"/>
    </i>
    <i>
      <x v="24"/>
    </i>
    <i>
      <x v="25"/>
    </i>
    <i>
      <x v="26"/>
    </i>
    <i>
      <x v="27"/>
    </i>
    <i>
      <x v="28"/>
    </i>
    <i>
      <x v="29"/>
    </i>
    <i>
      <x v="30"/>
    </i>
    <i>
      <x v="31"/>
    </i>
    <i>
      <x v="32"/>
    </i>
    <i t="grand">
      <x/>
    </i>
  </rowItems>
  <colFields count="1">
    <field x="-2"/>
  </colFields>
  <colItems count="3">
    <i>
      <x/>
    </i>
    <i i="1">
      <x v="1"/>
    </i>
    <i i="2">
      <x v="2"/>
    </i>
  </colItems>
  <pageFields count="1">
    <pageField fld="0" item="10" hier="-1"/>
  </pageFields>
  <dataFields count="3">
    <dataField name="Sum of Watch Manager" fld="4" baseField="0" baseItem="0"/>
    <dataField name="Sum of Crew Manager" fld="5" baseField="0" baseItem="0"/>
    <dataField name="Sum of Firefighter"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3A00-000000000000}" name="PivotTable2" cacheId="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5" firstHeaderRow="0" firstDataRow="1" firstDataCol="1" rowPageCount="1" colPageCount="1"/>
  <pivotFields count="9">
    <pivotField axis="axisPage" subtotalTop="0" showAll="0">
      <items count="12">
        <item x="0"/>
        <item x="1"/>
        <item x="2"/>
        <item x="3"/>
        <item x="4"/>
        <item x="5"/>
        <item x="6"/>
        <item x="7"/>
        <item x="8"/>
        <item x="9"/>
        <item x="10"/>
        <item t="default"/>
      </items>
    </pivotField>
    <pivotField axis="axisRow" subtotalTop="0" showAll="0">
      <items count="2">
        <item x="0"/>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2">
    <i>
      <x/>
    </i>
    <i t="grand">
      <x/>
    </i>
  </rowItems>
  <colFields count="1">
    <field x="-2"/>
  </colFields>
  <colItems count="6">
    <i>
      <x/>
    </i>
    <i i="1">
      <x v="1"/>
    </i>
    <i i="2">
      <x v="2"/>
    </i>
    <i i="3">
      <x v="3"/>
    </i>
    <i i="4">
      <x v="4"/>
    </i>
    <i i="5">
      <x v="5"/>
    </i>
  </colItems>
  <pageFields count="1">
    <pageField fld="0" item="10" hier="-1"/>
  </pageFields>
  <dataFields count="6">
    <dataField name="Sum of Area Manager" fld="3" baseField="1" baseItem="0"/>
    <dataField name="Sum of Group Manager" fld="4" baseField="0" baseItem="0"/>
    <dataField name="Sum of Station Manager" fld="5" baseField="0" baseItem="0"/>
    <dataField name="Sum of Watch Manager" fld="6" baseField="0" baseItem="0"/>
    <dataField name="Sum of Crew Manager" fld="7" baseField="0" baseItem="0"/>
    <dataField name="Sum of Control Operator"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3C00-000000000000}" name="PivotTable11" cacheId="6"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I12" firstHeaderRow="0" firstDataRow="1" firstDataCol="1" rowPageCount="1" colPageCount="1"/>
  <pivotFields count="12">
    <pivotField axis="axisPage" subtotalTop="0" showAll="0">
      <items count="12">
        <item x="0"/>
        <item x="1"/>
        <item x="2"/>
        <item x="3"/>
        <item x="4"/>
        <item x="5"/>
        <item x="6"/>
        <item x="7"/>
        <item x="8"/>
        <item x="9"/>
        <item x="10"/>
        <item t="default"/>
      </items>
    </pivotField>
    <pivotField axis="axisRow" subtotalTop="0" showAll="0">
      <items count="3">
        <item x="1"/>
        <item x="0"/>
        <item t="default"/>
      </items>
    </pivotField>
    <pivotField subtotalTop="0" showAll="0"/>
    <pivotField axis="axisRow" subtotalTop="0" showAll="0">
      <items count="6">
        <item x="2"/>
        <item x="3"/>
        <item x="0"/>
        <item x="1"/>
        <item m="1" x="4"/>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2">
    <field x="1"/>
    <field x="3"/>
  </rowFields>
  <rowItems count="9">
    <i>
      <x/>
    </i>
    <i r="1">
      <x/>
    </i>
    <i r="1">
      <x v="1"/>
    </i>
    <i r="1">
      <x v="3"/>
    </i>
    <i t="default">
      <x/>
    </i>
    <i>
      <x v="1"/>
    </i>
    <i r="1">
      <x v="2"/>
    </i>
    <i t="default">
      <x v="1"/>
    </i>
    <i t="grand">
      <x/>
    </i>
  </rowItems>
  <colFields count="1">
    <field x="-2"/>
  </colFields>
  <colItems count="8">
    <i>
      <x/>
    </i>
    <i i="1">
      <x v="1"/>
    </i>
    <i i="2">
      <x v="2"/>
    </i>
    <i i="3">
      <x v="3"/>
    </i>
    <i i="4">
      <x v="4"/>
    </i>
    <i i="5">
      <x v="5"/>
    </i>
    <i i="6">
      <x v="6"/>
    </i>
    <i i="7">
      <x v="7"/>
    </i>
  </colItems>
  <pageFields count="1">
    <pageField fld="0" item="10" hier="-1"/>
  </pageFields>
  <dataFields count="8">
    <dataField name="Sum of Director" fld="5" baseField="1" baseItem="0"/>
    <dataField name="Sum of Service Manager" fld="6" baseField="0" baseItem="0"/>
    <dataField name="Sum of Team Leader" fld="7" baseField="0" baseItem="0"/>
    <dataField name="Sum of Professional" fld="8" baseField="0" baseItem="0"/>
    <dataField name="Sum of Specialist Technical" fld="9" baseField="0" baseItem="0"/>
    <dataField name="Sum of Tech Support" fld="10" baseField="0" baseItem="0"/>
    <dataField name="Sum of Administration" fld="11" baseField="0" baseItem="0"/>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35D939-48B5-4684-8EFD-9E7CAF36F497}" name="PivotTable4" cacheId="6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E36" firstHeaderRow="0" firstDataRow="1" firstDataCol="1" rowPageCount="1" colPageCount="1"/>
  <pivotFields count="6">
    <pivotField axis="axisPage" subtotalTop="0" showAll="0">
      <items count="11">
        <item x="6"/>
        <item x="5"/>
        <item x="4"/>
        <item x="3"/>
        <item x="0"/>
        <item x="1"/>
        <item x="2"/>
        <item x="7"/>
        <item x="8"/>
        <item x="9"/>
        <item t="default"/>
      </items>
    </pivotField>
    <pivotField axis="axisRow" subtotalTop="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ubtotalTop="0" showAll="0"/>
    <pivotField dataField="1" subtotalTop="0" showAll="0"/>
    <pivotField dataField="1" subtotalTop="0" showAll="0"/>
    <pivotField dataField="1" subtotalTop="0"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pageFields count="1">
    <pageField fld="0" item="9" hier="-1"/>
  </pageFields>
  <dataFields count="4">
    <dataField name="Sum of Wholetime" fld="2" baseField="1" baseItem="0"/>
    <dataField name="Sum of Retained" fld="3" baseField="1" baseItem="0"/>
    <dataField name="Sum of Volunteer" fld="4" baseField="1" baseItem="0"/>
    <dataField name="Sum of Tota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3F00-000000000000}" name="PivotTable2" cacheId="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12" firstHeaderRow="0" firstDataRow="1" firstDataCol="1" rowPageCount="1" colPageCount="1"/>
  <pivotFields count="8">
    <pivotField axis="axisPage" subtotalTop="0" showAll="0">
      <items count="13">
        <item x="0"/>
        <item x="1"/>
        <item x="2"/>
        <item x="3"/>
        <item x="4"/>
        <item x="5"/>
        <item x="6"/>
        <item x="7"/>
        <item m="1" x="11"/>
        <item x="8"/>
        <item x="9"/>
        <item x="10"/>
        <item t="default"/>
      </items>
    </pivotField>
    <pivotField axis="axisRow" subtotalTop="0" showAll="0">
      <items count="3">
        <item x="0"/>
        <item m="1" x="1"/>
        <item t="default"/>
      </items>
    </pivotField>
    <pivotField subtotalTop="0" showAll="0"/>
    <pivotField axis="axisRow" subtotalTop="0" showAll="0">
      <items count="37">
        <item x="19"/>
        <item x="20"/>
        <item x="26"/>
        <item x="21"/>
        <item x="22"/>
        <item x="0"/>
        <item m="1" x="33"/>
        <item x="1"/>
        <item x="27"/>
        <item x="2"/>
        <item x="29"/>
        <item x="3"/>
        <item x="4"/>
        <item x="6"/>
        <item x="31"/>
        <item x="30"/>
        <item x="7"/>
        <item x="8"/>
        <item x="9"/>
        <item x="10"/>
        <item x="5"/>
        <item x="11"/>
        <item x="28"/>
        <item x="12"/>
        <item x="13"/>
        <item x="23"/>
        <item x="14"/>
        <item x="15"/>
        <item x="16"/>
        <item x="17"/>
        <item x="18"/>
        <item x="24"/>
        <item x="25"/>
        <item m="1" x="32"/>
        <item m="1" x="34"/>
        <item m="1" x="35"/>
        <item t="default"/>
      </items>
    </pivotField>
    <pivotField subtotalTop="0" showAll="0"/>
    <pivotField dataField="1" subtotalTop="0" showAll="0"/>
    <pivotField dataField="1" subtotalTop="0" showAll="0"/>
    <pivotField dataField="1" subtotalTop="0" showAll="0"/>
  </pivotFields>
  <rowFields count="2">
    <field x="1"/>
    <field x="3"/>
  </rowFields>
  <rowItems count="9">
    <i>
      <x/>
    </i>
    <i r="1">
      <x v="3"/>
    </i>
    <i r="1">
      <x v="7"/>
    </i>
    <i r="1">
      <x v="16"/>
    </i>
    <i r="1">
      <x v="19"/>
    </i>
    <i r="1">
      <x v="21"/>
    </i>
    <i r="1">
      <x v="24"/>
    </i>
    <i t="default">
      <x/>
    </i>
    <i t="grand">
      <x/>
    </i>
  </rowItems>
  <colFields count="1">
    <field x="-2"/>
  </colFields>
  <colItems count="3">
    <i>
      <x/>
    </i>
    <i i="1">
      <x v="1"/>
    </i>
    <i i="2">
      <x v="2"/>
    </i>
  </colItems>
  <pageFields count="1">
    <pageField fld="0" item="11" hier="-1"/>
  </pageFields>
  <dataFields count="3">
    <dataField name="Sum of Watch Manager" fld="5" baseField="0" baseItem="0"/>
    <dataField name="Sum of Crew Manager" fld="6" baseField="0" baseItem="0"/>
    <dataField name="Sum of Firefighte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4400-000000000000}" name="PivotTable3" cacheId="6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61" firstHeaderRow="0" firstDataRow="1" firstDataCol="1" rowPageCount="1" colPageCount="1"/>
  <pivotFields count="12">
    <pivotField axis="axisPage" subtotalTop="0" showAll="0">
      <items count="13">
        <item x="0"/>
        <item x="1"/>
        <item x="2"/>
        <item x="3"/>
        <item x="4"/>
        <item x="5"/>
        <item x="6"/>
        <item x="7"/>
        <item x="8"/>
        <item m="1" x="11"/>
        <item x="9"/>
        <item x="10"/>
        <item t="default"/>
      </items>
    </pivotField>
    <pivotField axis="axisRow" subtotalTop="0" showAll="0">
      <items count="8">
        <item x="0"/>
        <item x="1"/>
        <item x="2"/>
        <item x="3"/>
        <item m="1" x="5"/>
        <item x="4"/>
        <item m="1" x="6"/>
        <item t="default"/>
      </items>
    </pivotField>
    <pivotField subtotalTop="0" showAll="0"/>
    <pivotField axis="axisRow" subtotalTop="0" showAll="0">
      <items count="62">
        <item x="19"/>
        <item x="20"/>
        <item x="32"/>
        <item m="1" x="50"/>
        <item x="26"/>
        <item x="21"/>
        <item x="33"/>
        <item x="22"/>
        <item x="0"/>
        <item m="1" x="55"/>
        <item x="1"/>
        <item x="27"/>
        <item x="42"/>
        <item x="44"/>
        <item x="2"/>
        <item x="34"/>
        <item x="29"/>
        <item x="3"/>
        <item x="35"/>
        <item x="4"/>
        <item x="36"/>
        <item x="37"/>
        <item x="6"/>
        <item x="38"/>
        <item x="31"/>
        <item x="30"/>
        <item x="7"/>
        <item x="39"/>
        <item x="8"/>
        <item x="9"/>
        <item x="10"/>
        <item x="5"/>
        <item x="45"/>
        <item x="11"/>
        <item x="28"/>
        <item x="12"/>
        <item x="13"/>
        <item x="23"/>
        <item x="46"/>
        <item x="14"/>
        <item x="15"/>
        <item x="16"/>
        <item x="17"/>
        <item x="18"/>
        <item x="40"/>
        <item x="47"/>
        <item x="43"/>
        <item x="24"/>
        <item x="25"/>
        <item x="41"/>
        <item x="48"/>
        <item x="49"/>
        <item m="1" x="56"/>
        <item m="1" x="51"/>
        <item m="1" x="57"/>
        <item m="1" x="54"/>
        <item m="1" x="59"/>
        <item m="1" x="53"/>
        <item m="1" x="58"/>
        <item m="1" x="60"/>
        <item m="1" x="52"/>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2">
    <field x="1"/>
    <field x="3"/>
  </rowFields>
  <rowItems count="58">
    <i>
      <x/>
    </i>
    <i r="1">
      <x/>
    </i>
    <i r="1">
      <x v="1"/>
    </i>
    <i r="1">
      <x v="4"/>
    </i>
    <i r="1">
      <x v="5"/>
    </i>
    <i r="1">
      <x v="7"/>
    </i>
    <i r="1">
      <x v="8"/>
    </i>
    <i r="1">
      <x v="10"/>
    </i>
    <i r="1">
      <x v="11"/>
    </i>
    <i r="1">
      <x v="14"/>
    </i>
    <i r="1">
      <x v="16"/>
    </i>
    <i r="1">
      <x v="17"/>
    </i>
    <i r="1">
      <x v="19"/>
    </i>
    <i r="1">
      <x v="22"/>
    </i>
    <i r="1">
      <x v="24"/>
    </i>
    <i r="1">
      <x v="25"/>
    </i>
    <i r="1">
      <x v="26"/>
    </i>
    <i r="1">
      <x v="28"/>
    </i>
    <i r="1">
      <x v="29"/>
    </i>
    <i r="1">
      <x v="30"/>
    </i>
    <i r="1">
      <x v="31"/>
    </i>
    <i r="1">
      <x v="33"/>
    </i>
    <i r="1">
      <x v="34"/>
    </i>
    <i r="1">
      <x v="36"/>
    </i>
    <i r="1">
      <x v="37"/>
    </i>
    <i r="1">
      <x v="39"/>
    </i>
    <i r="1">
      <x v="40"/>
    </i>
    <i r="1">
      <x v="41"/>
    </i>
    <i r="1">
      <x v="42"/>
    </i>
    <i r="1">
      <x v="43"/>
    </i>
    <i r="1">
      <x v="47"/>
    </i>
    <i r="1">
      <x v="48"/>
    </i>
    <i t="default">
      <x/>
    </i>
    <i>
      <x v="1"/>
    </i>
    <i r="1">
      <x v="6"/>
    </i>
    <i r="1">
      <x v="10"/>
    </i>
    <i r="1">
      <x v="12"/>
    </i>
    <i r="1">
      <x v="15"/>
    </i>
    <i r="1">
      <x v="18"/>
    </i>
    <i r="1">
      <x v="20"/>
    </i>
    <i r="1">
      <x v="21"/>
    </i>
    <i r="1">
      <x v="23"/>
    </i>
    <i r="1">
      <x v="25"/>
    </i>
    <i r="1">
      <x v="27"/>
    </i>
    <i r="1">
      <x v="45"/>
    </i>
    <i r="1">
      <x v="49"/>
    </i>
    <i r="1">
      <x v="50"/>
    </i>
    <i r="1">
      <x v="51"/>
    </i>
    <i t="default">
      <x v="1"/>
    </i>
    <i>
      <x v="2"/>
    </i>
    <i r="1">
      <x v="13"/>
    </i>
    <i r="1">
      <x v="32"/>
    </i>
    <i r="1">
      <x v="46"/>
    </i>
    <i t="default">
      <x v="2"/>
    </i>
    <i>
      <x v="3"/>
    </i>
    <i r="1">
      <x v="38"/>
    </i>
    <i t="default">
      <x v="3"/>
    </i>
    <i t="grand">
      <x/>
    </i>
  </rowItems>
  <colFields count="1">
    <field x="-2"/>
  </colFields>
  <colItems count="7">
    <i>
      <x/>
    </i>
    <i i="1">
      <x v="1"/>
    </i>
    <i i="2">
      <x v="2"/>
    </i>
    <i i="3">
      <x v="3"/>
    </i>
    <i i="4">
      <x v="4"/>
    </i>
    <i i="5">
      <x v="5"/>
    </i>
    <i i="6">
      <x v="6"/>
    </i>
  </colItems>
  <pageFields count="1">
    <pageField fld="0" item="11" hier="-1"/>
  </pageFields>
  <dataFields count="7">
    <dataField name="Sum of Brigade Manager" fld="6" baseField="3" baseItem="25"/>
    <dataField name="Sum of Area Manager" fld="5" baseField="3" baseItem="25"/>
    <dataField name="Sum of Group Manager" fld="9" baseField="3" baseItem="25"/>
    <dataField name="Sum of Station Manager" fld="10" baseField="3" baseItem="25"/>
    <dataField name="Sum of Watch Manager" fld="11" baseField="3" baseItem="25"/>
    <dataField name="Sum of Crew Manager" fld="7" baseField="3" baseItem="25"/>
    <dataField name="Sum of Firefighter" fld="8" baseField="3" baseItem="2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4800-000000000000}" name="PivotTable4" cacheId="18"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36" firstHeaderRow="0" firstDataRow="1" firstDataCol="1" rowPageCount="1" colPageCount="1"/>
  <pivotFields count="8">
    <pivotField axis="axisPage" subtotalTop="0" showAll="0">
      <items count="13">
        <item x="1"/>
        <item x="2"/>
        <item x="3"/>
        <item x="4"/>
        <item x="5"/>
        <item x="6"/>
        <item x="7"/>
        <item x="8"/>
        <item x="0"/>
        <item x="9"/>
        <item x="10"/>
        <item x="11"/>
        <item t="default"/>
      </items>
    </pivotField>
    <pivotField axis="axisRow" subtotalTop="0" showAll="0">
      <items count="3">
        <item x="1"/>
        <item x="0"/>
        <item t="default"/>
      </items>
    </pivotField>
    <pivotField subtotalTop="0" showAll="0"/>
    <pivotField axis="axisRow" subtotalTop="0" showAll="0">
      <items count="38">
        <item x="21"/>
        <item x="22"/>
        <item x="1"/>
        <item x="28"/>
        <item x="23"/>
        <item x="24"/>
        <item x="2"/>
        <item m="1" x="34"/>
        <item x="3"/>
        <item x="29"/>
        <item x="4"/>
        <item x="31"/>
        <item x="5"/>
        <item x="6"/>
        <item x="8"/>
        <item x="33"/>
        <item x="32"/>
        <item x="9"/>
        <item x="10"/>
        <item x="11"/>
        <item x="12"/>
        <item x="7"/>
        <item x="13"/>
        <item x="30"/>
        <item x="14"/>
        <item x="15"/>
        <item x="25"/>
        <item x="16"/>
        <item x="17"/>
        <item x="18"/>
        <item x="19"/>
        <item x="20"/>
        <item x="26"/>
        <item x="27"/>
        <item x="0"/>
        <item m="1" x="35"/>
        <item m="1" x="36"/>
        <item t="default"/>
      </items>
    </pivotField>
    <pivotField subtotalTop="0" showAll="0"/>
    <pivotField dataField="1" subtotalTop="0" showAll="0"/>
    <pivotField dataField="1" subtotalTop="0" showAll="0"/>
    <pivotField dataField="1" subtotalTop="0" showAll="0"/>
  </pivotFields>
  <rowFields count="2">
    <field x="1"/>
    <field x="3"/>
  </rowFields>
  <rowItems count="33">
    <i>
      <x/>
    </i>
    <i r="1">
      <x/>
    </i>
    <i r="1">
      <x v="1"/>
    </i>
    <i r="1">
      <x v="2"/>
    </i>
    <i r="1">
      <x v="3"/>
    </i>
    <i r="1">
      <x v="4"/>
    </i>
    <i r="1">
      <x v="5"/>
    </i>
    <i r="1">
      <x v="6"/>
    </i>
    <i r="1">
      <x v="8"/>
    </i>
    <i r="1">
      <x v="9"/>
    </i>
    <i r="1">
      <x v="10"/>
    </i>
    <i r="1">
      <x v="12"/>
    </i>
    <i r="1">
      <x v="14"/>
    </i>
    <i r="1">
      <x v="15"/>
    </i>
    <i r="1">
      <x v="17"/>
    </i>
    <i r="1">
      <x v="18"/>
    </i>
    <i r="1">
      <x v="19"/>
    </i>
    <i r="1">
      <x v="20"/>
    </i>
    <i r="1">
      <x v="21"/>
    </i>
    <i r="1">
      <x v="22"/>
    </i>
    <i r="1">
      <x v="23"/>
    </i>
    <i r="1">
      <x v="24"/>
    </i>
    <i r="1">
      <x v="25"/>
    </i>
    <i r="1">
      <x v="26"/>
    </i>
    <i r="1">
      <x v="27"/>
    </i>
    <i r="1">
      <x v="28"/>
    </i>
    <i r="1">
      <x v="29"/>
    </i>
    <i r="1">
      <x v="30"/>
    </i>
    <i r="1">
      <x v="31"/>
    </i>
    <i r="1">
      <x v="32"/>
    </i>
    <i r="1">
      <x v="33"/>
    </i>
    <i t="default">
      <x/>
    </i>
    <i t="grand">
      <x/>
    </i>
  </rowItems>
  <colFields count="1">
    <field x="-2"/>
  </colFields>
  <colItems count="3">
    <i>
      <x/>
    </i>
    <i i="1">
      <x v="1"/>
    </i>
    <i i="2">
      <x v="2"/>
    </i>
  </colItems>
  <pageFields count="1">
    <pageField fld="0" item="11" hier="-1"/>
  </pageFields>
  <dataFields count="3">
    <dataField name="Sum of Watch Manager" fld="5" baseField="1" baseItem="0"/>
    <dataField name="Sum of Crew Manager" fld="6" baseField="1" baseItem="0"/>
    <dataField name="Sum of Firefighter" fld="7"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4B00-000000000000}" name="PivotTable5" cacheId="1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5" firstHeaderRow="0" firstDataRow="1" firstDataCol="1" rowPageCount="1" colPageCount="1"/>
  <pivotFields count="11">
    <pivotField axis="axisPage" subtotalTop="0" showAll="0">
      <items count="12">
        <item x="0"/>
        <item x="1"/>
        <item x="2"/>
        <item x="3"/>
        <item x="4"/>
        <item x="5"/>
        <item x="6"/>
        <item x="7"/>
        <item x="8"/>
        <item x="9"/>
        <item x="10"/>
        <item t="default"/>
      </items>
    </pivotField>
    <pivotField axis="axisRow" subtotalTop="0" showAll="0">
      <items count="3">
        <item x="0"/>
        <item m="1" x="1"/>
        <item t="default"/>
      </items>
    </pivotField>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2">
    <i>
      <x/>
    </i>
    <i t="grand">
      <x/>
    </i>
  </rowItems>
  <colFields count="1">
    <field x="-2"/>
  </colFields>
  <colItems count="6">
    <i>
      <x/>
    </i>
    <i i="1">
      <x v="1"/>
    </i>
    <i i="2">
      <x v="2"/>
    </i>
    <i i="3">
      <x v="3"/>
    </i>
    <i i="4">
      <x v="4"/>
    </i>
    <i i="5">
      <x v="5"/>
    </i>
  </colItems>
  <pageFields count="1">
    <pageField fld="0" item="10" hier="-1"/>
  </pageFields>
  <dataFields count="6">
    <dataField name="Sum of Area Manager" fld="5" baseField="1" baseItem="0"/>
    <dataField name="Sum of Group Manager" fld="6" baseField="0" baseItem="0"/>
    <dataField name="Sum of Station Manager" fld="7" baseField="0" baseItem="0"/>
    <dataField name="Sum of Watch Manager" fld="8" baseField="0" baseItem="0"/>
    <dataField name="Sum of Crew Manager" fld="9" baseField="0" baseItem="0"/>
    <dataField name="Sum of Control Operator"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4D00-000000000000}" name="PivotTable6" cacheId="2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I5" firstHeaderRow="0" firstDataRow="1" firstDataCol="1" rowPageCount="1" colPageCount="1"/>
  <pivotFields count="12">
    <pivotField axis="axisPage" subtotalTop="0" showAll="0">
      <items count="12">
        <item x="0"/>
        <item x="1"/>
        <item x="2"/>
        <item x="3"/>
        <item x="4"/>
        <item x="5"/>
        <item x="6"/>
        <item x="7"/>
        <item x="8"/>
        <item x="9"/>
        <item x="10"/>
        <item t="default"/>
      </items>
    </pivotField>
    <pivotField subtotalTop="0" showAll="0"/>
    <pivotField axis="axisRow" subtotalTop="0" showAll="0">
      <items count="5">
        <item m="1" x="2"/>
        <item m="1" x="3"/>
        <item x="0"/>
        <item m="1" x="1"/>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2"/>
  </rowFields>
  <rowItems count="2">
    <i>
      <x v="2"/>
    </i>
    <i t="grand">
      <x/>
    </i>
  </rowItems>
  <colFields count="1">
    <field x="-2"/>
  </colFields>
  <colItems count="8">
    <i>
      <x/>
    </i>
    <i i="1">
      <x v="1"/>
    </i>
    <i i="2">
      <x v="2"/>
    </i>
    <i i="3">
      <x v="3"/>
    </i>
    <i i="4">
      <x v="4"/>
    </i>
    <i i="5">
      <x v="5"/>
    </i>
    <i i="6">
      <x v="6"/>
    </i>
    <i i="7">
      <x v="7"/>
    </i>
  </colItems>
  <pageFields count="1">
    <pageField fld="0" item="10" hier="-1"/>
  </pageFields>
  <dataFields count="8">
    <dataField name="Sum of Director" fld="4" baseField="2" baseItem="0"/>
    <dataField name="Sum of Service Manager" fld="5" baseField="2" baseItem="0"/>
    <dataField name="Sum of Team Leader" fld="6" baseField="2" baseItem="0"/>
    <dataField name="Sum of Professional" fld="7" baseField="2" baseItem="0"/>
    <dataField name="Sum of Specialist Technical" fld="8" baseField="2" baseItem="0"/>
    <dataField name="Sum of Tech Support" fld="9" baseField="2" baseItem="0"/>
    <dataField name="Sum of Administration" fld="10" baseField="2" baseItem="0"/>
    <dataField name="Sum of Total"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AF93B760-F154-4B84-BD8B-80032FC68DAA}" name="PivotTable1"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5:N20" firstHeaderRow="0" firstDataRow="1" firstDataCol="1"/>
  <pivotFields count="13">
    <pivotField axis="axisRow" showAll="0">
      <items count="15">
        <item x="0"/>
        <item x="2"/>
        <item x="4"/>
        <item x="7"/>
        <item x="8"/>
        <item x="9"/>
        <item x="10"/>
        <item x="1"/>
        <item x="12"/>
        <item x="13"/>
        <item x="3"/>
        <item x="5"/>
        <item x="6"/>
        <item x="1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5">
    <i>
      <x/>
    </i>
    <i>
      <x v="1"/>
    </i>
    <i>
      <x v="2"/>
    </i>
    <i>
      <x v="3"/>
    </i>
    <i>
      <x v="4"/>
    </i>
    <i>
      <x v="5"/>
    </i>
    <i>
      <x v="6"/>
    </i>
    <i>
      <x v="7"/>
    </i>
    <i>
      <x v="8"/>
    </i>
    <i>
      <x v="9"/>
    </i>
    <i>
      <x v="10"/>
    </i>
    <i>
      <x v="11"/>
    </i>
    <i>
      <x v="12"/>
    </i>
    <i>
      <x v="13"/>
    </i>
    <i t="grand">
      <x/>
    </i>
  </rowItems>
  <colFields count="1">
    <field x="-2"/>
  </colFields>
  <colItems count="12">
    <i>
      <x/>
    </i>
    <i i="1">
      <x v="1"/>
    </i>
    <i i="2">
      <x v="2"/>
    </i>
    <i i="3">
      <x v="3"/>
    </i>
    <i i="4">
      <x v="4"/>
    </i>
    <i i="5">
      <x v="5"/>
    </i>
    <i i="6">
      <x v="6"/>
    </i>
    <i i="7">
      <x v="7"/>
    </i>
    <i i="8">
      <x v="8"/>
    </i>
    <i i="9">
      <x v="9"/>
    </i>
    <i i="10">
      <x v="10"/>
    </i>
    <i i="11">
      <x v="11"/>
    </i>
  </colItems>
  <dataFields count="12">
    <dataField name="Sum of WTFemale" fld="1" baseField="0" baseItem="0"/>
    <dataField name="Sum of WTMale" fld="2" baseField="0" baseItem="0"/>
    <dataField name="Sum of RDSFemale" fld="3" baseField="0" baseItem="0"/>
    <dataField name="Sum of RDSMale" fld="4" baseField="0" baseItem="0"/>
    <dataField name="Sum of RDS FulltimeFemale" fld="5" baseField="0" baseItem="0"/>
    <dataField name="Sum of RDS FulltimeMale" fld="6" baseField="0" baseItem="0"/>
    <dataField name="Sum of ControlFemale" fld="7" baseField="0" baseItem="0"/>
    <dataField name="Sum of ControlMale" fld="8" baseField="0" baseItem="0"/>
    <dataField name="Sum of SupportFemale" fld="9" baseField="0" baseItem="0"/>
    <dataField name="Sum of SupportMale" fld="10" baseField="0" baseItem="0"/>
    <dataField name="Sum of VolFemale" fld="11" baseField="0" baseItem="0"/>
    <dataField name="Sum of VolMale"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5100-000000000000}" name="PivotTable7" cacheId="2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10" firstHeaderRow="0" firstDataRow="1" firstDataCol="1" rowPageCount="1" colPageCount="1"/>
  <pivotFields count="5">
    <pivotField axis="axisPage" subtotalTop="0" showAll="0">
      <items count="12">
        <item x="0"/>
        <item x="1"/>
        <item x="2"/>
        <item x="8"/>
        <item x="10"/>
        <item x="3"/>
        <item x="4"/>
        <item x="5"/>
        <item x="9"/>
        <item x="6"/>
        <item x="7"/>
        <item t="default"/>
      </items>
    </pivotField>
    <pivotField axis="axisRow" subtotalTop="0" showAll="0">
      <items count="7">
        <item x="1"/>
        <item x="5"/>
        <item x="4"/>
        <item x="0"/>
        <item x="2"/>
        <item x="3"/>
        <item t="default"/>
      </items>
    </pivotField>
    <pivotField dataField="1" subtotalTop="0" showAll="0"/>
    <pivotField dataField="1" subtotalTop="0" showAll="0"/>
    <pivotField dataField="1" subtotalTop="0" showAll="0"/>
  </pivotFields>
  <rowFields count="1">
    <field x="1"/>
  </rowFields>
  <rowItems count="7">
    <i>
      <x/>
    </i>
    <i>
      <x v="1"/>
    </i>
    <i>
      <x v="2"/>
    </i>
    <i>
      <x v="3"/>
    </i>
    <i>
      <x v="4"/>
    </i>
    <i>
      <x v="5"/>
    </i>
    <i t="grand">
      <x/>
    </i>
  </rowItems>
  <colFields count="1">
    <field x="-2"/>
  </colFields>
  <colItems count="3">
    <i>
      <x/>
    </i>
    <i i="1">
      <x v="1"/>
    </i>
    <i i="2">
      <x v="2"/>
    </i>
  </colItems>
  <pageFields count="1">
    <pageField fld="0" item="10" hier="-1"/>
  </pageFields>
  <dataFields count="3">
    <dataField name="Sum of Female" fld="3" baseField="0" baseItem="0"/>
    <dataField name="Sum of Male" fld="4"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5800-000000000000}" name="PivotTable1" cacheId="65"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44" firstHeaderRow="0" firstDataRow="1" firstDataCol="1" rowPageCount="1" colPageCount="1"/>
  <pivotFields count="6">
    <pivotField axis="axisPage" subtotalTop="0" showAll="0">
      <items count="12">
        <item x="0"/>
        <item x="1"/>
        <item x="2"/>
        <item x="3"/>
        <item x="4"/>
        <item x="5"/>
        <item x="10"/>
        <item x="6"/>
        <item x="7"/>
        <item x="8"/>
        <item x="9"/>
        <item t="default"/>
      </items>
    </pivotField>
    <pivotField axis="axisRow" subtotalTop="0" showAll="0">
      <items count="7">
        <item x="3"/>
        <item x="0"/>
        <item x="5"/>
        <item x="1"/>
        <item x="2"/>
        <item x="4"/>
        <item t="default"/>
      </items>
    </pivotField>
    <pivotField axis="axisRow" subtotalTop="0" showAll="0" sortType="ascending">
      <items count="18">
        <item x="11"/>
        <item x="6"/>
        <item x="10"/>
        <item x="0"/>
        <item x="13"/>
        <item x="1"/>
        <item x="5"/>
        <item x="2"/>
        <item x="12"/>
        <item x="7"/>
        <item x="9"/>
        <item x="3"/>
        <item x="8"/>
        <item m="1" x="16"/>
        <item x="4"/>
        <item x="14"/>
        <item m="1" x="15"/>
        <item t="default"/>
      </items>
      <autoSortScope>
        <pivotArea dataOnly="0" outline="0" fieldPosition="0">
          <references count="1">
            <reference field="4294967294" count="1" selected="0">
              <x v="0"/>
            </reference>
          </references>
        </pivotArea>
      </autoSortScope>
    </pivotField>
    <pivotField dataField="1" subtotalTop="0" showAll="0"/>
    <pivotField dataField="1" subtotalTop="0" showAll="0"/>
    <pivotField dataField="1" subtotalTop="0" showAll="0"/>
  </pivotFields>
  <rowFields count="2">
    <field x="1"/>
    <field x="2"/>
  </rowFields>
  <rowItems count="41">
    <i>
      <x/>
    </i>
    <i r="1">
      <x v="1"/>
    </i>
    <i r="1">
      <x v="6"/>
    </i>
    <i r="1">
      <x v="10"/>
    </i>
    <i r="1">
      <x v="3"/>
    </i>
    <i r="1">
      <x v="14"/>
    </i>
    <i r="1">
      <x v="5"/>
    </i>
    <i t="default">
      <x/>
    </i>
    <i>
      <x v="1"/>
    </i>
    <i r="1">
      <x v="14"/>
    </i>
    <i r="1">
      <x v="3"/>
    </i>
    <i r="1">
      <x v="5"/>
    </i>
    <i t="default">
      <x v="1"/>
    </i>
    <i>
      <x v="2"/>
    </i>
    <i r="1">
      <x v="3"/>
    </i>
    <i r="1">
      <x v="14"/>
    </i>
    <i t="default">
      <x v="2"/>
    </i>
    <i>
      <x v="3"/>
    </i>
    <i r="1">
      <x v="4"/>
    </i>
    <i r="1">
      <x v="12"/>
    </i>
    <i r="1">
      <x v="11"/>
    </i>
    <i r="1">
      <x v="8"/>
    </i>
    <i r="1">
      <x v="7"/>
    </i>
    <i r="1">
      <x/>
    </i>
    <i r="1">
      <x v="9"/>
    </i>
    <i t="default">
      <x v="3"/>
    </i>
    <i>
      <x v="4"/>
    </i>
    <i r="1">
      <x v="14"/>
    </i>
    <i r="1">
      <x v="3"/>
    </i>
    <i r="1">
      <x v="5"/>
    </i>
    <i t="default">
      <x v="4"/>
    </i>
    <i>
      <x v="5"/>
    </i>
    <i r="1">
      <x v="2"/>
    </i>
    <i r="1">
      <x v="1"/>
    </i>
    <i r="1">
      <x v="6"/>
    </i>
    <i r="1">
      <x v="10"/>
    </i>
    <i r="1">
      <x v="14"/>
    </i>
    <i r="1">
      <x v="3"/>
    </i>
    <i r="1">
      <x v="5"/>
    </i>
    <i t="default">
      <x v="5"/>
    </i>
    <i t="grand">
      <x/>
    </i>
  </rowItems>
  <colFields count="1">
    <field x="-2"/>
  </colFields>
  <colItems count="3">
    <i>
      <x/>
    </i>
    <i i="1">
      <x v="1"/>
    </i>
    <i i="2">
      <x v="2"/>
    </i>
  </colItems>
  <pageFields count="1">
    <pageField fld="0" item="10" hier="-1"/>
  </pageFields>
  <dataFields count="3">
    <dataField name="Sum of Female" fld="4" baseField="0" baseItem="0"/>
    <dataField name="Sum of Male" fld="5" baseField="0"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5B00-000000000000}" name="PivotTable8" cacheId="66"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D39" firstHeaderRow="0" firstDataRow="1" firstDataCol="1" rowPageCount="1" colPageCount="1"/>
  <pivotFields count="6">
    <pivotField axis="axisPage" subtotalTop="0" showAll="0">
      <items count="12">
        <item x="0"/>
        <item x="1"/>
        <item x="2"/>
        <item x="3"/>
        <item x="4"/>
        <item x="5"/>
        <item x="6"/>
        <item x="10"/>
        <item x="7"/>
        <item x="8"/>
        <item x="9"/>
        <item t="default"/>
      </items>
    </pivotField>
    <pivotField axis="axisRow" subtotalTop="0" showAll="0">
      <items count="6">
        <item x="2"/>
        <item x="3"/>
        <item x="4"/>
        <item x="0"/>
        <item x="1"/>
        <item t="default"/>
      </items>
    </pivotField>
    <pivotField axis="axisRow" subtotalTop="0" showAll="0">
      <items count="17">
        <item x="0"/>
        <item x="2"/>
        <item x="12"/>
        <item x="11"/>
        <item x="13"/>
        <item x="8"/>
        <item x="3"/>
        <item x="1"/>
        <item x="9"/>
        <item x="10"/>
        <item x="4"/>
        <item x="6"/>
        <item x="7"/>
        <item x="5"/>
        <item x="14"/>
        <item m="1" x="15"/>
        <item t="default"/>
      </items>
    </pivotField>
    <pivotField dataField="1" subtotalTop="0" showAll="0"/>
    <pivotField dataField="1" subtotalTop="0" showAll="0"/>
    <pivotField dataField="1" subtotalTop="0" showAll="0"/>
  </pivotFields>
  <rowFields count="2">
    <field x="1"/>
    <field x="2"/>
  </rowFields>
  <rowItems count="36">
    <i>
      <x/>
    </i>
    <i r="1">
      <x v="1"/>
    </i>
    <i r="1">
      <x v="3"/>
    </i>
    <i r="1">
      <x v="5"/>
    </i>
    <i r="1">
      <x v="6"/>
    </i>
    <i r="1">
      <x v="10"/>
    </i>
    <i r="1">
      <x v="13"/>
    </i>
    <i t="default">
      <x/>
    </i>
    <i>
      <x v="1"/>
    </i>
    <i r="1">
      <x v="3"/>
    </i>
    <i r="1">
      <x v="5"/>
    </i>
    <i r="1">
      <x v="13"/>
    </i>
    <i t="default">
      <x v="1"/>
    </i>
    <i>
      <x v="2"/>
    </i>
    <i r="1">
      <x v="3"/>
    </i>
    <i r="1">
      <x v="13"/>
    </i>
    <i t="default">
      <x v="2"/>
    </i>
    <i>
      <x v="3"/>
    </i>
    <i r="1">
      <x/>
    </i>
    <i r="1">
      <x v="4"/>
    </i>
    <i r="1">
      <x v="7"/>
    </i>
    <i r="1">
      <x v="8"/>
    </i>
    <i r="1">
      <x v="9"/>
    </i>
    <i r="1">
      <x v="11"/>
    </i>
    <i r="1">
      <x v="12"/>
    </i>
    <i t="default">
      <x v="3"/>
    </i>
    <i>
      <x v="4"/>
    </i>
    <i r="1">
      <x v="1"/>
    </i>
    <i r="1">
      <x v="2"/>
    </i>
    <i r="1">
      <x v="3"/>
    </i>
    <i r="1">
      <x v="5"/>
    </i>
    <i r="1">
      <x v="6"/>
    </i>
    <i r="1">
      <x v="10"/>
    </i>
    <i r="1">
      <x v="13"/>
    </i>
    <i t="default">
      <x v="4"/>
    </i>
    <i t="grand">
      <x/>
    </i>
  </rowItems>
  <colFields count="1">
    <field x="-2"/>
  </colFields>
  <colItems count="3">
    <i>
      <x/>
    </i>
    <i i="1">
      <x v="1"/>
    </i>
    <i i="2">
      <x v="2"/>
    </i>
  </colItems>
  <pageFields count="1">
    <pageField fld="0" item="10" hier="-1"/>
  </pageFields>
  <dataFields count="3">
    <dataField name="Sum of Female" fld="4" baseField="1" baseItem="0"/>
    <dataField name="Sum of Male" fld="5" baseField="1"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5F00-000000000000}" name="PivotTable3" cacheId="58"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17" firstHeaderRow="0" firstDataRow="1" firstDataCol="1" rowPageCount="1" colPageCount="1"/>
  <pivotFields count="8">
    <pivotField axis="axisPage" subtotalTop="0" showAll="0">
      <items count="12">
        <item x="7"/>
        <item x="8"/>
        <item x="0"/>
        <item x="1"/>
        <item x="2"/>
        <item x="10"/>
        <item x="3"/>
        <item x="4"/>
        <item x="5"/>
        <item x="6"/>
        <item x="9"/>
        <item t="default"/>
      </items>
    </pivotField>
    <pivotField axis="axisRow" showAll="0">
      <items count="19">
        <item x="10"/>
        <item x="14"/>
        <item x="0"/>
        <item x="12"/>
        <item x="17"/>
        <item x="9"/>
        <item x="1"/>
        <item x="7"/>
        <item x="4"/>
        <item x="5"/>
        <item x="15"/>
        <item x="2"/>
        <item x="11"/>
        <item x="8"/>
        <item x="13"/>
        <item x="16"/>
        <item x="6"/>
        <item x="3"/>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14">
    <i>
      <x/>
    </i>
    <i>
      <x v="2"/>
    </i>
    <i>
      <x v="3"/>
    </i>
    <i>
      <x v="5"/>
    </i>
    <i>
      <x v="6"/>
    </i>
    <i>
      <x v="7"/>
    </i>
    <i>
      <x v="8"/>
    </i>
    <i>
      <x v="9"/>
    </i>
    <i>
      <x v="11"/>
    </i>
    <i>
      <x v="12"/>
    </i>
    <i>
      <x v="14"/>
    </i>
    <i>
      <x v="16"/>
    </i>
    <i>
      <x v="17"/>
    </i>
    <i t="grand">
      <x/>
    </i>
  </rowItems>
  <colFields count="1">
    <field x="-2"/>
  </colFields>
  <colItems count="6">
    <i>
      <x/>
    </i>
    <i i="1">
      <x v="1"/>
    </i>
    <i i="2">
      <x v="2"/>
    </i>
    <i i="3">
      <x v="3"/>
    </i>
    <i i="4">
      <x v="4"/>
    </i>
    <i i="5">
      <x v="5"/>
    </i>
  </colItems>
  <pageFields count="1">
    <pageField fld="0" item="10" hier="-1"/>
  </pageFields>
  <dataFields count="6">
    <dataField name="Sum of Wholetime Operational" fld="2" baseField="7" baseItem="0"/>
    <dataField name="Sum of Retained Duty System" fld="3" baseField="7" baseItem="0"/>
    <dataField name="Sum of Retained Full-time" fld="4" baseField="7" baseItem="0"/>
    <dataField name="Sum of Control" fld="5" baseField="7" baseItem="0"/>
    <dataField name="Sum of Support Staff" fld="6" baseField="7" baseItem="0"/>
    <dataField name="Sum of Volunteer" fld="7" baseField="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25EB275-92D3-401A-8729-D1225F234151}" name="PivotTable1" cacheId="4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C4:AH12" firstHeaderRow="1" firstDataRow="3" firstDataCol="1"/>
  <pivotFields count="4">
    <pivotField axis="axisRow" showAll="0">
      <items count="6">
        <item x="2"/>
        <item x="0"/>
        <item x="1"/>
        <item x="3"/>
        <item x="4"/>
        <item t="default"/>
      </items>
    </pivotField>
    <pivotField axis="axisCol" showAll="0">
      <items count="6">
        <item x="2"/>
        <item x="3"/>
        <item x="0"/>
        <item x="1"/>
        <item x="4"/>
        <item t="default"/>
      </items>
    </pivotField>
    <pivotField axis="axisCol" showAll="0">
      <items count="26">
        <item x="1"/>
        <item x="2"/>
        <item x="10"/>
        <item x="3"/>
        <item x="11"/>
        <item x="4"/>
        <item x="5"/>
        <item x="12"/>
        <item x="6"/>
        <item x="21"/>
        <item x="14"/>
        <item x="18"/>
        <item x="7"/>
        <item x="8"/>
        <item x="22"/>
        <item x="23"/>
        <item x="9"/>
        <item x="19"/>
        <item x="15"/>
        <item x="20"/>
        <item x="0"/>
        <item x="13"/>
        <item x="16"/>
        <item x="17"/>
        <item x="24"/>
        <item t="default"/>
      </items>
    </pivotField>
    <pivotField dataField="1" showAll="0"/>
  </pivotFields>
  <rowFields count="1">
    <field x="0"/>
  </rowFields>
  <rowItems count="6">
    <i>
      <x/>
    </i>
    <i>
      <x v="1"/>
    </i>
    <i>
      <x v="2"/>
    </i>
    <i>
      <x v="3"/>
    </i>
    <i>
      <x v="4"/>
    </i>
    <i t="grand">
      <x/>
    </i>
  </rowItems>
  <colFields count="2">
    <field x="1"/>
    <field x="2"/>
  </colFields>
  <colItems count="31">
    <i>
      <x/>
      <x v="2"/>
    </i>
    <i r="1">
      <x v="4"/>
    </i>
    <i r="1">
      <x v="7"/>
    </i>
    <i r="1">
      <x v="10"/>
    </i>
    <i r="1">
      <x v="18"/>
    </i>
    <i r="1">
      <x v="21"/>
    </i>
    <i t="default">
      <x/>
    </i>
    <i>
      <x v="1"/>
      <x v="11"/>
    </i>
    <i r="1">
      <x v="17"/>
    </i>
    <i r="1">
      <x v="19"/>
    </i>
    <i r="1">
      <x v="22"/>
    </i>
    <i r="1">
      <x v="23"/>
    </i>
    <i t="default">
      <x v="1"/>
    </i>
    <i>
      <x v="2"/>
      <x v="20"/>
    </i>
    <i t="default">
      <x v="2"/>
    </i>
    <i>
      <x v="3"/>
      <x/>
    </i>
    <i r="1">
      <x v="1"/>
    </i>
    <i r="1">
      <x v="3"/>
    </i>
    <i r="1">
      <x v="5"/>
    </i>
    <i r="1">
      <x v="6"/>
    </i>
    <i r="1">
      <x v="8"/>
    </i>
    <i r="1">
      <x v="12"/>
    </i>
    <i r="1">
      <x v="13"/>
    </i>
    <i r="1">
      <x v="16"/>
    </i>
    <i t="default">
      <x v="3"/>
    </i>
    <i>
      <x v="4"/>
      <x v="9"/>
    </i>
    <i r="1">
      <x v="14"/>
    </i>
    <i r="1">
      <x v="15"/>
    </i>
    <i r="1">
      <x v="24"/>
    </i>
    <i t="default">
      <x v="4"/>
    </i>
    <i t="grand">
      <x/>
    </i>
  </colItems>
  <dataFields count="1">
    <dataField name="Sum of Value"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6300-000000000000}" name="PivotTable1" cacheId="2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F13" firstHeaderRow="0" firstDataRow="1" firstDataCol="1" rowPageCount="1" colPageCount="1"/>
  <pivotFields count="7">
    <pivotField axis="axisPage" subtotalTop="0" showAll="0">
      <items count="8">
        <item x="3"/>
        <item x="4"/>
        <item x="0"/>
        <item x="1"/>
        <item x="5"/>
        <item x="6"/>
        <item x="2"/>
        <item t="default"/>
      </items>
    </pivotField>
    <pivotField axis="axisRow" subtotalTop="0" showAll="0">
      <items count="12">
        <item x="0"/>
        <item x="6"/>
        <item x="8"/>
        <item x="5"/>
        <item x="3"/>
        <item x="4"/>
        <item x="1"/>
        <item x="2"/>
        <item x="7"/>
        <item m="1" x="9"/>
        <item m="1" x="10"/>
        <item t="default"/>
      </items>
    </pivotField>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10">
    <i>
      <x/>
    </i>
    <i>
      <x v="1"/>
    </i>
    <i>
      <x v="2"/>
    </i>
    <i>
      <x v="3"/>
    </i>
    <i>
      <x v="4"/>
    </i>
    <i>
      <x v="5"/>
    </i>
    <i>
      <x v="6"/>
    </i>
    <i>
      <x v="7"/>
    </i>
    <i>
      <x v="8"/>
    </i>
    <i t="grand">
      <x/>
    </i>
  </rowItems>
  <colFields count="1">
    <field x="-2"/>
  </colFields>
  <colItems count="5">
    <i>
      <x/>
    </i>
    <i i="1">
      <x v="1"/>
    </i>
    <i i="2">
      <x v="2"/>
    </i>
    <i i="3">
      <x v="3"/>
    </i>
    <i i="4">
      <x v="4"/>
    </i>
  </colItems>
  <pageFields count="1">
    <pageField fld="0" item="6" hier="-1"/>
  </pageFields>
  <dataFields count="5">
    <dataField name="Sum of Wholetime Operational" fld="2" baseField="0" baseItem="0"/>
    <dataField name="Sum of Retained Duty System" fld="3" baseField="0" baseItem="0"/>
    <dataField name="Sum of Retained Full-time" fld="4" baseField="1" baseItem="6"/>
    <dataField name="Sum of Control" fld="5" baseField="0" baseItem="0"/>
    <dataField name="Sum of Volunteer"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539C9363-E354-40BD-AF1C-730C20592217}" name="PivotTable9" cacheId="2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AE20" firstHeaderRow="1" firstDataRow="3" firstDataCol="1"/>
  <pivotFields count="5">
    <pivotField axis="axisRow" showAll="0">
      <items count="15">
        <item x="0"/>
        <item x="1"/>
        <item x="2"/>
        <item x="3"/>
        <item x="4"/>
        <item x="5"/>
        <item x="6"/>
        <item x="7"/>
        <item x="8"/>
        <item x="9"/>
        <item x="10"/>
        <item x="11"/>
        <item x="12"/>
        <item x="13"/>
        <item t="default"/>
      </items>
    </pivotField>
    <pivotField axis="axisCol" showAll="0">
      <items count="10">
        <item x="0"/>
        <item x="1"/>
        <item x="7"/>
        <item x="2"/>
        <item x="3"/>
        <item x="4"/>
        <item x="5"/>
        <item x="6"/>
        <item x="8"/>
        <item t="default"/>
      </items>
    </pivotField>
    <pivotField dataField="1" showAll="0"/>
    <pivotField dataField="1" showAll="0"/>
    <pivotField dataField="1" showAll="0"/>
  </pivotFields>
  <rowFields count="1">
    <field x="0"/>
  </rowFields>
  <rowItems count="15">
    <i>
      <x/>
    </i>
    <i>
      <x v="1"/>
    </i>
    <i>
      <x v="2"/>
    </i>
    <i>
      <x v="3"/>
    </i>
    <i>
      <x v="4"/>
    </i>
    <i>
      <x v="5"/>
    </i>
    <i>
      <x v="6"/>
    </i>
    <i>
      <x v="7"/>
    </i>
    <i>
      <x v="8"/>
    </i>
    <i>
      <x v="9"/>
    </i>
    <i>
      <x v="10"/>
    </i>
    <i>
      <x v="11"/>
    </i>
    <i>
      <x v="12"/>
    </i>
    <i>
      <x v="13"/>
    </i>
    <i t="grand">
      <x/>
    </i>
  </rowItems>
  <colFields count="2">
    <field x="1"/>
    <field x="-2"/>
  </colFields>
  <colItems count="30">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t="grand">
      <x/>
    </i>
    <i t="grand" i="1">
      <x/>
    </i>
    <i t="grand" i="2">
      <x/>
    </i>
  </colItems>
  <dataFields count="3">
    <dataField name="Sum of White" fld="2" baseField="0" baseItem="0"/>
    <dataField name="Sum of Ethnic Minority" fld="3" baseField="0" baseItem="0"/>
    <dataField name="Sum of Not Stat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64C9A151-4C59-442A-9F0A-614497B77E41}" name="PivotTable1" cacheId="2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I15" firstHeaderRow="0" firstDataRow="1" firstDataCol="1"/>
  <pivotFields count="9">
    <pivotField axis="axisRow" showAll="0">
      <items count="14">
        <item x="0"/>
        <item x="1"/>
        <item x="2"/>
        <item x="3"/>
        <item x="4"/>
        <item x="5"/>
        <item x="6"/>
        <item x="7"/>
        <item x="8"/>
        <item x="9"/>
        <item x="10"/>
        <item x="11"/>
        <item x="1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4">
    <i>
      <x/>
    </i>
    <i>
      <x v="1"/>
    </i>
    <i>
      <x v="2"/>
    </i>
    <i>
      <x v="3"/>
    </i>
    <i>
      <x v="4"/>
    </i>
    <i>
      <x v="5"/>
    </i>
    <i>
      <x v="6"/>
    </i>
    <i>
      <x v="7"/>
    </i>
    <i>
      <x v="8"/>
    </i>
    <i>
      <x v="9"/>
    </i>
    <i>
      <x v="10"/>
    </i>
    <i>
      <x v="11"/>
    </i>
    <i>
      <x v="12"/>
    </i>
    <i t="grand">
      <x/>
    </i>
  </rowItems>
  <colFields count="1">
    <field x="-2"/>
  </colFields>
  <colItems count="8">
    <i>
      <x/>
    </i>
    <i i="1">
      <x v="1"/>
    </i>
    <i i="2">
      <x v="2"/>
    </i>
    <i i="3">
      <x v="3"/>
    </i>
    <i i="4">
      <x v="4"/>
    </i>
    <i i="5">
      <x v="5"/>
    </i>
    <i i="6">
      <x v="6"/>
    </i>
    <i i="7">
      <x v="7"/>
    </i>
  </colItems>
  <dataFields count="8">
    <dataField name="Sum of Wholetime Operational" fld="1" baseField="0" baseItem="0"/>
    <dataField name="Sum of Retained Duty System" fld="2" baseField="0" baseItem="0"/>
    <dataField name="Sum of Retained Fulltime" fld="3" baseField="0" baseItem="0"/>
    <dataField name="Sum of Control" fld="4" baseField="0" baseItem="0"/>
    <dataField name="Sum of Support" fld="5" baseField="0" baseItem="0"/>
    <dataField name="Sum of Volunteer" fld="6" baseField="0" baseItem="0"/>
    <dataField name="Sum of Total" fld="7" baseField="0" baseItem="0"/>
    <dataField name="Sum of Total (excluding volunter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A73E3440-D7D4-4BA7-AF68-F98A6256E087}" name="PivotTable2" cacheId="2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7:I38" firstHeaderRow="0" firstDataRow="1" firstDataCol="1"/>
  <pivotFields count="9">
    <pivotField axis="axisRow" showAll="0">
      <items count="11">
        <item x="0"/>
        <item x="1"/>
        <item x="2"/>
        <item x="3"/>
        <item x="4"/>
        <item x="5"/>
        <item x="6"/>
        <item x="7"/>
        <item x="8"/>
        <item x="9"/>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1">
    <i>
      <x/>
    </i>
    <i>
      <x v="1"/>
    </i>
    <i>
      <x v="2"/>
    </i>
    <i>
      <x v="3"/>
    </i>
    <i>
      <x v="4"/>
    </i>
    <i>
      <x v="5"/>
    </i>
    <i>
      <x v="6"/>
    </i>
    <i>
      <x v="7"/>
    </i>
    <i>
      <x v="8"/>
    </i>
    <i>
      <x v="9"/>
    </i>
    <i t="grand">
      <x/>
    </i>
  </rowItems>
  <colFields count="1">
    <field x="-2"/>
  </colFields>
  <colItems count="8">
    <i>
      <x/>
    </i>
    <i i="1">
      <x v="1"/>
    </i>
    <i i="2">
      <x v="2"/>
    </i>
    <i i="3">
      <x v="3"/>
    </i>
    <i i="4">
      <x v="4"/>
    </i>
    <i i="5">
      <x v="5"/>
    </i>
    <i i="6">
      <x v="6"/>
    </i>
    <i i="7">
      <x v="7"/>
    </i>
  </colItems>
  <dataFields count="8">
    <dataField name="Sum of Wholetime Operational" fld="1" baseField="0" baseItem="0"/>
    <dataField name="Sum of Retained Duty System" fld="2" baseField="0" baseItem="0"/>
    <dataField name="Sum of Retained Fulltime" fld="3" baseField="0" baseItem="0"/>
    <dataField name="Sum of Control" fld="4" baseField="0" baseItem="0"/>
    <dataField name="Sum of Support" fld="5" baseField="0" baseItem="0"/>
    <dataField name="Sum of Volunteer" fld="6" baseField="0" baseItem="0"/>
    <dataField name="Sum of Total" fld="7" baseField="0" baseItem="0"/>
    <dataField name="Sum of Total (excluding volunter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25F4B9AF-ADCF-4F84-8F9C-A50F3EF002A7}" name="PivotTable10" cacheId="28"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6:F40" firstHeaderRow="0" firstDataRow="1" firstDataCol="1" rowPageCount="1" colPageCount="1"/>
  <pivotFields count="7">
    <pivotField axis="axisPage" multipleItemSelectionAllowed="1" showAll="0">
      <items count="7">
        <item h="1" x="0"/>
        <item h="1" x="1"/>
        <item h="1" x="2"/>
        <item h="1" x="3"/>
        <item h="1" x="5"/>
        <item x="4"/>
        <item t="default"/>
      </items>
    </pivotField>
    <pivotField axis="axisRow" subtotalTop="0" showAll="0">
      <items count="4">
        <item x="0"/>
        <item x="1"/>
        <item x="2"/>
        <item t="default"/>
      </items>
    </pivotField>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4">
    <i>
      <x/>
    </i>
    <i>
      <x v="1"/>
    </i>
    <i>
      <x v="2"/>
    </i>
    <i t="grand">
      <x/>
    </i>
  </rowItems>
  <colFields count="1">
    <field x="-2"/>
  </colFields>
  <colItems count="5">
    <i>
      <x/>
    </i>
    <i i="1">
      <x v="1"/>
    </i>
    <i i="2">
      <x v="2"/>
    </i>
    <i i="3">
      <x v="3"/>
    </i>
    <i i="4">
      <x v="4"/>
    </i>
  </colItems>
  <pageFields count="1">
    <pageField fld="0" hier="-1"/>
  </pageFields>
  <dataFields count="5">
    <dataField name="Sum of RDS" fld="3" baseField="0" baseItem="0"/>
    <dataField name="Sum of WT" fld="2" baseField="1" baseItem="0"/>
    <dataField name="Sum of Control" fld="4" baseField="1" baseItem="0"/>
    <dataField name="Sum of Support" fld="5" baseField="1" baseItem="0"/>
    <dataField name="Sum of Vol"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6D00-000003000000}" name="PivotTable9" cacheId="2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7:G30" firstHeaderRow="0" firstDataRow="1" firstDataCol="1" rowPageCount="1" colPageCount="1"/>
  <pivotFields count="8">
    <pivotField axis="axisPage" subtotalTop="0" showAll="0">
      <items count="7">
        <item x="0"/>
        <item x="1"/>
        <item x="2"/>
        <item x="3"/>
        <item x="4"/>
        <item x="5"/>
        <item t="default"/>
      </items>
    </pivotField>
    <pivotField axis="axisRow" subtotalTop="0" showAll="0">
      <items count="13">
        <item x="0"/>
        <item x="1"/>
        <item x="2"/>
        <item x="3"/>
        <item x="4"/>
        <item x="5"/>
        <item x="6"/>
        <item x="7"/>
        <item x="8"/>
        <item x="9"/>
        <item x="10"/>
        <item x="11"/>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13">
    <i>
      <x/>
    </i>
    <i>
      <x v="1"/>
    </i>
    <i>
      <x v="2"/>
    </i>
    <i>
      <x v="3"/>
    </i>
    <i>
      <x v="4"/>
    </i>
    <i>
      <x v="5"/>
    </i>
    <i>
      <x v="6"/>
    </i>
    <i>
      <x v="7"/>
    </i>
    <i>
      <x v="8"/>
    </i>
    <i>
      <x v="9"/>
    </i>
    <i>
      <x v="10"/>
    </i>
    <i>
      <x v="11"/>
    </i>
    <i t="grand">
      <x/>
    </i>
  </rowItems>
  <colFields count="1">
    <field x="-2"/>
  </colFields>
  <colItems count="6">
    <i>
      <x/>
    </i>
    <i i="1">
      <x v="1"/>
    </i>
    <i i="2">
      <x v="2"/>
    </i>
    <i i="3">
      <x v="3"/>
    </i>
    <i i="4">
      <x v="4"/>
    </i>
    <i i="5">
      <x v="5"/>
    </i>
  </colItems>
  <pageFields count="1">
    <pageField fld="0" item="5" hier="-1"/>
  </pageFields>
  <dataFields count="6">
    <dataField name="Sum of Wholetime Operational" fld="2" baseField="0" baseItem="0"/>
    <dataField name="Sum of Retained Duty System" fld="3" baseField="0" baseItem="0"/>
    <dataField name="Sum of Control" fld="4" baseField="0" baseItem="0"/>
    <dataField name="Sum of Support" fld="5" baseField="0" baseItem="0"/>
    <dataField name="Sum of Volunteers" fld="6" baseField="0" baseItem="0"/>
    <dataField name="Sum of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6D00-000002000000}" name="PivotTable7" cacheId="26"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6" firstHeaderRow="0" firstDataRow="1" firstDataCol="1" rowPageCount="1" colPageCount="1"/>
  <pivotFields count="8">
    <pivotField axis="axisPage" subtotalTop="0" showAll="0">
      <items count="7">
        <item x="0"/>
        <item x="1"/>
        <item x="2"/>
        <item x="3"/>
        <item x="4"/>
        <item x="5"/>
        <item t="default"/>
      </items>
    </pivotField>
    <pivotField axis="axisRow" subtotalTop="0" showAll="0">
      <items count="3">
        <item x="0"/>
        <item x="1"/>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3">
    <i>
      <x/>
    </i>
    <i>
      <x v="1"/>
    </i>
    <i t="grand">
      <x/>
    </i>
  </rowItems>
  <colFields count="1">
    <field x="-2"/>
  </colFields>
  <colItems count="6">
    <i>
      <x/>
    </i>
    <i i="1">
      <x v="1"/>
    </i>
    <i i="2">
      <x v="2"/>
    </i>
    <i i="3">
      <x v="3"/>
    </i>
    <i i="4">
      <x v="4"/>
    </i>
    <i i="5">
      <x v="5"/>
    </i>
  </colItems>
  <pageFields count="1">
    <pageField fld="0" item="5" hier="-1"/>
  </pageFields>
  <dataFields count="6">
    <dataField name="Sum of Wholetime Operational" fld="2" baseField="0" baseItem="0"/>
    <dataField name="Sum of Retained Duty System" fld="3" baseField="0" baseItem="0"/>
    <dataField name="Sum of Control" fld="4" baseField="0" baseItem="0"/>
    <dataField name="Sum of Support" fld="5" baseField="0" baseItem="0"/>
    <dataField name="Sum of Volunteers" fld="6" baseField="0" baseItem="0"/>
    <dataField name="Sum of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788A457-24AA-456B-ABE4-46588B38946F}" name="PivotTable11" cacheId="2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50:F54" firstHeaderRow="0" firstDataRow="1" firstDataCol="1" rowPageCount="1" colPageCount="1"/>
  <pivotFields count="7">
    <pivotField axis="axisPage" multipleItemSelectionAllowed="1" showAll="0">
      <items count="7">
        <item h="1" x="0"/>
        <item h="1" x="1"/>
        <item h="1" x="2"/>
        <item h="1" x="5"/>
        <item h="1" x="3"/>
        <item x="4"/>
        <item t="default"/>
      </items>
    </pivotField>
    <pivotField axis="axisRow" subtotalTop="0" showAll="0">
      <items count="4">
        <item x="0"/>
        <item x="1"/>
        <item x="2"/>
        <item t="default"/>
      </items>
    </pivotField>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4">
    <i>
      <x/>
    </i>
    <i>
      <x v="1"/>
    </i>
    <i>
      <x v="2"/>
    </i>
    <i t="grand">
      <x/>
    </i>
  </rowItems>
  <colFields count="1">
    <field x="-2"/>
  </colFields>
  <colItems count="5">
    <i>
      <x/>
    </i>
    <i i="1">
      <x v="1"/>
    </i>
    <i i="2">
      <x v="2"/>
    </i>
    <i i="3">
      <x v="3"/>
    </i>
    <i i="4">
      <x v="4"/>
    </i>
  </colItems>
  <pageFields count="1">
    <pageField fld="0" hier="-1"/>
  </pageFields>
  <dataFields count="5">
    <dataField name="Sum of Support" fld="5" baseField="0" baseItem="0"/>
    <dataField name="Sum of WT" fld="2" baseField="1" baseItem="0"/>
    <dataField name="Sum of RDS" fld="3" baseField="1" baseItem="0"/>
    <dataField name="Sum of Control" fld="4" baseField="1" baseItem="0"/>
    <dataField name="Sum of Vol"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E8597E93-3B6D-42EE-ABB1-40E0E1F6AE78}" name="PivotTable2" cacheId="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13" firstHeaderRow="0" firstDataRow="1" firstDataCol="1" rowPageCount="1" colPageCount="1"/>
  <pivotFields count="9">
    <pivotField axis="axisPage" subtotalTop="0" showAll="0">
      <items count="7">
        <item x="0"/>
        <item x="1"/>
        <item x="2"/>
        <item x="3"/>
        <item x="4"/>
        <item x="5"/>
        <item t="default"/>
      </items>
    </pivotField>
    <pivotField axis="axisRow" subtotalTop="0" showAll="0">
      <items count="13">
        <item x="0"/>
        <item x="1"/>
        <item x="2"/>
        <item x="3"/>
        <item x="4"/>
        <item x="5"/>
        <item x="6"/>
        <item x="7"/>
        <item x="8"/>
        <item x="9"/>
        <item x="10"/>
        <item x="11"/>
        <item t="default"/>
      </items>
    </pivotField>
    <pivotField dataField="1" subtotalTop="0" showAll="0"/>
    <pivotField dataField="1" subtotalTop="0" showAll="0"/>
    <pivotField dataField="1" showAll="0"/>
    <pivotField dataField="1" subtotalTop="0" showAll="0"/>
    <pivotField dataField="1" subtotalTop="0" showAll="0"/>
    <pivotField dataField="1" subtotalTop="0" showAll="0"/>
    <pivotField subtotalTop="0" showAll="0"/>
  </pivotFields>
  <rowFields count="1">
    <field x="1"/>
  </rowFields>
  <rowItems count="10">
    <i>
      <x/>
    </i>
    <i>
      <x v="1"/>
    </i>
    <i>
      <x v="2"/>
    </i>
    <i>
      <x v="3"/>
    </i>
    <i>
      <x v="4"/>
    </i>
    <i>
      <x v="5"/>
    </i>
    <i>
      <x v="7"/>
    </i>
    <i>
      <x v="8"/>
    </i>
    <i>
      <x v="11"/>
    </i>
    <i t="grand">
      <x/>
    </i>
  </rowItems>
  <colFields count="1">
    <field x="-2"/>
  </colFields>
  <colItems count="6">
    <i>
      <x/>
    </i>
    <i i="1">
      <x v="1"/>
    </i>
    <i i="2">
      <x v="2"/>
    </i>
    <i i="3">
      <x v="3"/>
    </i>
    <i i="4">
      <x v="4"/>
    </i>
    <i i="5">
      <x v="5"/>
    </i>
  </colItems>
  <pageFields count="1">
    <pageField fld="0" item="5" hier="-1"/>
  </pageFields>
  <dataFields count="6">
    <dataField name="Sum of Wholetime Operational" fld="2" baseField="0" baseItem="0"/>
    <dataField name="Sum of Retained Duty System" fld="3" baseField="0" baseItem="0"/>
    <dataField name="Sum of Retained Full-time" fld="4" baseField="0" baseItem="0"/>
    <dataField name="Sum of Control" fld="5" baseField="0" baseItem="0"/>
    <dataField name="Sum of Support" fld="6" baseField="0" baseItem="0"/>
    <dataField name="Sum of Volunteers"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5DBF4B62-1B72-456E-A641-20DCCC1C23EC}" name="PivotTable1" cacheId="3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F12" firstHeaderRow="0" firstDataRow="1" firstDataCol="1"/>
  <pivotFields count="7">
    <pivotField axis="axisRow" showAll="0">
      <items count="2">
        <item x="0"/>
        <item t="default"/>
      </items>
    </pivotField>
    <pivotField axis="axisRow" showAll="0">
      <items count="10">
        <item x="0"/>
        <item x="1"/>
        <item x="2"/>
        <item x="3"/>
        <item x="4"/>
        <item x="6"/>
        <item x="7"/>
        <item x="5"/>
        <item x="8"/>
        <item t="default"/>
      </items>
    </pivotField>
    <pivotField dataField="1" showAll="0"/>
    <pivotField dataField="1" showAll="0"/>
    <pivotField dataField="1" showAll="0"/>
    <pivotField dataField="1" showAll="0"/>
    <pivotField dataField="1" showAll="0"/>
  </pivotFields>
  <rowFields count="2">
    <field x="0"/>
    <field x="1"/>
  </rowFields>
  <rowItems count="11">
    <i>
      <x/>
    </i>
    <i r="1">
      <x/>
    </i>
    <i r="1">
      <x v="1"/>
    </i>
    <i r="1">
      <x v="2"/>
    </i>
    <i r="1">
      <x v="3"/>
    </i>
    <i r="1">
      <x v="4"/>
    </i>
    <i r="1">
      <x v="5"/>
    </i>
    <i r="1">
      <x v="6"/>
    </i>
    <i r="1">
      <x v="7"/>
    </i>
    <i r="1">
      <x v="8"/>
    </i>
    <i t="grand">
      <x/>
    </i>
  </rowItems>
  <colFields count="1">
    <field x="-2"/>
  </colFields>
  <colItems count="5">
    <i>
      <x/>
    </i>
    <i i="1">
      <x v="1"/>
    </i>
    <i i="2">
      <x v="2"/>
    </i>
    <i i="3">
      <x v="3"/>
    </i>
    <i i="4">
      <x v="4"/>
    </i>
  </colItems>
  <dataFields count="5">
    <dataField name="Sum of Objects thrown at firefighters/appliances" fld="2" baseField="0" baseItem="0"/>
    <dataField name="Sum of Other acts of aggression" fld="3" baseField="0" baseItem="0"/>
    <dataField name="Sum of Verbal abuse" fld="4" baseField="0" baseItem="0"/>
    <dataField name="Sum of Physical abuse" fld="5" baseField="0" baseItem="0"/>
    <dataField name="Sum of Total"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25CC0D1-817E-4DAD-AF20-3E829D982749}" name="PivotTable2" cacheId="4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D17:E38" firstHeaderRow="1" firstDataRow="1" firstDataCol="1"/>
  <pivotFields count="3">
    <pivotField axis="axisRow" showAll="0">
      <items count="6">
        <item x="2"/>
        <item x="0"/>
        <item x="1"/>
        <item x="3"/>
        <item x="4"/>
        <item t="default"/>
      </items>
    </pivotField>
    <pivotField axis="axisRow" showAll="0">
      <items count="4">
        <item x="0"/>
        <item x="1"/>
        <item x="2"/>
        <item t="default"/>
      </items>
    </pivotField>
    <pivotField dataField="1" showAll="0"/>
  </pivotFields>
  <rowFields count="2">
    <field x="0"/>
    <field x="1"/>
  </rowFields>
  <rowItems count="21">
    <i>
      <x/>
    </i>
    <i r="1">
      <x/>
    </i>
    <i r="1">
      <x v="1"/>
    </i>
    <i r="1">
      <x v="2"/>
    </i>
    <i>
      <x v="1"/>
    </i>
    <i r="1">
      <x/>
    </i>
    <i r="1">
      <x v="1"/>
    </i>
    <i r="1">
      <x v="2"/>
    </i>
    <i>
      <x v="2"/>
    </i>
    <i r="1">
      <x/>
    </i>
    <i r="1">
      <x v="1"/>
    </i>
    <i r="1">
      <x v="2"/>
    </i>
    <i>
      <x v="3"/>
    </i>
    <i r="1">
      <x/>
    </i>
    <i r="1">
      <x v="1"/>
    </i>
    <i r="1">
      <x v="2"/>
    </i>
    <i>
      <x v="4"/>
    </i>
    <i r="1">
      <x/>
    </i>
    <i r="1">
      <x v="1"/>
    </i>
    <i r="1">
      <x v="2"/>
    </i>
    <i t="grand">
      <x/>
    </i>
  </rowItems>
  <colItems count="1">
    <i/>
  </colItems>
  <dataFields count="1">
    <dataField name="Sum of Number of Stations with Capability"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EE165F2B-017E-4549-A039-4A60C85A115A}" name="PivotTable4" cacheId="3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8:F59" firstHeaderRow="0" firstDataRow="1" firstDataCol="1"/>
  <pivotFields count="7">
    <pivotField axis="axisRow" showAll="0">
      <items count="2">
        <item x="0"/>
        <item t="default"/>
      </items>
    </pivotField>
    <pivotField axis="axisRow" showAll="0">
      <items count="10">
        <item x="0"/>
        <item x="1"/>
        <item x="2"/>
        <item x="3"/>
        <item x="4"/>
        <item x="5"/>
        <item x="7"/>
        <item x="8"/>
        <item x="6"/>
        <item t="default"/>
      </items>
    </pivotField>
    <pivotField dataField="1" showAll="0"/>
    <pivotField dataField="1" showAll="0"/>
    <pivotField dataField="1" showAll="0"/>
    <pivotField dataField="1" showAll="0"/>
    <pivotField dataField="1" showAll="0"/>
  </pivotFields>
  <rowFields count="2">
    <field x="0"/>
    <field x="1"/>
  </rowFields>
  <rowItems count="11">
    <i>
      <x/>
    </i>
    <i r="1">
      <x/>
    </i>
    <i r="1">
      <x v="1"/>
    </i>
    <i r="1">
      <x v="2"/>
    </i>
    <i r="1">
      <x v="3"/>
    </i>
    <i r="1">
      <x v="4"/>
    </i>
    <i r="1">
      <x v="5"/>
    </i>
    <i r="1">
      <x v="6"/>
    </i>
    <i r="1">
      <x v="7"/>
    </i>
    <i r="1">
      <x v="8"/>
    </i>
    <i t="grand">
      <x/>
    </i>
  </rowItems>
  <colFields count="1">
    <field x="-2"/>
  </colFields>
  <colItems count="5">
    <i>
      <x/>
    </i>
    <i i="1">
      <x v="1"/>
    </i>
    <i i="2">
      <x v="2"/>
    </i>
    <i i="3">
      <x v="3"/>
    </i>
    <i i="4">
      <x v="4"/>
    </i>
  </colItems>
  <dataFields count="5">
    <dataField name="Sum of Objects thrown at firefighters/appliances" fld="2" baseField="0" baseItem="0"/>
    <dataField name="Sum of Other acts of aggression" fld="3" baseField="0" baseItem="0"/>
    <dataField name="Sum of Verbal abuse" fld="4" baseField="0" baseItem="0"/>
    <dataField name="Sum of Physical abuse" fld="5" baseField="0" baseItem="0"/>
    <dataField name="Sum of Total"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6699E41A-48E7-41F2-9342-55A3AEEFEC0C}" name="PivotTable3" cacheId="3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4:F45" firstHeaderRow="0" firstDataRow="1" firstDataCol="1"/>
  <pivotFields count="7">
    <pivotField axis="axisRow" showAll="0">
      <items count="2">
        <item x="0"/>
        <item t="default"/>
      </items>
    </pivotField>
    <pivotField axis="axisRow" showAll="0">
      <items count="10">
        <item x="0"/>
        <item x="1"/>
        <item x="2"/>
        <item x="3"/>
        <item x="4"/>
        <item x="6"/>
        <item x="5"/>
        <item x="7"/>
        <item x="8"/>
        <item t="default"/>
      </items>
    </pivotField>
    <pivotField dataField="1" showAll="0"/>
    <pivotField dataField="1" showAll="0"/>
    <pivotField dataField="1" showAll="0"/>
    <pivotField dataField="1" showAll="0"/>
    <pivotField dataField="1" showAll="0"/>
  </pivotFields>
  <rowFields count="2">
    <field x="0"/>
    <field x="1"/>
  </rowFields>
  <rowItems count="11">
    <i>
      <x/>
    </i>
    <i r="1">
      <x/>
    </i>
    <i r="1">
      <x v="1"/>
    </i>
    <i r="1">
      <x v="2"/>
    </i>
    <i r="1">
      <x v="3"/>
    </i>
    <i r="1">
      <x v="4"/>
    </i>
    <i r="1">
      <x v="5"/>
    </i>
    <i r="1">
      <x v="6"/>
    </i>
    <i r="1">
      <x v="7"/>
    </i>
    <i r="1">
      <x v="8"/>
    </i>
    <i t="grand">
      <x/>
    </i>
  </rowItems>
  <colFields count="1">
    <field x="-2"/>
  </colFields>
  <colItems count="5">
    <i>
      <x/>
    </i>
    <i i="1">
      <x v="1"/>
    </i>
    <i i="2">
      <x v="2"/>
    </i>
    <i i="3">
      <x v="3"/>
    </i>
    <i i="4">
      <x v="4"/>
    </i>
  </colItems>
  <dataFields count="5">
    <dataField name="Sum of Objects thrown at firefighters/appliances" fld="2" baseField="0" baseItem="0"/>
    <dataField name="Sum of Other acts of aggression" fld="3" baseField="0" baseItem="0"/>
    <dataField name="Sum of Verbal abuse" fld="4" baseField="0" baseItem="0"/>
    <dataField name="Sum of Physical abuse" fld="5" baseField="0" baseItem="0"/>
    <dataField name="Sum of Total"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C2E8889A-F1DE-4DF8-ABC3-66C3392E0CB3}" name="PivotTable2" cacheId="3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8:F29" firstHeaderRow="0" firstDataRow="1" firstDataCol="1"/>
  <pivotFields count="7">
    <pivotField axis="axisRow" showAll="0">
      <items count="2">
        <item x="0"/>
        <item t="default"/>
      </items>
    </pivotField>
    <pivotField axis="axisRow" showAll="0">
      <items count="10">
        <item x="0"/>
        <item x="1"/>
        <item x="2"/>
        <item x="3"/>
        <item x="4"/>
        <item x="6"/>
        <item x="7"/>
        <item x="5"/>
        <item x="8"/>
        <item t="default"/>
      </items>
    </pivotField>
    <pivotField dataField="1" showAll="0"/>
    <pivotField dataField="1" showAll="0"/>
    <pivotField dataField="1" showAll="0"/>
    <pivotField dataField="1" showAll="0"/>
    <pivotField dataField="1" showAll="0"/>
  </pivotFields>
  <rowFields count="2">
    <field x="0"/>
    <field x="1"/>
  </rowFields>
  <rowItems count="11">
    <i>
      <x/>
    </i>
    <i r="1">
      <x/>
    </i>
    <i r="1">
      <x v="1"/>
    </i>
    <i r="1">
      <x v="2"/>
    </i>
    <i r="1">
      <x v="3"/>
    </i>
    <i r="1">
      <x v="4"/>
    </i>
    <i r="1">
      <x v="5"/>
    </i>
    <i r="1">
      <x v="6"/>
    </i>
    <i r="1">
      <x v="7"/>
    </i>
    <i r="1">
      <x v="8"/>
    </i>
    <i t="grand">
      <x/>
    </i>
  </rowItems>
  <colFields count="1">
    <field x="-2"/>
  </colFields>
  <colItems count="5">
    <i>
      <x/>
    </i>
    <i i="1">
      <x v="1"/>
    </i>
    <i i="2">
      <x v="2"/>
    </i>
    <i i="3">
      <x v="3"/>
    </i>
    <i i="4">
      <x v="4"/>
    </i>
  </colItems>
  <dataFields count="5">
    <dataField name="Sum of Objects thrown at firefighters/appliances" fld="2" baseField="0" baseItem="0"/>
    <dataField name="Sum of Other acts of aggression" fld="3" baseField="0" baseItem="0"/>
    <dataField name="Sum of Verbal abuse" fld="4" baseField="0" baseItem="0"/>
    <dataField name="Sum of Physical abuse" fld="5" baseField="0" baseItem="0"/>
    <dataField name="Sum of Total"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2853015E-14D7-4310-8E44-D161C4BCF20F}" name="PivotTable5" cacheId="3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J34" firstHeaderRow="0" firstDataRow="1" firstDataCol="1"/>
  <pivotFields count="11">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9">
    <i>
      <x/>
    </i>
    <i i="1">
      <x v="1"/>
    </i>
    <i i="2">
      <x v="2"/>
    </i>
    <i i="3">
      <x v="3"/>
    </i>
    <i i="4">
      <x v="4"/>
    </i>
    <i i="5">
      <x v="5"/>
    </i>
    <i i="6">
      <x v="6"/>
    </i>
    <i i="7">
      <x v="7"/>
    </i>
    <i i="8">
      <x v="8"/>
    </i>
  </colItems>
  <dataFields count="9">
    <dataField name="Sum of 2015-16" fld="2" baseField="0" baseItem="0"/>
    <dataField name="Sum of 2016-17" fld="3" baseField="0" baseItem="0"/>
    <dataField name="Sum of 2017-18" fld="4" baseField="0" baseItem="0"/>
    <dataField name="Sum of 2018-19" fld="5" baseField="0" baseItem="3"/>
    <dataField name="Sum of 2019-20" fld="6" baseField="0" baseItem="3"/>
    <dataField name="Sum of 2020-21" fld="7" baseField="0" baseItem="3"/>
    <dataField name="Sum of 2021-22" fld="8" baseField="0" baseItem="0"/>
    <dataField name="Sum of 2022-23" fld="9" baseField="0" baseItem="0"/>
    <dataField name="Sum of 2023-24"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F6836DB-B803-420C-84AE-855C5019DB3D}" name="PivotTable1" cacheId="4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3:H18" firstHeaderRow="0" firstDataRow="1" firstDataCol="1"/>
  <pivotFields count="7">
    <pivotField axis="axisRow" showAll="0">
      <items count="15">
        <item x="0"/>
        <item x="1"/>
        <item x="2"/>
        <item x="3"/>
        <item x="4"/>
        <item x="5"/>
        <item x="6"/>
        <item x="7"/>
        <item x="8"/>
        <item x="9"/>
        <item x="10"/>
        <item x="12"/>
        <item x="13"/>
        <item x="11"/>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5">
    <i>
      <x/>
    </i>
    <i>
      <x v="1"/>
    </i>
    <i>
      <x v="2"/>
    </i>
    <i>
      <x v="3"/>
    </i>
    <i>
      <x v="4"/>
    </i>
    <i>
      <x v="5"/>
    </i>
    <i>
      <x v="6"/>
    </i>
    <i>
      <x v="7"/>
    </i>
    <i>
      <x v="8"/>
    </i>
    <i>
      <x v="9"/>
    </i>
    <i>
      <x v="10"/>
    </i>
    <i>
      <x v="11"/>
    </i>
    <i>
      <x v="12"/>
    </i>
    <i>
      <x v="13"/>
    </i>
    <i t="grand">
      <x/>
    </i>
  </rowItems>
  <colFields count="1">
    <field x="-2"/>
  </colFields>
  <colItems count="6">
    <i>
      <x/>
    </i>
    <i i="1">
      <x v="1"/>
    </i>
    <i i="2">
      <x v="2"/>
    </i>
    <i i="3">
      <x v="3"/>
    </i>
    <i i="4">
      <x v="4"/>
    </i>
    <i i="5">
      <x v="5"/>
    </i>
  </colItems>
  <dataFields count="6">
    <dataField name="Sum of HFSV - alarms installed" fld="1" baseField="0" baseItem="0"/>
    <dataField name="Sum of HFSV - advice only" fld="2" baseField="0" baseItem="0"/>
    <dataField name="Sum of Total HFSV" fld="3" baseField="0" baseItem="0"/>
    <dataField name="Sum of New" fld="5" baseField="0" baseItem="0"/>
    <dataField name="Sum of Replacement" fld="6" baseField="0" baseItem="0"/>
    <dataField name="Sum of Total_Alarms"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FF309EE2-1AD3-42FE-82B0-3B53E0932E32}" name="PivotTable2" cacheId="3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K30" firstHeaderRow="1" firstDataRow="1" firstDataCol="1"/>
  <pivotFields count="3">
    <pivotField showAll="0"/>
    <pivotField axis="axisRow" showAll="0">
      <items count="25">
        <item x="0"/>
        <item x="1"/>
        <item x="2"/>
        <item x="3"/>
        <item x="4"/>
        <item x="5"/>
        <item x="6"/>
        <item x="7"/>
        <item x="8"/>
        <item x="9"/>
        <item x="10"/>
        <item x="11"/>
        <item x="12"/>
        <item x="13"/>
        <item x="14"/>
        <item x="15"/>
        <item x="16"/>
        <item x="17"/>
        <item x="18"/>
        <item x="19"/>
        <item x="20"/>
        <item x="21"/>
        <item x="22"/>
        <item x="23"/>
        <item t="default"/>
      </items>
    </pivotField>
    <pivotField dataField="1" showAll="0"/>
  </pivotFields>
  <rowFields count="1">
    <field x="1"/>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Sum of Households"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1AE8806-528D-4873-BEEA-76B1DC529CD0}" name="PivotTable3" cacheId="5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24:E35" firstHeaderRow="0" firstDataRow="1" firstDataCol="1"/>
  <pivotFields count="4">
    <pivotField axis="axisRow" showAll="0">
      <items count="11">
        <item x="0"/>
        <item x="1"/>
        <item x="2"/>
        <item x="3"/>
        <item x="4"/>
        <item x="5"/>
        <item x="7"/>
        <item x="6"/>
        <item x="8"/>
        <item x="9"/>
        <item t="default"/>
      </items>
    </pivotField>
    <pivotField dataField="1" showAll="0"/>
    <pivotField dataField="1" showAll="0"/>
    <pivotField dataField="1" showAll="0"/>
  </pivotFields>
  <rowFields count="1">
    <field x="0"/>
  </rowFields>
  <rowItems count="11">
    <i>
      <x/>
    </i>
    <i>
      <x v="1"/>
    </i>
    <i>
      <x v="2"/>
    </i>
    <i>
      <x v="3"/>
    </i>
    <i>
      <x v="4"/>
    </i>
    <i>
      <x v="5"/>
    </i>
    <i>
      <x v="6"/>
    </i>
    <i>
      <x v="7"/>
    </i>
    <i>
      <x v="8"/>
    </i>
    <i>
      <x v="9"/>
    </i>
    <i t="grand">
      <x/>
    </i>
  </rowItems>
  <colFields count="1">
    <field x="-2"/>
  </colFields>
  <colItems count="3">
    <i>
      <x/>
    </i>
    <i i="1">
      <x v="1"/>
    </i>
    <i i="2">
      <x v="2"/>
    </i>
  </colItems>
  <dataFields count="3">
    <dataField name="Sum of In One Year" fld="1" baseField="0" baseItem="0"/>
    <dataField name="Sum of Over Three Years" fld="2" baseField="0" baseItem="0"/>
    <dataField name="Sum of Over Five Year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E1447398-8F83-4A06-A554-30AC2A6B6F51}" name="PivotTable1" cacheId="5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F16" firstHeaderRow="0" firstDataRow="1" firstDataCol="1"/>
  <pivotFields count="5">
    <pivotField axis="axisRow" showAll="0">
      <items count="12">
        <item x="0"/>
        <item x="1"/>
        <item x="2"/>
        <item x="3"/>
        <item x="4"/>
        <item x="5"/>
        <item x="9"/>
        <item x="7"/>
        <item x="8"/>
        <item x="10"/>
        <item x="6"/>
        <item t="default"/>
      </items>
    </pivotField>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4">
    <i>
      <x/>
    </i>
    <i i="1">
      <x v="1"/>
    </i>
    <i i="2">
      <x v="2"/>
    </i>
    <i i="3">
      <x v="3"/>
    </i>
  </colItems>
  <dataFields count="4">
    <dataField name="Sum of In One Year" fld="1" baseField="0" baseItem="0"/>
    <dataField name="Sum of Over Three Years" fld="2" baseField="0" baseItem="0"/>
    <dataField name="Sum of Over Five Years" fld="3" baseField="0" baseItem="0"/>
    <dataField name="Sum of Non-repeat Visits"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B91CD626-3021-4F18-AAAF-DAC943B4E40F}" name="PivotTable4" cacheId="5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33:E44" firstHeaderRow="0" firstDataRow="1" firstDataCol="1"/>
  <pivotFields count="4">
    <pivotField axis="axisRow" showAll="0">
      <items count="11">
        <item x="0"/>
        <item x="1"/>
        <item x="2"/>
        <item x="3"/>
        <item x="4"/>
        <item x="5"/>
        <item x="7"/>
        <item x="6"/>
        <item x="8"/>
        <item x="9"/>
        <item t="default"/>
      </items>
    </pivotField>
    <pivotField dataField="1" showAll="0"/>
    <pivotField dataField="1" showAll="0"/>
    <pivotField dataField="1" showAll="0"/>
  </pivotFields>
  <rowFields count="1">
    <field x="0"/>
  </rowFields>
  <rowItems count="11">
    <i>
      <x/>
    </i>
    <i>
      <x v="1"/>
    </i>
    <i>
      <x v="2"/>
    </i>
    <i>
      <x v="3"/>
    </i>
    <i>
      <x v="4"/>
    </i>
    <i>
      <x v="5"/>
    </i>
    <i>
      <x v="6"/>
    </i>
    <i>
      <x v="7"/>
    </i>
    <i>
      <x v="8"/>
    </i>
    <i>
      <x v="9"/>
    </i>
    <i t="grand">
      <x/>
    </i>
  </rowItems>
  <colFields count="1">
    <field x="-2"/>
  </colFields>
  <colItems count="3">
    <i>
      <x/>
    </i>
    <i i="1">
      <x v="1"/>
    </i>
    <i i="2">
      <x v="2"/>
    </i>
  </colItems>
  <dataFields count="3">
    <dataField name="Sum of In One Year" fld="1" baseField="0" baseItem="0"/>
    <dataField name="Sum of Over Three Years" fld="2" baseField="0" baseItem="0"/>
    <dataField name="Sum of Over Five Year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65FB724-5C69-443A-8057-C640D588B467}" name="PivotTable2" cacheId="5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E16" firstHeaderRow="0" firstDataRow="1" firstDataCol="1"/>
  <pivotFields count="4">
    <pivotField axis="axisRow" showAll="0">
      <items count="12">
        <item x="0"/>
        <item x="1"/>
        <item x="2"/>
        <item x="3"/>
        <item x="4"/>
        <item x="5"/>
        <item x="9"/>
        <item x="7"/>
        <item x="8"/>
        <item x="10"/>
        <item x="6"/>
        <item t="default"/>
      </items>
    </pivotField>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3">
    <i>
      <x/>
    </i>
    <i i="1">
      <x v="1"/>
    </i>
    <i i="2">
      <x v="2"/>
    </i>
  </colItems>
  <dataFields count="3">
    <dataField name="Sum of In One Year" fld="1" baseField="0" baseItem="0"/>
    <dataField name="Sum of Over Three Years" fld="2" baseField="0" baseItem="0"/>
    <dataField name="Sum of Over Five Years"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073DC20-EE1C-4766-A59B-A42383B847C4}"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N16" firstHeaderRow="0" firstDataRow="1" firstDataCol="1"/>
  <pivotFields count="14">
    <pivotField axis="axisRow" showAll="0">
      <items count="13">
        <item x="0"/>
        <item x="1"/>
        <item x="2"/>
        <item x="3"/>
        <item x="4"/>
        <item x="5"/>
        <item x="6"/>
        <item x="7"/>
        <item x="8"/>
        <item x="9"/>
        <item x="10"/>
        <item x="1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3">
    <i>
      <x/>
    </i>
    <i>
      <x v="1"/>
    </i>
    <i>
      <x v="2"/>
    </i>
    <i>
      <x v="3"/>
    </i>
    <i>
      <x v="4"/>
    </i>
    <i>
      <x v="5"/>
    </i>
    <i>
      <x v="6"/>
    </i>
    <i>
      <x v="7"/>
    </i>
    <i>
      <x v="8"/>
    </i>
    <i>
      <x v="9"/>
    </i>
    <i>
      <x v="10"/>
    </i>
    <i>
      <x v="11"/>
    </i>
    <i t="grand">
      <x/>
    </i>
  </rowItems>
  <colFields count="1">
    <field x="-2"/>
  </colFields>
  <colItems count="13">
    <i>
      <x/>
    </i>
    <i i="1">
      <x v="1"/>
    </i>
    <i i="2">
      <x v="2"/>
    </i>
    <i i="3">
      <x v="3"/>
    </i>
    <i i="4">
      <x v="4"/>
    </i>
    <i i="5">
      <x v="5"/>
    </i>
    <i i="6">
      <x v="6"/>
    </i>
    <i i="7">
      <x v="7"/>
    </i>
    <i i="8">
      <x v="8"/>
    </i>
    <i i="9">
      <x v="9"/>
    </i>
    <i i="10">
      <x v="10"/>
    </i>
    <i i="11">
      <x v="11"/>
    </i>
    <i i="12">
      <x v="12"/>
    </i>
  </colItems>
  <dataFields count="13">
    <dataField name="Sum of Pumping Appliances" fld="1" baseField="0" baseItem="0"/>
    <dataField name="Sum of Aerial Appliances" fld="2" baseField="0" baseItem="0"/>
    <dataField name="Sum of Resilience Appliances" fld="3" baseField="0" baseItem="0"/>
    <dataField name="Sum of Fire Boats" fld="4" baseField="0" baseItem="0"/>
    <dataField name="Sum of Vehicles for Rescue Work" fld="5" baseField="0" baseItem="0"/>
    <dataField name="Sum of Small Firefighting Vehicles" fld="6" baseField="0" baseItem="0"/>
    <dataField name="Sum of Other" fld="7" baseField="0" baseItem="0"/>
    <dataField name="Sum of Total Appliances" fld="8" baseField="0" baseItem="0"/>
    <dataField name="Sum of Officer Response Vehicles" fld="9" baseField="0" baseItem="0"/>
    <dataField name="Sum of Reserve Appliances" fld="10" baseField="0" baseItem="0"/>
    <dataField name="Sum of Training Appliances" fld="11" baseField="0" baseItem="0"/>
    <dataField name="Sum of Other Fleet Vehicles (excl Officer Response Vehicles)" fld="12" baseField="0" baseItem="0"/>
    <dataField name="Sum of Total Vehicles (incl boats)"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B0AC0C6-1D68-4128-B7FC-A26C5D00574E}" name="PivotTable2" cacheId="4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H13" firstHeaderRow="0" firstDataRow="1" firstDataCol="1"/>
  <pivotFields count="8">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7">
    <i>
      <x/>
    </i>
    <i i="1">
      <x v="1"/>
    </i>
    <i i="2">
      <x v="2"/>
    </i>
    <i i="3">
      <x v="3"/>
    </i>
    <i i="4">
      <x v="4"/>
    </i>
    <i i="5">
      <x v="5"/>
    </i>
    <i i="6">
      <x v="6"/>
    </i>
  </colItems>
  <dataFields count="7">
    <dataField name="Sum of Under 5s" fld="1" baseField="0" baseItem="0"/>
    <dataField name="Sum of 5 to 10" fld="2" baseField="0" baseItem="0"/>
    <dataField name="Sum of 11 to 16" fld="3" baseField="0" baseItem="0"/>
    <dataField name="Sum of 17 to 30" fld="4" baseField="0" baseItem="0"/>
    <dataField name="Sum of 31 to 60" fld="5" baseField="0" baseItem="0"/>
    <dataField name="Sum of Over 60" fld="6" baseField="0" baseItem="0"/>
    <dataField name="Sum of All Residents"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F5405F8A-07C1-4D02-8534-B86EB59F25BE}" name="PivotTable3" cacheId="4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I16" firstHeaderRow="0" firstDataRow="1" firstDataCol="1"/>
  <pivotFields count="8">
    <pivotField axis="axisRow" showAll="0">
      <items count="12">
        <item x="0"/>
        <item x="1"/>
        <item x="2"/>
        <item x="3"/>
        <item x="4"/>
        <item x="5"/>
        <item x="6"/>
        <item x="7"/>
        <item x="8"/>
        <item x="9"/>
        <item x="10"/>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7">
    <i>
      <x/>
    </i>
    <i i="1">
      <x v="1"/>
    </i>
    <i i="2">
      <x v="2"/>
    </i>
    <i i="3">
      <x v="3"/>
    </i>
    <i i="4">
      <x v="4"/>
    </i>
    <i i="5">
      <x v="5"/>
    </i>
    <i i="6">
      <x v="6"/>
    </i>
  </colItems>
  <dataFields count="7">
    <dataField name="Sum of Under 5s" fld="1" baseField="0" baseItem="0"/>
    <dataField name="Sum of 5 to 10" fld="2" baseField="0" baseItem="0"/>
    <dataField name="Sum of 11 to 16" fld="3" baseField="0" baseItem="0"/>
    <dataField name="Sum of 17 to 30" fld="4" baseField="0" baseItem="0"/>
    <dataField name="Sum of 31 to 60" fld="5" baseField="0" baseItem="0"/>
    <dataField name="Sum of Over 60" fld="6" baseField="0" baseItem="0"/>
    <dataField name="Sum of All Residents"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5941005B-8052-44F0-BA91-3EF0A696DB49}" name="PivotTable1" cacheId="4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K11" firstHeaderRow="0" firstDataRow="1" firstDataCol="1"/>
  <pivotFields count="10">
    <pivotField axis="axisRow" showAll="0">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7">
    <i>
      <x/>
    </i>
    <i>
      <x v="1"/>
    </i>
    <i>
      <x v="2"/>
    </i>
    <i>
      <x v="3"/>
    </i>
    <i>
      <x v="4"/>
    </i>
    <i>
      <x v="5"/>
    </i>
    <i t="grand">
      <x/>
    </i>
  </rowItems>
  <colFields count="1">
    <field x="-2"/>
  </colFields>
  <colItems count="9">
    <i>
      <x/>
    </i>
    <i i="1">
      <x v="1"/>
    </i>
    <i i="2">
      <x v="2"/>
    </i>
    <i i="3">
      <x v="3"/>
    </i>
    <i i="4">
      <x v="4"/>
    </i>
    <i i="5">
      <x v="5"/>
    </i>
    <i i="6">
      <x v="6"/>
    </i>
    <i i="7">
      <x v="7"/>
    </i>
    <i i="8">
      <x v="8"/>
    </i>
  </colItems>
  <dataFields count="9">
    <dataField name="Sum of 2015-16" fld="1" baseField="0" baseItem="0"/>
    <dataField name="Sum of 2016-17" fld="2" baseField="0" baseItem="0"/>
    <dataField name="Sum of 2017-18" fld="3" baseField="0" baseItem="0"/>
    <dataField name="Sum of 2018-19" fld="4" baseField="0" baseItem="0"/>
    <dataField name="Sum of 2019-20" fld="5" baseField="0" baseItem="0"/>
    <dataField name="Sum of 2020-21" fld="6" baseField="0" baseItem="0"/>
    <dataField name="Sum of 2021-22" fld="7" baseField="0" baseItem="0"/>
    <dataField name="Sum of 2022-23" fld="8" baseField="0" baseItem="0"/>
    <dataField name="Sum of 2023-24"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AA9F0429-0F77-4F38-8FA5-DB70F50FCFE4}" name="PivotTable5" cacheId="5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28:H40" firstHeaderRow="0" firstDataRow="1" firstDataCol="1"/>
  <pivotFields count="7">
    <pivotField axis="axisRow" showAll="0">
      <items count="12">
        <item x="1"/>
        <item x="2"/>
        <item x="3"/>
        <item x="4"/>
        <item x="5"/>
        <item x="6"/>
        <item x="7"/>
        <item x="8"/>
        <item x="9"/>
        <item x="10"/>
        <item x="0"/>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6">
    <i>
      <x/>
    </i>
    <i i="1">
      <x v="1"/>
    </i>
    <i i="2">
      <x v="2"/>
    </i>
    <i i="3">
      <x v="3"/>
    </i>
    <i i="4">
      <x v="4"/>
    </i>
    <i i="5">
      <x v="5"/>
    </i>
  </colItems>
  <dataFields count="6">
    <dataField name="Sum of 1 - Most Deprived 20%" fld="1" baseField="0" baseItem="0"/>
    <dataField name="Sum of 2" fld="2" baseField="0" baseItem="0"/>
    <dataField name="Sum of 3" fld="3" baseField="0" baseItem="0"/>
    <dataField name="Sum of 4" fld="4" baseField="0" baseItem="0"/>
    <dataField name="Sum of 5 - Least Deprived 20%" fld="5" baseField="0" baseItem="0"/>
    <dataField name="Sum of All Scotlan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7FEDE362-E5CF-402C-BA8A-F2AD6BD1833B}" name="PivotTable4" cacheId="5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I16" firstHeaderRow="0" firstDataRow="1" firstDataCol="1"/>
  <pivotFields count="8">
    <pivotField axis="axisRow" showAll="0">
      <items count="12">
        <item x="1"/>
        <item x="2"/>
        <item x="3"/>
        <item x="4"/>
        <item x="5"/>
        <item x="6"/>
        <item x="7"/>
        <item x="8"/>
        <item x="9"/>
        <item x="10"/>
        <item x="0"/>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7">
    <i>
      <x/>
    </i>
    <i i="1">
      <x v="1"/>
    </i>
    <i i="2">
      <x v="2"/>
    </i>
    <i i="3">
      <x v="3"/>
    </i>
    <i i="4">
      <x v="4"/>
    </i>
    <i i="5">
      <x v="5"/>
    </i>
    <i i="6">
      <x v="6"/>
    </i>
  </colItems>
  <dataFields count="7">
    <dataField name="Sum of 1 - Most Deprived 20%" fld="1" baseField="0" baseItem="0"/>
    <dataField name="Sum of 2" fld="2" baseField="0" baseItem="0"/>
    <dataField name="Sum of 3" fld="3" baseField="0" baseItem="0"/>
    <dataField name="Sum of 4" fld="4" baseField="0" baseItem="0"/>
    <dataField name="Sum of 5 - Least Deprived 20%" fld="5" baseField="0" baseItem="0"/>
    <dataField name="Sum of NotKnown" fld="6" baseField="0" baseItem="0"/>
    <dataField name="Sum of All Scotland"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AAEB68C9-4552-4CD0-B1BB-EF8FC9A4624A}" name="PivotTable7" cacheId="4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25:H36" firstHeaderRow="0" firstDataRow="1" firstDataCol="1"/>
  <pivotFields count="7">
    <pivotField axis="axisRow" showAll="0">
      <items count="11">
        <item x="0"/>
        <item x="1"/>
        <item x="2"/>
        <item x="3"/>
        <item x="4"/>
        <item x="5"/>
        <item x="6"/>
        <item x="7"/>
        <item x="8"/>
        <item x="9"/>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1">
    <i>
      <x/>
    </i>
    <i>
      <x v="1"/>
    </i>
    <i>
      <x v="2"/>
    </i>
    <i>
      <x v="3"/>
    </i>
    <i>
      <x v="4"/>
    </i>
    <i>
      <x v="5"/>
    </i>
    <i>
      <x v="6"/>
    </i>
    <i>
      <x v="7"/>
    </i>
    <i>
      <x v="8"/>
    </i>
    <i>
      <x v="9"/>
    </i>
    <i t="grand">
      <x/>
    </i>
  </rowItems>
  <colFields count="1">
    <field x="-2"/>
  </colFields>
  <colItems count="6">
    <i>
      <x/>
    </i>
    <i i="1">
      <x v="1"/>
    </i>
    <i i="2">
      <x v="2"/>
    </i>
    <i i="3">
      <x v="3"/>
    </i>
    <i i="4">
      <x v="4"/>
    </i>
    <i i="5">
      <x v="5"/>
    </i>
  </colItems>
  <dataFields count="6">
    <dataField name="Sum of 1 - Most Deprived 20%" fld="1" baseField="0" baseItem="0"/>
    <dataField name="Sum of 2" fld="2" baseField="0" baseItem="0"/>
    <dataField name="Sum of 3" fld="3" baseField="0" baseItem="0"/>
    <dataField name="Sum of 4" fld="4" baseField="0" baseItem="0"/>
    <dataField name="Sum of 5 - Least Deprived 20%" fld="5" baseField="0" baseItem="0"/>
    <dataField name="Sum of All Scotlan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77353BC7-CD0F-4DB1-BBCA-80D214A3D372}" name="PivotTable6" cacheId="4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H15" firstHeaderRow="0" firstDataRow="1" firstDataCol="1"/>
  <pivotFields count="7">
    <pivotField axis="axisRow" showAll="0">
      <items count="11">
        <item x="0"/>
        <item x="1"/>
        <item x="2"/>
        <item x="3"/>
        <item x="4"/>
        <item x="5"/>
        <item x="6"/>
        <item x="7"/>
        <item x="8"/>
        <item x="9"/>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1">
    <i>
      <x/>
    </i>
    <i>
      <x v="1"/>
    </i>
    <i>
      <x v="2"/>
    </i>
    <i>
      <x v="3"/>
    </i>
    <i>
      <x v="4"/>
    </i>
    <i>
      <x v="5"/>
    </i>
    <i>
      <x v="6"/>
    </i>
    <i>
      <x v="7"/>
    </i>
    <i>
      <x v="8"/>
    </i>
    <i>
      <x v="9"/>
    </i>
    <i t="grand">
      <x/>
    </i>
  </rowItems>
  <colFields count="1">
    <field x="-2"/>
  </colFields>
  <colItems count="6">
    <i>
      <x/>
    </i>
    <i i="1">
      <x v="1"/>
    </i>
    <i i="2">
      <x v="2"/>
    </i>
    <i i="3">
      <x v="3"/>
    </i>
    <i i="4">
      <x v="4"/>
    </i>
    <i i="5">
      <x v="5"/>
    </i>
  </colItems>
  <dataFields count="6">
    <dataField name="Sum of 1 - Most Deprived 20%" fld="1" baseField="0" baseItem="0"/>
    <dataField name="Sum of 2" fld="2" baseField="0" baseItem="0"/>
    <dataField name="Sum of 3" fld="3" baseField="0" baseItem="0"/>
    <dataField name="Sum of 4" fld="4" baseField="0" baseItem="0"/>
    <dataField name="Sum of 5 - Least Deprived 20%" fld="5" baseField="0" baseItem="0"/>
    <dataField name="Sum of All Scotlan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ED2397E-0AB5-49FB-B5FE-92D55AA79CC7}" name="PivotTable1" cacheId="5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I17" firstHeaderRow="1" firstDataRow="2" firstDataCol="1"/>
  <pivotFields count="7">
    <pivotField axis="axisRow" showAll="0">
      <items count="12">
        <item x="1"/>
        <item x="2"/>
        <item x="3"/>
        <item x="4"/>
        <item x="5"/>
        <item x="6"/>
        <item x="7"/>
        <item x="8"/>
        <item x="9"/>
        <item x="10"/>
        <item x="0"/>
        <item t="default"/>
      </items>
    </pivotField>
    <pivotField axis="axisCol" showAll="0">
      <items count="7">
        <item x="1"/>
        <item x="2"/>
        <item x="3"/>
        <item x="4"/>
        <item x="5"/>
        <item x="0"/>
        <item t="default"/>
      </items>
    </pivotField>
    <pivotField showAll="0"/>
    <pivotField showAll="0"/>
    <pivotField dataField="1" showAll="0"/>
    <pivotField showAll="0"/>
    <pivotField showAll="0"/>
  </pivotFields>
  <rowFields count="1">
    <field x="0"/>
  </rowFields>
  <rowItems count="12">
    <i>
      <x/>
    </i>
    <i>
      <x v="1"/>
    </i>
    <i>
      <x v="2"/>
    </i>
    <i>
      <x v="3"/>
    </i>
    <i>
      <x v="4"/>
    </i>
    <i>
      <x v="5"/>
    </i>
    <i>
      <x v="6"/>
    </i>
    <i>
      <x v="7"/>
    </i>
    <i>
      <x v="8"/>
    </i>
    <i>
      <x v="9"/>
    </i>
    <i>
      <x v="10"/>
    </i>
    <i t="grand">
      <x/>
    </i>
  </rowItems>
  <colFields count="1">
    <field x="1"/>
  </colFields>
  <colItems count="7">
    <i>
      <x/>
    </i>
    <i>
      <x v="1"/>
    </i>
    <i>
      <x v="2"/>
    </i>
    <i>
      <x v="3"/>
    </i>
    <i>
      <x v="4"/>
    </i>
    <i>
      <x v="5"/>
    </i>
    <i t="grand">
      <x/>
    </i>
  </colItems>
  <dataFields count="1">
    <dataField name="Sum of pcAlarmsFitt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AE54E261-57D6-4E96-AD95-9A86AA078A1F}" name="PivotTable2" cacheId="5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25:I37" firstHeaderRow="0" firstDataRow="1" firstDataCol="1"/>
  <pivotFields count="8">
    <pivotField axis="axisRow" showAll="0">
      <items count="12">
        <item x="1"/>
        <item x="2"/>
        <item x="3"/>
        <item x="4"/>
        <item x="5"/>
        <item x="6"/>
        <item x="7"/>
        <item x="8"/>
        <item x="9"/>
        <item x="10"/>
        <item x="0"/>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7">
    <i>
      <x/>
    </i>
    <i i="1">
      <x v="1"/>
    </i>
    <i i="2">
      <x v="2"/>
    </i>
    <i i="3">
      <x v="3"/>
    </i>
    <i i="4">
      <x v="4"/>
    </i>
    <i i="5">
      <x v="5"/>
    </i>
    <i i="6">
      <x v="6"/>
    </i>
  </colItems>
  <dataFields count="7">
    <dataField name="Sum of 2 - Other Urban Areas" fld="2" baseField="0" baseItem="0"/>
    <dataField name="Sum of 1 - Large Urban Areas" fld="1" baseField="0" baseItem="0"/>
    <dataField name="Sum of 3 - Accessible Small Towns" fld="3" baseField="0" baseItem="0"/>
    <dataField name="Sum of 4 - Remote Small Towns" fld="4" baseField="0" baseItem="0"/>
    <dataField name="Sum of 5 - Accessible Rural" fld="5" baseField="0" baseItem="0"/>
    <dataField name="Sum of 6 - Remote Rural" fld="6" baseField="0" baseItem="0"/>
    <dataField name="Sum of All Scotland"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35B4A071-D75E-42C2-BD2B-F45CF80AF788}" name="PivotTable1" cacheId="4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I16" firstHeaderRow="0" firstDataRow="1" firstDataCol="1"/>
  <pivotFields count="8">
    <pivotField axis="axisRow" showAll="0">
      <items count="12">
        <item x="1"/>
        <item x="2"/>
        <item x="3"/>
        <item x="4"/>
        <item x="5"/>
        <item x="6"/>
        <item x="7"/>
        <item x="8"/>
        <item x="9"/>
        <item x="10"/>
        <item x="0"/>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2">
    <i>
      <x/>
    </i>
    <i>
      <x v="1"/>
    </i>
    <i>
      <x v="2"/>
    </i>
    <i>
      <x v="3"/>
    </i>
    <i>
      <x v="4"/>
    </i>
    <i>
      <x v="5"/>
    </i>
    <i>
      <x v="6"/>
    </i>
    <i>
      <x v="7"/>
    </i>
    <i>
      <x v="8"/>
    </i>
    <i>
      <x v="9"/>
    </i>
    <i>
      <x v="10"/>
    </i>
    <i t="grand">
      <x/>
    </i>
  </rowItems>
  <colFields count="1">
    <field x="-2"/>
  </colFields>
  <colItems count="7">
    <i>
      <x/>
    </i>
    <i i="1">
      <x v="1"/>
    </i>
    <i i="2">
      <x v="2"/>
    </i>
    <i i="3">
      <x v="3"/>
    </i>
    <i i="4">
      <x v="4"/>
    </i>
    <i i="5">
      <x v="5"/>
    </i>
    <i i="6">
      <x v="6"/>
    </i>
  </colItems>
  <dataFields count="7">
    <dataField name="Sum of 1 - Large Urban Areas" fld="1" baseField="0" baseItem="0"/>
    <dataField name="Sum of 2 - Other Urban Areas" fld="2" baseField="0" baseItem="0"/>
    <dataField name="Sum of 3 - Accessible Small Towns" fld="3" baseField="0" baseItem="0"/>
    <dataField name="Sum of 4 - Remote Small Towns" fld="4" baseField="0" baseItem="0"/>
    <dataField name="Sum of 5 - Accessible Rural" fld="5" baseField="0" baseItem="0"/>
    <dataField name="Sum of 6 - Remote Rural" fld="6" baseField="0" baseItem="0"/>
    <dataField name="Sum of All Scotland"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7B591DB-6156-4735-91ED-3699CB0F672C}" name="PivotTable10"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H36" firstHeaderRow="0" firstDataRow="1" firstDataCol="1" rowPageCount="1" colPageCount="1"/>
  <pivotFields count="10">
    <pivotField axis="axisPage" subtotalTop="0" showAll="0">
      <items count="7">
        <item x="2"/>
        <item x="0"/>
        <item x="4"/>
        <item x="3"/>
        <item x="1"/>
        <item x="5"/>
        <item t="default"/>
      </items>
    </pivotField>
    <pivotField subtotalTop="0" showAll="0"/>
    <pivotField axis="axisRow" subtotalTop="0" showAll="0">
      <items count="33">
        <item x="28"/>
        <item x="0"/>
        <item x="1"/>
        <item x="18"/>
        <item x="30"/>
        <item x="10"/>
        <item x="11"/>
        <item x="12"/>
        <item x="2"/>
        <item x="19"/>
        <item x="3"/>
        <item x="4"/>
        <item x="20"/>
        <item x="31"/>
        <item x="13"/>
        <item x="14"/>
        <item x="15"/>
        <item x="5"/>
        <item x="21"/>
        <item x="6"/>
        <item x="7"/>
        <item x="22"/>
        <item x="23"/>
        <item x="24"/>
        <item x="16"/>
        <item x="8"/>
        <item x="17"/>
        <item x="25"/>
        <item x="26"/>
        <item x="29"/>
        <item x="9"/>
        <item x="27"/>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7">
    <i>
      <x/>
    </i>
    <i i="1">
      <x v="1"/>
    </i>
    <i i="2">
      <x v="2"/>
    </i>
    <i i="3">
      <x v="3"/>
    </i>
    <i i="4">
      <x v="4"/>
    </i>
    <i i="5">
      <x v="5"/>
    </i>
    <i i="6">
      <x v="6"/>
    </i>
  </colItems>
  <pageFields count="1">
    <pageField fld="0" item="5" hier="-1"/>
  </pageFields>
  <dataFields count="7">
    <dataField name="Sum of Pumping Appliances" fld="3" baseField="0" baseItem="0"/>
    <dataField name="Sum of Aerial Appliances" fld="4" baseField="0" baseItem="0"/>
    <dataField name="Sum of Vehicles for Rescue Work" fld="6" baseField="0" baseItem="0"/>
    <dataField name="Sum of Small Firefighting Vehicles" fld="7" baseField="0" baseItem="0"/>
    <dataField name="Sum of Other Operational" fld="8" baseField="0" baseItem="0"/>
    <dataField name="Sum of Resilience Appliances" fld="5" baseField="0" baseItem="0"/>
    <dataField name="Sum of Total Appliances"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653D07D7-7FB0-434B-95AD-46FA47B5079E}" name="PivotTable1" cacheId="4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N37" firstHeaderRow="0" firstDataRow="1" firstDataCol="1" rowPageCount="1" colPageCount="1"/>
  <pivotFields count="15">
    <pivotField axis="axisPage" showAll="0">
      <items count="12">
        <item x="0"/>
        <item x="1"/>
        <item x="2"/>
        <item x="3"/>
        <item x="4"/>
        <item x="5"/>
        <item x="6"/>
        <item x="7"/>
        <item x="8"/>
        <item x="9"/>
        <item x="10"/>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2">
    <i>
      <x/>
    </i>
    <i i="1">
      <x v="1"/>
    </i>
    <i i="2">
      <x v="2"/>
    </i>
    <i i="3">
      <x v="3"/>
    </i>
    <i i="4">
      <x v="4"/>
    </i>
    <i i="5">
      <x v="5"/>
    </i>
    <i i="6">
      <x v="6"/>
    </i>
    <i i="7">
      <x v="7"/>
    </i>
    <i i="8">
      <x v="8"/>
    </i>
    <i i="9">
      <x v="9"/>
    </i>
    <i i="10">
      <x v="10"/>
    </i>
    <i i="11">
      <x v="11"/>
    </i>
  </colItems>
  <pageFields count="1">
    <pageField fld="0" item="10" hier="-1"/>
  </pageFields>
  <dataFields count="12">
    <dataField name="Sum of HFSV - alarms installed" fld="3" baseField="0" baseItem="0"/>
    <dataField name="Sum of HFSV - advice only" fld="4" baseField="0" baseItem="0"/>
    <dataField name="Sum of Total HFSV" fld="5" baseField="0" baseItem="0"/>
    <dataField name="Sum of TotalNewAlarms" fld="6" baseField="0" baseItem="0"/>
    <dataField name="Sum of TotalReplacedAlarms" fld="7" baseField="0" baseItem="0"/>
    <dataField name="Sum of TotalAlarms" fld="8" baseField="0" baseItem="0"/>
    <dataField name="Sum of Dwellings" fld="9" baseField="0" baseItem="0"/>
    <dataField name="Sum of VisitsPer100Dwelling" fld="10" baseField="0" baseItem="0"/>
    <dataField name="Sum of AlarmsPer100Dwelling" fld="11" baseField="0" baseItem="0"/>
    <dataField name="Sum of Households" fld="12" baseField="0" baseItem="0"/>
    <dataField name="Sum of VisitsPer100Household" fld="13" baseField="0" baseItem="0"/>
    <dataField name="Sum of AlarmsPer100Household"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FB780DB4-BDF3-42F8-B924-BAAEF1055CBE}"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C7:G18" firstHeaderRow="0" firstDataRow="1" firstDataCol="1"/>
  <pivotFields count="5">
    <pivotField axis="axisRow" showAll="0">
      <items count="11">
        <item x="6"/>
        <item x="4"/>
        <item x="0"/>
        <item x="3"/>
        <item x="5"/>
        <item x="9"/>
        <item x="1"/>
        <item x="2"/>
        <item x="7"/>
        <item x="8"/>
        <item t="default"/>
      </items>
    </pivotField>
    <pivotField dataField="1" showAll="0"/>
    <pivotField dataField="1" showAll="0"/>
    <pivotField dataField="1" showAll="0"/>
    <pivotField dataField="1" showAll="0"/>
  </pivotFields>
  <rowFields count="1">
    <field x="0"/>
  </rowFields>
  <rowItems count="11">
    <i>
      <x/>
    </i>
    <i>
      <x v="1"/>
    </i>
    <i>
      <x v="2"/>
    </i>
    <i>
      <x v="3"/>
    </i>
    <i>
      <x v="4"/>
    </i>
    <i>
      <x v="5"/>
    </i>
    <i>
      <x v="6"/>
    </i>
    <i>
      <x v="7"/>
    </i>
    <i>
      <x v="8"/>
    </i>
    <i>
      <x v="9"/>
    </i>
    <i t="grand">
      <x/>
    </i>
  </rowItems>
  <colFields count="1">
    <field x="-2"/>
  </colFields>
  <colItems count="4">
    <i>
      <x/>
    </i>
    <i i="1">
      <x v="1"/>
    </i>
    <i i="2">
      <x v="2"/>
    </i>
    <i i="3">
      <x v="3"/>
    </i>
  </colItems>
  <dataFields count="4">
    <dataField name="Sum of Audits" fld="1" baseField="0" baseItem="0"/>
    <dataField name="Sum of Post Fire Short Audits" fld="2" baseField="0" baseItem="0"/>
    <dataField name="Sum of Site Visits" fld="3" baseField="0" baseItem="0"/>
    <dataField name="Sum of Consultations"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BE1B95DC-E0B8-48DD-AC17-BA29F337D6AE}" name="PivotTable2" cacheId="3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7:K13" firstHeaderRow="1" firstDataRow="1" firstDataCol="1"/>
  <pivotFields count="2">
    <pivotField axis="axisRow" showAll="0">
      <items count="6">
        <item x="0"/>
        <item x="1"/>
        <item x="2"/>
        <item x="3"/>
        <item x="4"/>
        <item t="default"/>
      </items>
    </pivotField>
    <pivotField dataField="1" showAll="0"/>
  </pivotFields>
  <rowFields count="1">
    <field x="0"/>
  </rowFields>
  <rowItems count="6">
    <i>
      <x/>
    </i>
    <i>
      <x v="1"/>
    </i>
    <i>
      <x v="2"/>
    </i>
    <i>
      <x v="3"/>
    </i>
    <i>
      <x v="4"/>
    </i>
    <i t="grand">
      <x/>
    </i>
  </rowItems>
  <colItems count="1">
    <i/>
  </colItems>
  <dataFields count="1">
    <dataField name="Sum of Count"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A200-000000000000}" name="PivotTable2"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P39" firstHeaderRow="0" firstDataRow="1" firstDataCol="1" rowPageCount="1" colPageCount="1"/>
  <pivotFields count="18">
    <pivotField axis="axisPage" subtotalTop="0" showAll="0">
      <items count="11">
        <item x="0"/>
        <item x="1"/>
        <item x="2"/>
        <item x="3"/>
        <item x="4"/>
        <item x="5"/>
        <item x="6"/>
        <item x="7"/>
        <item x="8"/>
        <item x="9"/>
        <item t="default"/>
      </items>
    </pivotField>
    <pivotField axis="axisRow" subtotalTop="0" showAll="0">
      <items count="39">
        <item x="27"/>
        <item x="29"/>
        <item x="9"/>
        <item x="15"/>
        <item x="28"/>
        <item x="2"/>
        <item x="14"/>
        <item x="3"/>
        <item x="23"/>
        <item x="4"/>
        <item x="0"/>
        <item x="5"/>
        <item x="18"/>
        <item x="10"/>
        <item x="22"/>
        <item x="11"/>
        <item x="1"/>
        <item x="16"/>
        <item x="25"/>
        <item x="19"/>
        <item m="1" x="36"/>
        <item x="12"/>
        <item x="6"/>
        <item x="13"/>
        <item x="7"/>
        <item x="26"/>
        <item x="31"/>
        <item x="17"/>
        <item x="24"/>
        <item x="8"/>
        <item x="20"/>
        <item x="21"/>
        <item x="30"/>
        <item x="32"/>
        <item x="33"/>
        <item m="1" x="35"/>
        <item x="34"/>
        <item m="1" x="37"/>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pivotField dataField="1" subtotalTop="0" showAll="0"/>
    <pivotField dataField="1" subtotalTop="0" showAll="0"/>
    <pivotField dataField="1" subtotalTop="0" showAll="0"/>
  </pivotFields>
  <rowFields count="1">
    <field x="1"/>
  </rowFields>
  <rowItems count="36">
    <i>
      <x/>
    </i>
    <i>
      <x v="1"/>
    </i>
    <i>
      <x v="2"/>
    </i>
    <i>
      <x v="3"/>
    </i>
    <i>
      <x v="4"/>
    </i>
    <i>
      <x v="5"/>
    </i>
    <i>
      <x v="6"/>
    </i>
    <i>
      <x v="7"/>
    </i>
    <i>
      <x v="8"/>
    </i>
    <i>
      <x v="9"/>
    </i>
    <i>
      <x v="10"/>
    </i>
    <i>
      <x v="11"/>
    </i>
    <i>
      <x v="12"/>
    </i>
    <i>
      <x v="13"/>
    </i>
    <i>
      <x v="14"/>
    </i>
    <i>
      <x v="15"/>
    </i>
    <i>
      <x v="16"/>
    </i>
    <i>
      <x v="17"/>
    </i>
    <i>
      <x v="18"/>
    </i>
    <i>
      <x v="19"/>
    </i>
    <i>
      <x v="21"/>
    </i>
    <i>
      <x v="22"/>
    </i>
    <i>
      <x v="23"/>
    </i>
    <i>
      <x v="24"/>
    </i>
    <i>
      <x v="25"/>
    </i>
    <i>
      <x v="26"/>
    </i>
    <i>
      <x v="27"/>
    </i>
    <i>
      <x v="28"/>
    </i>
    <i>
      <x v="29"/>
    </i>
    <i>
      <x v="30"/>
    </i>
    <i>
      <x v="31"/>
    </i>
    <i>
      <x v="32"/>
    </i>
    <i>
      <x v="33"/>
    </i>
    <i>
      <x v="34"/>
    </i>
    <i>
      <x v="36"/>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9" hier="-1"/>
  </pageFields>
  <dataFields count="15">
    <dataField name="Sum of Hospital / Prison" fld="3" baseField="1" baseItem="0"/>
    <dataField name="Sum of Care Home" fld="4" baseField="1" baseItem="0"/>
    <dataField name="Sum of HMO" fld="5" baseField="1" baseItem="0"/>
    <dataField name="Sum of Hostel" fld="6" baseField="1" baseItem="0"/>
    <dataField name="Sum of Hotel" fld="7" baseField="1" baseItem="0"/>
    <dataField name="Sum of Further Education" fld="9" baseField="1" baseItem="0"/>
    <dataField name="Sum of Public Building" fld="10" baseField="1" baseItem="0"/>
    <dataField name="Sum of Licensed Premises" fld="11" baseField="1" baseItem="0"/>
    <dataField name="Sum of School" fld="12" baseField="1" baseItem="0"/>
    <dataField name="Sum of Shop" fld="13" baseField="1" baseItem="0"/>
    <dataField name="Sum of Other Sleeping Accomm" fld="8" baseField="1" baseItem="0"/>
    <dataField name="Sum of Factory or Warehouse" fld="15" baseField="1" baseItem="0"/>
    <dataField name="Sum of Office" fld="16" baseField="1" baseItem="0"/>
    <dataField name="Sum of Other Workplace" fld="17" baseField="1" baseItem="0"/>
    <dataField name="Sum of Other Premises Open to Public"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0000000-0007-0000-A600-000000000000}" name="PivotTable5" cacheId="38"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I19" firstHeaderRow="0" firstDataRow="1" firstDataCol="1" rowPageCount="1" colPageCount="1"/>
  <pivotFields count="11">
    <pivotField name="Year" axis="axisPage" subtotalTop="0" showAll="0">
      <items count="11">
        <item x="0"/>
        <item x="1"/>
        <item x="2"/>
        <item x="3"/>
        <item x="4"/>
        <item x="5"/>
        <item x="6"/>
        <item x="7"/>
        <item x="8"/>
        <item x="9"/>
        <item t="default"/>
      </items>
    </pivotField>
    <pivotField axis="axisRow" subtotalTop="0" showAll="0">
      <items count="16">
        <item x="0"/>
        <item x="1"/>
        <item x="2"/>
        <item x="3"/>
        <item x="4"/>
        <item x="5"/>
        <item x="6"/>
        <item x="7"/>
        <item x="8"/>
        <item x="9"/>
        <item x="10"/>
        <item x="11"/>
        <item x="12"/>
        <item x="13"/>
        <item x="14"/>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8">
    <i>
      <x/>
    </i>
    <i i="1">
      <x v="1"/>
    </i>
    <i i="2">
      <x v="2"/>
    </i>
    <i i="3">
      <x v="3"/>
    </i>
    <i i="4">
      <x v="4"/>
    </i>
    <i i="5">
      <x v="5"/>
    </i>
    <i i="6">
      <x v="6"/>
    </i>
    <i i="7">
      <x v="7"/>
    </i>
  </colItems>
  <pageFields count="1">
    <pageField fld="0" item="9" hier="-1"/>
  </pageFields>
  <dataFields count="8">
    <dataField name="Sum of A_Tally" fld="3" baseField="0" baseItem="0"/>
    <dataField name="Sum of A_Hours" fld="4" baseField="2" baseItem="0"/>
    <dataField name="Sum of B_Tally" fld="5" baseField="2" baseItem="0"/>
    <dataField name="Sum of B_Hours" fld="6" baseField="2" baseItem="0"/>
    <dataField name="Sum of Enforcement_Tally" fld="7" baseField="2" baseItem="0"/>
    <dataField name="Sum of Enforcement_Hours" fld="8" baseField="2" baseItem="0"/>
    <dataField name="Sum of Prohibition_Tally" fld="9" baseField="2" baseItem="0"/>
    <dataField name="Sum of Prohibition_Hours" fld="10"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AA00-000000000000}" name="PivotTable3" cacheId="6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I36" firstHeaderRow="0" firstDataRow="1" firstDataCol="1" rowPageCount="1" colPageCount="1"/>
  <pivotFields count="11">
    <pivotField name="Year" axis="axisPage" subtotalTop="0" showAll="0">
      <items count="12">
        <item m="1" x="10"/>
        <item x="0"/>
        <item x="1"/>
        <item x="2"/>
        <item x="3"/>
        <item x="4"/>
        <item x="5"/>
        <item x="6"/>
        <item x="7"/>
        <item x="8"/>
        <item x="9"/>
        <item t="default"/>
      </items>
    </pivotField>
    <pivotField axis="axisRow" subtotalTop="0" showAll="0">
      <items count="35">
        <item m="1" x="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33">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8">
    <i>
      <x/>
    </i>
    <i i="1">
      <x v="1"/>
    </i>
    <i i="2">
      <x v="2"/>
    </i>
    <i i="3">
      <x v="3"/>
    </i>
    <i i="4">
      <x v="4"/>
    </i>
    <i i="5">
      <x v="5"/>
    </i>
    <i i="6">
      <x v="6"/>
    </i>
    <i i="7">
      <x v="7"/>
    </i>
  </colItems>
  <pageFields count="1">
    <pageField fld="0" item="10" hier="-1"/>
  </pageFields>
  <dataFields count="8">
    <dataField name="Sum of A_Tally" fld="3" baseField="1" baseItem="0"/>
    <dataField name="Sum of A_Hours" fld="4" baseField="1" baseItem="0"/>
    <dataField name="Sum of B_Tally" fld="5" baseField="1" baseItem="0"/>
    <dataField name="Sum of B_Hours" fld="6" baseField="1" baseItem="0"/>
    <dataField name="Sum of Enforcement_Tally" fld="7" baseField="1" baseItem="0"/>
    <dataField name="Sum of Enforcement_Hours" fld="8" baseField="1" baseItem="0"/>
    <dataField name="Sum of Prohibition_Tally" fld="9" baseField="1" baseItem="0"/>
    <dataField name="Sum of Prohibition_Hours" fld="10"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37EA2A87-5574-4668-B121-83F62933DC10}" name="PivotTable1" cacheId="3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4:E15" firstHeaderRow="0" firstDataRow="1" firstDataCol="1"/>
  <pivotFields count="4">
    <pivotField axis="axisRow" showAll="0">
      <items count="11">
        <item x="0"/>
        <item x="1"/>
        <item x="2"/>
        <item x="3"/>
        <item x="4"/>
        <item x="5"/>
        <item x="6"/>
        <item x="7"/>
        <item x="8"/>
        <item x="9"/>
        <item t="default"/>
      </items>
    </pivotField>
    <pivotField dataField="1" showAll="0"/>
    <pivotField dataField="1" showAll="0"/>
    <pivotField dataField="1" showAll="0"/>
  </pivotFields>
  <rowFields count="1">
    <field x="0"/>
  </rowFields>
  <rowItems count="11">
    <i>
      <x/>
    </i>
    <i>
      <x v="1"/>
    </i>
    <i>
      <x v="2"/>
    </i>
    <i>
      <x v="3"/>
    </i>
    <i>
      <x v="4"/>
    </i>
    <i>
      <x v="5"/>
    </i>
    <i>
      <x v="6"/>
    </i>
    <i>
      <x v="7"/>
    </i>
    <i>
      <x v="8"/>
    </i>
    <i>
      <x v="9"/>
    </i>
    <i t="grand">
      <x/>
    </i>
  </rowItems>
  <colFields count="1">
    <field x="-2"/>
  </colFields>
  <colItems count="3">
    <i>
      <x/>
    </i>
    <i i="1">
      <x v="1"/>
    </i>
    <i i="2">
      <x v="2"/>
    </i>
  </colItems>
  <dataFields count="3">
    <dataField name="Sum of Enforcement Notice" fld="1" baseField="0" baseItem="0"/>
    <dataField name="Sum of Prohibition Notice" fld="2" baseField="0" baseItem="0"/>
    <dataField name="Sum of Alterations Notice"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00000000-0007-0000-AF00-000000000000}" name="PivotTable6" cacheId="3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G19" firstHeaderRow="0" firstDataRow="1" firstDataCol="1" rowPageCount="1" colPageCount="1"/>
  <pivotFields count="10">
    <pivotField axis="axisPage" subtotalTop="0" showAll="0">
      <items count="11">
        <item x="0"/>
        <item x="1"/>
        <item x="2"/>
        <item x="3"/>
        <item x="8"/>
        <item x="4"/>
        <item x="9"/>
        <item x="5"/>
        <item x="6"/>
        <item x="7"/>
        <item t="default"/>
      </items>
    </pivotField>
    <pivotField axis="axisRow" subtotalTop="0" showAll="0">
      <items count="16">
        <item x="1"/>
        <item x="3"/>
        <item x="9"/>
        <item x="12"/>
        <item x="14"/>
        <item x="0"/>
        <item x="2"/>
        <item x="10"/>
        <item x="5"/>
        <item x="7"/>
        <item x="4"/>
        <item x="6"/>
        <item x="13"/>
        <item x="11"/>
        <item x="8"/>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howAll="0"/>
    <pivotField subtotalTop="0"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6">
    <i>
      <x/>
    </i>
    <i i="1">
      <x v="1"/>
    </i>
    <i i="2">
      <x v="2"/>
    </i>
    <i i="3">
      <x v="3"/>
    </i>
    <i i="4">
      <x v="4"/>
    </i>
    <i i="5">
      <x v="5"/>
    </i>
  </colItems>
  <pageFields count="1">
    <pageField fld="0" item="9" hier="-1"/>
  </pageFields>
  <dataFields count="6">
    <dataField name="Sum of VL" fld="3" baseField="0" baseItem="0"/>
    <dataField name="Sum of L" fld="4" baseField="0" baseItem="0"/>
    <dataField name="Sum of M" fld="5" baseField="0" baseItem="0"/>
    <dataField name="Sum of H" fld="6" baseField="0" baseItem="0"/>
    <dataField name="Sum of VH" fld="7" baseField="0" baseItem="0"/>
    <dataField name="Sum of Not Known"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5BB4054-144E-4605-8AFA-3CF9966EFA0C}" name="PivotTable2"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G16" firstHeaderRow="0" firstDataRow="1" firstDataCol="1"/>
  <pivotFields count="7">
    <pivotField axis="axisRow" showAll="0">
      <items count="15">
        <item x="12"/>
        <item x="3"/>
        <item x="5"/>
        <item x="1"/>
        <item x="6"/>
        <item x="9"/>
        <item x="10"/>
        <item x="2"/>
        <item x="7"/>
        <item x="8"/>
        <item x="11"/>
        <item x="13"/>
        <item x="0"/>
        <item x="4"/>
        <item t="default"/>
      </items>
    </pivotField>
    <pivotField dataField="1" showAll="0"/>
    <pivotField dataField="1" showAll="0"/>
    <pivotField dataField="1" showAll="0"/>
    <pivotField dataField="1" showAll="0"/>
    <pivotField dataField="1" showAll="0"/>
    <pivotField dataField="1" showAll="0"/>
  </pivotFields>
  <rowFields count="1">
    <field x="0"/>
  </rowFields>
  <rowItems count="15">
    <i>
      <x/>
    </i>
    <i>
      <x v="1"/>
    </i>
    <i>
      <x v="2"/>
    </i>
    <i>
      <x v="3"/>
    </i>
    <i>
      <x v="4"/>
    </i>
    <i>
      <x v="5"/>
    </i>
    <i>
      <x v="6"/>
    </i>
    <i>
      <x v="7"/>
    </i>
    <i>
      <x v="8"/>
    </i>
    <i>
      <x v="9"/>
    </i>
    <i>
      <x v="10"/>
    </i>
    <i>
      <x v="11"/>
    </i>
    <i>
      <x v="12"/>
    </i>
    <i>
      <x v="13"/>
    </i>
    <i t="grand">
      <x/>
    </i>
  </rowItems>
  <colFields count="1">
    <field x="-2"/>
  </colFields>
  <colItems count="6">
    <i>
      <x/>
    </i>
    <i i="1">
      <x v="1"/>
    </i>
    <i i="2">
      <x v="2"/>
    </i>
    <i i="3">
      <x v="3"/>
    </i>
    <i i="4">
      <x v="4"/>
    </i>
    <i i="5">
      <x v="5"/>
    </i>
  </colItems>
  <dataFields count="6">
    <dataField name="Sum of WholeTime Operational" fld="1" baseField="0" baseItem="0"/>
    <dataField name="Sum of Retained Duty System" fld="2" baseField="0" baseItem="0"/>
    <dataField name="Sum of RDS Fulltime" fld="3" baseField="0" baseItem="0"/>
    <dataField name="Sum of Control" fld="4" baseField="0" baseItem="0"/>
    <dataField name="Sum of Support" fld="5" baseField="0" baseItem="0"/>
    <dataField name="Sum of Volunteer"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7FEB00D-0AFC-4E81-84BA-A98CF15CDEA0}" name="PivotTable4"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2:F36" firstHeaderRow="0" firstDataRow="1" firstDataCol="1"/>
  <pivotFields count="6">
    <pivotField axis="axisRow" showAll="0">
      <items count="14">
        <item x="8"/>
        <item x="5"/>
        <item x="1"/>
        <item x="9"/>
        <item x="2"/>
        <item x="6"/>
        <item x="10"/>
        <item x="0"/>
        <item x="3"/>
        <item x="11"/>
        <item x="7"/>
        <item x="4"/>
        <item x="12"/>
        <item t="default"/>
      </items>
    </pivotField>
    <pivotField dataField="1" showAll="0"/>
    <pivotField dataField="1" showAll="0"/>
    <pivotField dataField="1" showAll="0"/>
    <pivotField dataField="1" showAll="0"/>
    <pivotField dataField="1" showAll="0"/>
  </pivotFields>
  <rowFields count="1">
    <field x="0"/>
  </rowFields>
  <rowItems count="14">
    <i>
      <x/>
    </i>
    <i>
      <x v="1"/>
    </i>
    <i>
      <x v="2"/>
    </i>
    <i>
      <x v="3"/>
    </i>
    <i>
      <x v="4"/>
    </i>
    <i>
      <x v="5"/>
    </i>
    <i>
      <x v="6"/>
    </i>
    <i>
      <x v="7"/>
    </i>
    <i>
      <x v="8"/>
    </i>
    <i>
      <x v="9"/>
    </i>
    <i>
      <x v="10"/>
    </i>
    <i>
      <x v="11"/>
    </i>
    <i>
      <x v="12"/>
    </i>
    <i t="grand">
      <x/>
    </i>
  </rowItems>
  <colFields count="1">
    <field x="-2"/>
  </colFields>
  <colItems count="5">
    <i>
      <x/>
    </i>
    <i i="1">
      <x v="1"/>
    </i>
    <i i="2">
      <x v="2"/>
    </i>
    <i i="3">
      <x v="3"/>
    </i>
    <i i="4">
      <x v="4"/>
    </i>
  </colItems>
  <dataFields count="5">
    <dataField name="Sum of WholeTime Operational" fld="1" baseField="0" baseItem="0"/>
    <dataField name="Sum of Retained Duty System" fld="2" baseField="0" baseItem="0"/>
    <dataField name="Sum of RDS Fulltime" fld="3" baseField="0" baseItem="0"/>
    <dataField name="Sum of Control" fld="4" baseField="0" baseItem="0"/>
    <dataField name="Sum of Support"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736A1D6-0B1E-4868-ADFC-3D8E608660FB}" name="PivotTable3" cacheId="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E8" firstHeaderRow="0" firstDataRow="1" firstDataCol="1"/>
  <pivotFields count="5">
    <pivotField axis="axisRow" showAll="0">
      <items count="7">
        <item x="0"/>
        <item x="1"/>
        <item x="2"/>
        <item x="3"/>
        <item x="4"/>
        <item x="5"/>
        <item t="default"/>
      </items>
    </pivotField>
    <pivotField dataField="1" showAll="0"/>
    <pivotField dataField="1" showAll="0"/>
    <pivotField dataField="1" showAll="0"/>
    <pivotField dataField="1" showAll="0"/>
  </pivotFields>
  <rowFields count="1">
    <field x="0"/>
  </rowFields>
  <rowItems count="7">
    <i>
      <x/>
    </i>
    <i>
      <x v="1"/>
    </i>
    <i>
      <x v="2"/>
    </i>
    <i>
      <x v="3"/>
    </i>
    <i>
      <x v="4"/>
    </i>
    <i>
      <x v="5"/>
    </i>
    <i t="grand">
      <x/>
    </i>
  </rowItems>
  <colFields count="1">
    <field x="-2"/>
  </colFields>
  <colItems count="4">
    <i>
      <x/>
    </i>
    <i i="1">
      <x v="1"/>
    </i>
    <i i="2">
      <x v="2"/>
    </i>
    <i i="3">
      <x v="3"/>
    </i>
  </colItems>
  <dataFields count="4">
    <dataField name="Sum of Operational Crewing" fld="1" baseField="0" baseItem="0"/>
    <dataField name="Sum of Incident Command Officers" fld="2" baseField="0" baseItem="0"/>
    <dataField name="Sum of Office Duties" fld="3" baseField="0" baseItem="0"/>
    <dataField name="Sum of Trainees"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s-srs-v01_pds RAP HFSV_Outcome" connectionId="1" xr16:uid="{00000000-0016-0000-8000-00002A000000}" autoFormatId="16" applyNumberFormats="0" applyBorderFormats="0" applyFontFormats="0" applyPatternFormats="0" applyAlignmentFormats="0" applyWidthHeightFormats="0">
  <queryTableRefresh nextId="8">
    <queryTableFields count="7">
      <queryTableField id="1" name="Year" tableColumnId="1"/>
      <queryTableField id="2" name="HFSV - alarms installed" tableColumnId="2"/>
      <queryTableField id="3" name="HFSV - advice only" tableColumnId="3"/>
      <queryTableField id="4" name="Total HFSV" tableColumnId="4"/>
      <queryTableField id="5" name="Smoke alarms installed during HFSV" tableColumnId="5"/>
      <queryTableField id="6" name="New" tableColumnId="6"/>
      <queryTableField id="7" name="Replacement" tableColumnId="7"/>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00000000-0013-0000-FFFF-FFFF28000000}" sourceName="Year">
  <pivotTables>
    <pivotTable tabId="154" name="PivotTable2"/>
  </pivotTables>
  <data>
    <tabular pivotCacheId="124" sortOrder="descending">
      <items count="10">
        <i x="9" s="1"/>
        <i x="8"/>
        <i x="7"/>
        <i x="6"/>
        <i x="5"/>
        <i x="4"/>
        <i x="3"/>
        <i x="2"/>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9" xr10:uid="{00000000-0013-0000-FFFF-FFFF31000000}" sourceName="Year">
  <pivotTables>
    <pivotTable tabId="179" name="PivotTable4"/>
  </pivotTables>
  <data>
    <tabular pivotCacheId="133" sortOrder="descending">
      <items count="11">
        <i x="6" s="1"/>
        <i x="8"/>
        <i x="2"/>
        <i x="9"/>
        <i x="7"/>
        <i x="1"/>
        <i x="5"/>
        <i x="4"/>
        <i x="10"/>
        <i x="3"/>
        <i x="0"/>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0" xr10:uid="{00000000-0013-0000-FFFF-FFFF32000000}" sourceName="Year">
  <pivotTables>
    <pivotTable tabId="183" name="PivotTable6"/>
  </pivotTables>
  <data>
    <tabular pivotCacheId="134" sortOrder="descending">
      <items count="11">
        <i x="5" s="1"/>
        <i x="2"/>
        <i x="9"/>
        <i x="3"/>
        <i x="1"/>
        <i x="10"/>
        <i x="8"/>
        <i x="4"/>
        <i x="0"/>
        <i x="7"/>
        <i x="6"/>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1" xr10:uid="{00000000-0013-0000-FFFF-FFFF33000000}" sourceName="Year">
  <pivotTables>
    <pivotTable tabId="185" name="PivotTable7"/>
  </pivotTables>
  <data>
    <tabular pivotCacheId="135" sortOrder="descending">
      <items count="6">
        <i x="5" s="1"/>
        <i x="4"/>
        <i x="3"/>
        <i x="2"/>
        <i x="1"/>
        <i x="0"/>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2" xr10:uid="{00000000-0013-0000-FFFF-FFFF34000000}" sourceName="Year">
  <pivotTables>
    <pivotTable tabId="187" name="PivotTable8"/>
  </pivotTables>
  <data>
    <tabular pivotCacheId="136" sortOrder="descending">
      <items count="11">
        <i x="10" s="1"/>
        <i x="3"/>
        <i x="2"/>
        <i x="8"/>
        <i x="9"/>
        <i x="7"/>
        <i x="6"/>
        <i x="5"/>
        <i x="1"/>
        <i x="4"/>
        <i x="0"/>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3" xr10:uid="{00000000-0013-0000-FFFF-FFFF35000000}" sourceName="Year">
  <pivotTables>
    <pivotTable tabId="189" name="PivotTable9"/>
  </pivotTables>
  <data>
    <tabular pivotCacheId="137" sortOrder="descending">
      <items count="12">
        <i x="10" s="1"/>
        <i x="9"/>
        <i x="8"/>
        <i x="7"/>
        <i x="6"/>
        <i x="5"/>
        <i x="4"/>
        <i x="3"/>
        <i x="2"/>
        <i x="1"/>
        <i x="0"/>
        <i x="1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4" xr10:uid="{00000000-0013-0000-FFFF-FFFF36000000}" sourceName="Year">
  <pivotTables>
    <pivotTable tabId="192" name="PivotTable11"/>
  </pivotTables>
  <data>
    <tabular pivotCacheId="138" sortOrder="descending">
      <items count="11">
        <i x="10" s="1"/>
        <i x="9"/>
        <i x="8"/>
        <i x="7"/>
        <i x="6"/>
        <i x="5"/>
        <i x="4"/>
        <i x="3"/>
        <i x="2"/>
        <i x="1"/>
        <i x="0"/>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6" xr10:uid="{00000000-0013-0000-FFFF-FFFF37000000}" sourceName="Year">
  <pivotTables>
    <pivotTable tabId="197" name="PivotTable2"/>
  </pivotTables>
  <data>
    <tabular pivotCacheId="140" sortOrder="descending">
      <items count="12">
        <i x="10" s="1"/>
        <i x="9"/>
        <i x="8"/>
        <i x="7"/>
        <i x="6"/>
        <i x="5"/>
        <i x="4"/>
        <i x="3"/>
        <i x="2"/>
        <i x="1"/>
        <i x="0"/>
        <i x="1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7" xr10:uid="{00000000-0013-0000-FFFF-FFFF38000000}" sourceName="Year">
  <pivotTables>
    <pivotTable tabId="199" name="PivotTable3"/>
  </pivotTables>
  <data>
    <tabular pivotCacheId="141" sortOrder="descending">
      <items count="12">
        <i x="10" s="1"/>
        <i x="9"/>
        <i x="8"/>
        <i x="7"/>
        <i x="6"/>
        <i x="5"/>
        <i x="4"/>
        <i x="3"/>
        <i x="2"/>
        <i x="1"/>
        <i x="0"/>
        <i x="1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8" xr10:uid="{00000000-0013-0000-FFFF-FFFF39000000}" sourceName="Year">
  <pivotTables>
    <pivotTable tabId="201" name="PivotTable4"/>
  </pivotTables>
  <data>
    <tabular pivotCacheId="142" sortOrder="descending">
      <items count="12">
        <i x="11" s="1"/>
        <i x="10"/>
        <i x="9"/>
        <i x="8"/>
        <i x="7"/>
        <i x="6"/>
        <i x="5"/>
        <i x="4"/>
        <i x="3"/>
        <i x="2"/>
        <i x="1"/>
        <i x="0"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9" xr10:uid="{00000000-0013-0000-FFFF-FFFF3A000000}" sourceName="Year">
  <pivotTables>
    <pivotTable tabId="203" name="PivotTable5"/>
  </pivotTables>
  <data>
    <tabular pivotCacheId="143" sortOrder="descending">
      <items count="11">
        <i x="10" s="1"/>
        <i x="9"/>
        <i x="8"/>
        <i x="7"/>
        <i x="6"/>
        <i x="5"/>
        <i x="4"/>
        <i x="3"/>
        <i x="2"/>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Yr19" xr10:uid="{00000000-0013-0000-FFFF-FFFF29000000}" sourceName="FisYr">
  <pivotTables>
    <pivotTable tabId="157" name="PivotTable3"/>
  </pivotTables>
  <data>
    <tabular pivotCacheId="125" sortOrder="descending">
      <items count="11">
        <i x="9" s="1"/>
        <i x="8"/>
        <i x="7"/>
        <i x="6"/>
        <i x="5"/>
        <i x="4"/>
        <i x="3"/>
        <i x="2"/>
        <i x="1"/>
        <i x="0"/>
        <i x="10"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0" xr10:uid="{00000000-0013-0000-FFFF-FFFF3B000000}" sourceName="Year">
  <pivotTables>
    <pivotTable tabId="207" name="PivotTable7"/>
  </pivotTables>
  <data>
    <tabular pivotCacheId="144" sortOrder="descending">
      <items count="11">
        <i x="7" s="1"/>
        <i x="6"/>
        <i x="9"/>
        <i x="5"/>
        <i x="4"/>
        <i x="3"/>
        <i x="10"/>
        <i x="8"/>
        <i x="2"/>
        <i x="1"/>
        <i x="0"/>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1" xr10:uid="{00000000-0013-0000-FFFF-FFFF3C000000}" sourceName="Year">
  <pivotTables>
    <pivotTable tabId="209" name="PivotTable8"/>
  </pivotTables>
  <data>
    <tabular pivotCacheId="145" sortOrder="descending">
      <items count="11">
        <i x="9" s="1"/>
        <i x="8"/>
        <i x="7"/>
        <i x="6"/>
        <i x="5"/>
        <i x="4"/>
        <i x="3"/>
        <i x="10"/>
        <i x="2"/>
        <i x="1"/>
        <i x="0"/>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2" xr10:uid="{00000000-0013-0000-FFFF-FFFF3D000000}" sourceName="Year">
  <pivotTables>
    <pivotTable tabId="215" name="PivotTable10"/>
  </pivotTables>
  <data>
    <tabular pivotCacheId="2080512633" sortOrder="descending">
      <items count="6">
        <i x="5" s="1"/>
        <i x="1"/>
        <i x="3"/>
        <i x="4"/>
        <i x="0"/>
        <i x="2"/>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3" xr10:uid="{00000000-0013-0000-FFFF-FFFF3E000000}" sourceName="Year">
  <pivotTables>
    <pivotTable tabId="217" name="PivotTable11"/>
  </pivotTables>
  <data>
    <tabular pivotCacheId="147" sortOrder="descending">
      <items count="11">
        <i x="10" s="1"/>
        <i x="9"/>
        <i x="8"/>
        <i x="7"/>
        <i x="6"/>
        <i x="5"/>
        <i x="4"/>
        <i x="3"/>
        <i x="2"/>
        <i x="1"/>
        <i x="0"/>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4" xr10:uid="{00000000-0013-0000-FFFF-FFFF3F000000}" sourceName="Year">
  <pivotTables>
    <pivotTable tabId="223" name="PivotTable2"/>
  </pivotTables>
  <data>
    <tabular pivotCacheId="146775136" sortOrder="descending">
      <items count="6">
        <i x="5" s="1"/>
        <i x="4"/>
        <i x="3"/>
        <i x="2"/>
        <i x="1"/>
        <i x="0"/>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5" xr10:uid="{00000000-0013-0000-FFFF-FFFF40000000}" sourceName="Year">
  <pivotTables>
    <pivotTable tabId="226" name="PivotTable4"/>
  </pivotTables>
  <data>
    <tabular pivotCacheId="660575726" sortOrder="descending">
      <items count="10">
        <i x="9" s="1"/>
        <i x="8"/>
        <i x="7"/>
        <i x="2"/>
        <i x="1"/>
        <i x="0"/>
        <i x="3"/>
        <i x="4"/>
        <i x="5"/>
        <i x="6"/>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00000000-0013-0000-FFFF-FFFF42000000}" sourceName="Year">
  <pivotTables>
    <pivotTable tabId="181" name="PivotTable5"/>
  </pivotTables>
  <data>
    <tabular pivotCacheId="155" sortOrder="descending">
      <items count="12">
        <i x="1" s="1"/>
        <i x="4"/>
        <i x="3"/>
        <i x="0"/>
        <i x="2"/>
        <i x="5"/>
        <i x="9"/>
        <i x="10"/>
        <i x="8"/>
        <i x="6"/>
        <i x="7"/>
        <i x="11" nd="1"/>
      </items>
    </tabular>
  </data>
  <extLst>
    <x:ext xmlns:x15="http://schemas.microsoft.com/office/spreadsheetml/2010/11/main" uri="{470722E0-AACD-4C17-9CDC-17EF765DBC7E}">
      <x15:slicerCacheHideItemsWithNoData/>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5" xr10:uid="{00000000-0013-0000-FFFF-FFFF43000000}" sourceName="Year">
  <pivotTables>
    <pivotTable tabId="195" name="PivotTable2"/>
  </pivotTables>
  <data>
    <tabular pivotCacheId="156" sortOrder="descending">
      <items count="11">
        <i x="10" s="1"/>
        <i x="9"/>
        <i x="8"/>
        <i x="7"/>
        <i x="6"/>
        <i x="5"/>
        <i x="4"/>
        <i x="3"/>
        <i x="2"/>
        <i x="1"/>
        <i x="0"/>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6" xr10:uid="{00000000-0013-0000-FFFF-FFFF44000000}" sourceName="Year">
  <pivotTables>
    <pivotTable tabId="205" name="PivotTable6"/>
  </pivotTables>
  <data>
    <tabular pivotCacheId="157" sortOrder="descending">
      <items count="11">
        <i x="10" s="1"/>
        <i x="9"/>
        <i x="8"/>
        <i x="7"/>
        <i x="6"/>
        <i x="5"/>
        <i x="4"/>
        <i x="3"/>
        <i x="2"/>
        <i x="1"/>
        <i x="0"/>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8" xr10:uid="{00000000-0013-0000-FFFF-FFFF45000000}" sourceName="Year">
  <pivotTables>
    <pivotTable tabId="228" name="PivotTable7"/>
  </pivotTables>
  <data>
    <tabular pivotCacheId="158" sortOrder="descending">
      <items count="6">
        <i x="5" s="1"/>
        <i x="4"/>
        <i x="3"/>
        <i x="2"/>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Yr20" xr10:uid="{00000000-0013-0000-FFFF-FFFF2A000000}" sourceName="FisYr">
  <pivotTables>
    <pivotTable tabId="159" name="PivotTable5"/>
  </pivotTables>
  <data>
    <tabular pivotCacheId="126" sortOrder="descending">
      <items count="10">
        <i x="9" s="1"/>
        <i x="8"/>
        <i x="7"/>
        <i x="6"/>
        <i x="5"/>
        <i x="4"/>
        <i x="3"/>
        <i x="2"/>
        <i x="1"/>
        <i x="0"/>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9" xr10:uid="{00000000-0013-0000-FFFF-FFFF46000000}" sourceName="Year">
  <pivotTables>
    <pivotTable tabId="228" name="PivotTable9"/>
  </pivotTables>
  <data>
    <tabular pivotCacheId="159" sortOrder="descending">
      <items count="6">
        <i x="5" s="1"/>
        <i x="4"/>
        <i x="3"/>
        <i x="2"/>
        <i x="1"/>
        <i x="0"/>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Yr" xr10:uid="{A406BAC0-2424-4C29-BD4C-BD924EC74016}" sourceName="FiscalYr">
  <pivotTables>
    <pivotTable tabId="228" name="PivotTable10"/>
  </pivotTables>
  <data>
    <tabular pivotCacheId="1464648369" sortOrder="descending">
      <items count="6">
        <i x="4" s="1"/>
        <i x="5"/>
        <i x="3"/>
        <i x="2"/>
        <i x="1"/>
        <i x="0"/>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calYr1" xr10:uid="{6ED619F4-876F-4370-A423-5C3FA44A3962}" sourceName="FiscalYr">
  <pivotTables>
    <pivotTable tabId="228" name="PivotTable11"/>
  </pivotTables>
  <data>
    <tabular pivotCacheId="364994653" sortOrder="descending">
      <items count="6">
        <i x="4" s="1"/>
        <i x="3"/>
        <i x="5"/>
        <i x="2"/>
        <i x="1"/>
        <i x="0"/>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Yr22" xr10:uid="{9E95B9CE-B6DE-4D73-A038-9A263CDE7DDD}" sourceName="FisYr">
  <pivotTables>
    <pivotTable tabId="150" name="PivotTable1"/>
  </pivotTables>
  <data>
    <tabular pivotCacheId="893933024" sortOrder="descending">
      <items count="11">
        <i x="10" s="1"/>
        <i x="9"/>
        <i x="8"/>
        <i x="7"/>
        <i x="6"/>
        <i x="5"/>
        <i x="4"/>
        <i x="3"/>
        <i x="2"/>
        <i x="1"/>
        <i x="0"/>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sYr24" xr10:uid="{00000000-0013-0000-FFFF-FFFF4A000000}" sourceName="Year">
  <extLst>
    <x:ext xmlns:x15="http://schemas.microsoft.com/office/spreadsheetml/2010/11/main" uri="{2F2917AC-EB37-4324-AD4E-5DD8C200BD13}">
      <x15:tableSlicerCache tableId="17" column="9" sortOrder="descending"/>
    </x:ext>
  </extLst>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7" xr10:uid="{04DD96BA-0262-482D-AC22-2656E8826D1B}" sourceName="Year">
  <extLst>
    <x:ext xmlns:x15="http://schemas.microsoft.com/office/spreadsheetml/2010/11/main" uri="{2F2917AC-EB37-4324-AD4E-5DD8C200BD13}">
      <x15:tableSlicerCache tableId="26" column="1" sortOrder="descending"/>
    </x:ext>
  </extLst>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7" xr10:uid="{6A134B19-FDF8-4E82-BDBF-9EF042313146}" sourceName="FisYr">
  <extLst>
    <x:ext xmlns:x15="http://schemas.microsoft.com/office/spreadsheetml/2010/11/main" uri="{2F2917AC-EB37-4324-AD4E-5DD8C200BD13}">
      <x15:tableSlicerCache tableId="9" column="1" sortOrder="descending"/>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00000000-0013-0000-FFFF-FFFF2B000000}" sourceName="Year">
  <pivotTables>
    <pivotTable tabId="161" name="PivotTable6"/>
  </pivotTables>
  <data>
    <tabular pivotCacheId="127" sortOrder="descending">
      <items count="10">
        <i x="7" s="1"/>
        <i x="6"/>
        <i x="5"/>
        <i x="9"/>
        <i x="4"/>
        <i x="8"/>
        <i x="3"/>
        <i x="2"/>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00000000-0013-0000-FFFF-FFFF2C000000}" sourceName="Year">
  <pivotTables>
    <pivotTable tabId="164" name="PivotTable1"/>
  </pivotTables>
  <data>
    <tabular pivotCacheId="128" sortOrder="descending">
      <items count="11">
        <i x="9" s="1"/>
        <i x="8"/>
        <i x="7"/>
        <i x="6"/>
        <i x="10"/>
        <i x="5"/>
        <i x="4"/>
        <i x="3"/>
        <i x="2"/>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5" xr10:uid="{00000000-0013-0000-FFFF-FFFF2D000000}" sourceName="Year">
  <pivotTables>
    <pivotTable tabId="168" name="PivotTable3"/>
  </pivotTables>
  <data>
    <tabular pivotCacheId="129" sortOrder="descending">
      <items count="11">
        <i x="9" s="1"/>
        <i x="6"/>
        <i x="5"/>
        <i x="4"/>
        <i x="3"/>
        <i x="10"/>
        <i x="2"/>
        <i x="1"/>
        <i x="0"/>
        <i x="8"/>
        <i x="7"/>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4" xr10:uid="{00000000-0013-0000-FFFF-FFFF2E000000}" sourceName="Year">
  <pivotTables>
    <pivotTable tabId="170" name="PivotTable1"/>
  </pivotTables>
  <data>
    <tabular pivotCacheId="130" sortOrder="descending">
      <items count="7">
        <i x="2" s="1"/>
        <i x="6"/>
        <i x="5"/>
        <i x="1"/>
        <i x="0"/>
        <i x="4"/>
        <i x="3"/>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6" xr10:uid="{00000000-0013-0000-FFFF-FFFF2F000000}" sourceName="Year">
  <pivotTables>
    <pivotTable tabId="172" name="PivotTable2"/>
  </pivotTables>
  <data>
    <tabular pivotCacheId="1456221594" sortOrder="descending">
      <items count="6">
        <i x="5" s="1"/>
        <i x="4"/>
        <i x="3"/>
        <i x="2"/>
        <i x="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8" xr10:uid="{00000000-0013-0000-FFFF-FFFF30000000}" sourceName="Year">
  <pivotTables>
    <pivotTable tabId="174" name="PivotTable1"/>
  </pivotTables>
  <data>
    <tabular pivotCacheId="132" sortOrder="descending">
      <items count="7">
        <i x="5" s="1"/>
        <i x="4"/>
        <i x="3"/>
        <i x="2"/>
        <i x="1"/>
        <i x="0"/>
        <i x="6"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Yr 16" xr10:uid="{00000000-0014-0000-FFFF-FFFF01000000}" cache="Slicer_FisYr24" caption="Year" columnCount="6" showCaption="0"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462ABC23-1584-4414-AB69-F69CAA63687D}" cache="Slicer_Year7" caption="Year" columnCount="6" showCaption="0" rowHeight="241300"/>
  <slicer name="Year 23" xr10:uid="{28C5D731-1D48-4DF6-8E29-885F713C6283}" cache="Slicer_Year27" caption="FisYr" columnCount="6" showCaption="0"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7" xr10:uid="{00000000-0014-0000-FFFF-FFFF16000000}" cache="Slicer_Year9" caption="Year" columnCount="8"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8" xr10:uid="{00000000-0014-0000-FFFF-FFFF17000000}" cache="Slicer_Year9" caption="Year" columnCount="11" showCaption="0" rowHeight="24130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00000000-0014-0000-FFFF-FFFF19000000}" cache="Slicer_Year" caption="Year" rowHeight="24130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 xr10:uid="{00000000-0014-0000-FFFF-FFFF1A000000}" cache="Slicer_Year" caption="Year" columnCount="11" showCaption="0" rowHeight="241300"/>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00000000-0014-0000-FFFF-FFFF1B000000}" cache="Slicer_Year10" caption="Year" columnCount="8" rowHeight="241300"/>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9" xr10:uid="{00000000-0014-0000-FFFF-FFFF1C000000}" cache="Slicer_Year10" caption="Year" columnCount="11" showCaption="0" rowHeight="241300"/>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0" xr10:uid="{00000000-0014-0000-FFFF-FFFF1D000000}" cache="Slicer_Year11" caption="Year" columnCount="3" rowHeight="241300"/>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1" xr10:uid="{00000000-0014-0000-FFFF-FFFF1E000000}" cache="Slicer_Year11" caption="Year" columnCount="6" showCaption="0" rowHeight="241300"/>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2" xr10:uid="{00000000-0014-0000-FFFF-FFFF20000000}" cache="Slicer_Year12" caption="Year" columnCount="8"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9" xr10:uid="{00000000-0014-0000-FFFF-FFFF03000000}" cache="Slicer_Year24" caption="Year" columnCount="6" showCaption="0" rowHeight="241300"/>
</slicers>
</file>

<file path=xl/slicers/slicer2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3" xr10:uid="{00000000-0014-0000-FFFF-FFFF21000000}" cache="Slicer_Year12" caption="Year" columnCount="11" showCaption="0" rowHeight="241300"/>
</slicers>
</file>

<file path=xl/slicers/slicer2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4" xr10:uid="{00000000-0014-0000-FFFF-FFFF24000000}" cache="Slicer_Year13" caption="Year" columnCount="8" rowHeight="241300"/>
</slicers>
</file>

<file path=xl/slicers/slicer2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5" xr10:uid="{00000000-0014-0000-FFFF-FFFF25000000}" cache="Slicer_Year13" caption="Year" columnCount="11" showCaption="0" rowHeight="241300"/>
</slicers>
</file>

<file path=xl/slicers/slicer2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6" xr10:uid="{00000000-0014-0000-FFFF-FFFF26000000}" cache="Slicer_Year14" caption="Year" columnCount="8" rowHeight="241300"/>
</slicers>
</file>

<file path=xl/slicers/slicer2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7" xr10:uid="{00000000-0014-0000-FFFF-FFFF27000000}" cache="Slicer_Year14" caption="Year" columnCount="11" showCaption="0" rowHeight="241300"/>
</slicers>
</file>

<file path=xl/slicers/slicer2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 xr10:uid="{00000000-0014-0000-FFFF-FFFF28000000}" cache="Slicer_Year15" caption="Year" columnCount="9" showCaption="0" rowHeight="241300"/>
</slicers>
</file>

<file path=xl/slicers/slicer2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6" xr10:uid="{00000000-0014-0000-FFFF-FFFF29000000}" cache="Slicer_Year23" caption="Year" columnCount="8" rowHeight="241300"/>
</slicers>
</file>

<file path=xl/slicers/slicer2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7" xr10:uid="{00000000-0014-0000-FFFF-FFFF2A000000}" cache="Slicer_Year23" caption="Year" columnCount="11" showCaption="0" rowHeight="241300"/>
  <slicer name="Year 5" xr10:uid="{00000000-0014-0000-FFFF-FFFF2B000000}" cache="Slicer_Year15" caption="Year" columnCount="11" showCaption="0" rowHeight="241300"/>
</slicers>
</file>

<file path=xl/slicers/slicer2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1" xr10:uid="{00000000-0014-0000-FFFF-FFFF2C000000}" cache="Slicer_Year16" caption="Year" columnCount="9" showCaption="0" rowHeight="241300"/>
</slicers>
</file>

<file path=xl/slicers/slicer2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2" xr10:uid="{00000000-0014-0000-FFFF-FFFF2D000000}" cache="Slicer_Year16" caption="Year" columnCount="11" showCaption="0"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8" xr10:uid="{00000000-0014-0000-FFFF-FFFF04000000}" cache="Slicer_Year24" caption="Year" columnCount="3" rowHeight="241300"/>
</slicers>
</file>

<file path=xl/slicers/slicer3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3" xr10:uid="{00000000-0014-0000-FFFF-FFFF35000000}" cache="Slicer_Year17" caption="Year" columnCount="8" rowHeight="241300"/>
</slicers>
</file>

<file path=xl/slicers/slicer3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5" xr10:uid="{00000000-0014-0000-FFFF-FFFF36000000}" cache="Slicer_Year17" caption="Year" columnCount="11" showCaption="0" rowHeight="241300"/>
</slicers>
</file>

<file path=xl/slicers/slicer3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6" xr10:uid="{00000000-0014-0000-FFFF-FFFF39000000}" cache="Slicer_Year18" caption="Year" columnCount="9" showCaption="0" rowHeight="241300"/>
</slicers>
</file>

<file path=xl/slicers/slicer3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7" xr10:uid="{00000000-0014-0000-FFFF-FFFF3A000000}" cache="Slicer_Year18" caption="Year" columnCount="11" showCaption="0" rowHeight="241300"/>
</slicers>
</file>

<file path=xl/slicers/slicer3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8" xr10:uid="{00000000-0014-0000-FFFF-FFFF3B000000}" cache="Slicer_Year19" caption="Year" columnCount="9" showCaption="0" rowHeight="241300"/>
</slicers>
</file>

<file path=xl/slicers/slicer3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39" xr10:uid="{00000000-0014-0000-FFFF-FFFF3C000000}" cache="Slicer_Year26" caption="Year" columnCount="9" showCaption="0" rowHeight="241300"/>
</slicers>
</file>

<file path=xl/slicers/slicer3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49" xr10:uid="{00000000-0014-0000-FFFF-FFFF3D000000}" cache="Slicer_Year19" caption="Year" columnCount="11" showCaption="0" rowHeight="241300"/>
  <slicer name="Year 40" xr10:uid="{00000000-0014-0000-FFFF-FFFF3E000000}" cache="Slicer_Year26" caption="Year" columnCount="11" showCaption="0" rowHeight="241300"/>
</slicers>
</file>

<file path=xl/slicers/slicer3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0" xr10:uid="{00000000-0014-0000-FFFF-FFFF3F000000}" cache="Slicer_Year20" caption="Year" columnCount="8" rowHeight="241300"/>
</slicers>
</file>

<file path=xl/slicers/slicer3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1" xr10:uid="{00000000-0014-0000-FFFF-FFFF40000000}" cache="Slicer_Year20" caption="Year" columnCount="11" showCaption="0" rowHeight="241300"/>
</slicers>
</file>

<file path=xl/slicers/slicer3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4" xr10:uid="{00000000-0014-0000-FFFF-FFFF46000000}" cache="Slicer_Year3" caption="Year" columnCount="8"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0" xr10:uid="{00000000-0014-0000-FFFF-FFFF07000000}" cache="Slicer_Year25" caption="Year" columnCount="7" rowHeight="241300"/>
</slicers>
</file>

<file path=xl/slicers/slicer4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5" xr10:uid="{00000000-0014-0000-FFFF-FFFF47000000}" cache="Slicer_Year3" caption="Year" columnCount="11" showCaption="0" rowHeight="241300"/>
</slicers>
</file>

<file path=xl/slicers/slicer4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2" xr10:uid="{00000000-0014-0000-FFFF-FFFF48000000}" cache="Slicer_Year21" caption="Year" columnCount="7" rowHeight="241300"/>
</slicers>
</file>

<file path=xl/slicers/slicer4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3" xr10:uid="{00000000-0014-0000-FFFF-FFFF49000000}" cache="Slicer_Year21" caption="Year" columnCount="11" showCaption="0" rowHeight="241300"/>
</slicers>
</file>

<file path=xl/slicers/slicer4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8" xr10:uid="{00000000-0014-0000-FFFF-FFFF4B000000}" cache="Slicer_Year5" caption="Year" columnCount="9" rowHeight="241300"/>
</slicers>
</file>

<file path=xl/slicers/slicer4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9" xr10:uid="{00000000-0014-0000-FFFF-FFFF4C000000}" cache="Slicer_Year5" caption="Year" columnCount="11" showCaption="0" rowHeight="241300"/>
  <slicer name="Year 20" xr10:uid="{00000000-0014-0000-FFFF-FFFF4D000000}" cache="Slicer_Year5" caption="Year" columnCount="11" showCaption="0" rowHeight="241300"/>
</slicers>
</file>

<file path=xl/slicers/slicer4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6" xr10:uid="{00000000-0014-0000-FFFF-FFFF4F000000}" cache="Slicer_Year4" caption="Year" columnCount="4" rowHeight="241300"/>
</slicers>
</file>

<file path=xl/slicers/slicer4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7" xr10:uid="{00000000-0014-0000-FFFF-FFFF50000000}" cache="Slicer_Year4" caption="Year" columnCount="7" showCaption="0" rowHeight="241300"/>
  <slicer name="Year 21" xr10:uid="{00000000-0014-0000-FFFF-FFFF51000000}" cache="Slicer_Year4" caption="Year" columnCount="7" showCaption="0" rowHeight="241300"/>
</slicers>
</file>

<file path=xl/slicers/slicer4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3" xr10:uid="{00000000-0014-0000-FFFF-FFFF53000000}" cache="Slicer_Year28" caption="Year" columnCount="6" showCaption="0" rowHeight="241300"/>
  <slicer name="Year 65" xr10:uid="{00000000-0014-0000-FFFF-FFFF54000000}" cache="Slicer_Year29" caption="Year" columnCount="6" showCaption="0" rowHeight="241300"/>
  <slicer name="FiscalYr 1" xr10:uid="{201342B7-0BB9-4C7B-A98F-3C91DFD43459}" cache="Slicer_FiscalYr" caption="FiscalYr" columnCount="6" showCaption="0" rowHeight="241300"/>
  <slicer name="FiscalYr 3" xr10:uid="{97C04DE8-8F93-4C89-9788-4C68B994A40B}" cache="Slicer_FiscalYr1" caption="FiscalYr" columnCount="6" showCaption="0" rowHeight="241300"/>
</slicers>
</file>

<file path=xl/slicers/slicer4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5" xr10:uid="{00000000-0014-0000-FFFF-FFFF57000000}" cache="Slicer_Year28" caption="Year" rowHeight="241300"/>
  <slicer name="Year 64" xr10:uid="{00000000-0014-0000-FFFF-FFFF58000000}" cache="Slicer_Year29" caption="Year" rowHeight="241300"/>
  <slicer name="FiscalYr" xr10:uid="{0D911CC0-340D-4C11-99B1-E2E9F6432BF4}" cache="Slicer_FiscalYr" caption="FiscalYr" columnCount="5" showCaption="0" rowHeight="241300"/>
  <slicer name="FiscalYr 2" xr10:uid="{8C8DB7D8-A132-465B-8007-C03E7EA3B89D}" cache="Slicer_FiscalYr1" caption="FiscalYr" columnCount="5" showCaption="0" rowHeight="241300"/>
</slicers>
</file>

<file path=xl/slicers/slicer4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2" xr10:uid="{00000000-0014-0000-FFFF-FFFF5F000000}" cache="Slicer_Year6" caption="Year" columnCount="3"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1" xr10:uid="{00000000-0014-0000-FFFF-FFFF08000000}" cache="Slicer_Year25" caption="Year" columnCount="10" showCaption="0" rowHeight="241300"/>
</slicers>
</file>

<file path=xl/slicers/slicer5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4" xr10:uid="{00000000-0014-0000-FFFF-FFFF61000000}" cache="Slicer_Year6" caption="Year" columnCount="6" showCaption="0" rowHeight="241300"/>
</slicers>
</file>

<file path=xl/slicers/slicer5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Yr 7" xr10:uid="{9D5F41F0-593E-4205-A07C-8884DD4D2D76}" cache="Slicer_FisYr22" caption="FisYr" columnCount="11" showCaption="0" rowHeight="241300"/>
</slicers>
</file>

<file path=xl/slicers/slicer5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Yr 8" xr10:uid="{53D2F878-C760-41D8-B65A-DCF22248A3A5}" cache="Slicer_FisYr22" caption="FisYr" columnCount="11" showCaption="0" rowHeight="241300"/>
</slicers>
</file>

<file path=xl/slicers/slicer5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Yr 9" xr10:uid="{048B77B1-96B8-4510-8F22-D0C909BBA9CA}" cache="Slicer_FisYr22" caption="FisYr" columnCount="11" showCaption="0" rowHeight="241300"/>
</slicers>
</file>

<file path=xl/slicers/slicer5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sYr 10" xr10:uid="{7AC6E889-7D7B-4319-AC6D-D286E71C9A5C}" cache="Slicer_FisYr22" caption="FisYr" columnCount="11" showCaption="0" rowHeight="241300"/>
</slicers>
</file>

<file path=xl/slicers/slicer5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7" xr10:uid="{00000000-0014-0000-FFFF-FFFF69000000}" cache="Slicer_Year1" caption="Year" columnCount="10" showCaption="0" rowHeight="241300"/>
</slicers>
</file>

<file path=xl/slicers/slicer5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 xr10:uid="{00000000-0014-0000-FFFF-FFFF68000000}" cache="Slicer_Year1" caption="Year" columnCount="8" rowHeight="241300"/>
</slicers>
</file>

<file path=xl/slicers/slicer5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0" xr10:uid="{00000000-0014-0000-FFFF-FFFF6B000000}" cache="Slicer_FisYr20" caption="Year" columnCount="7" rowHeight="241300"/>
</slicers>
</file>

<file path=xl/slicers/slicer5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1" xr10:uid="{00000000-0014-0000-FFFF-FFFF6C000000}" cache="Slicer_FisYr20" caption="Year" columnCount="10" showCaption="0" rowHeight="241300"/>
</slicers>
</file>

<file path=xl/slicers/slicer5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8" xr10:uid="{00000000-0014-0000-FFFF-FFFF6E000000}" cache="Slicer_FisYr19" caption="Year" columnCount="7"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54" xr10:uid="{00000000-0014-0000-FFFF-FFFF0C000000}" cache="Slicer_Year22" caption="Year" columnCount="4" rowHeight="241300"/>
</slicers>
</file>

<file path=xl/slicers/slicer6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9" xr10:uid="{00000000-0014-0000-FFFF-FFFF6F000000}" cache="Slicer_FisYr19" caption="Year" columnCount="10" showCaption="0" rowHeight="241300"/>
</slicers>
</file>

<file path=xl/slicers/slicer6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2" xr10:uid="{00000000-0014-0000-FFFF-FFFF71000000}" cache="Slicer_Year2" caption="Year" columnCount="7" rowHeight="241300"/>
</slicers>
</file>

<file path=xl/slicers/slicer6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3" xr10:uid="{00000000-0014-0000-FFFF-FFFF72000000}" cache="Slicer_Year2" caption="Year" columnCount="10" showCaption="0" rowHeight="241300"/>
  <slicer name="Year 38" xr10:uid="{00000000-0014-0000-FFFF-FFFF73000000}" cache="Slicer_Year2" caption="Year" columnCount="10" showCaption="0"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62" xr10:uid="{00000000-0014-0000-FFFF-FFFF0D000000}" cache="Slicer_Year22" caption="Year" columnCount="6" showCaption="0"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5" xr10:uid="{00000000-0014-0000-FFFF-FFFF0E000000}" cache="Slicer_Year8" caption="Year" columnCount="3"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6" xr10:uid="{00000000-0014-0000-FFFF-FFFF0F000000}" cache="Slicer_Year8" caption="Year" columnCount="6" showCaption="0" rowHeight="241300"/>
</slicers>
</file>

<file path=xl/tables/_rels/table5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0000000}" name="Structure" displayName="Structure" ref="A8:H200" totalsRowShown="0" headerRowDxfId="276" headerRowBorderDxfId="275">
  <autoFilter ref="A8:H200" xr:uid="{00000000-0009-0000-0100-000011000000}">
    <filterColumn colId="0">
      <filters>
        <filter val="2023-24"/>
      </filters>
    </filterColumn>
  </autoFilter>
  <tableColumns count="8">
    <tableColumn id="9" xr3:uid="{00000000-0010-0000-0000-000009000000}" name="Year" dataDxfId="274"/>
    <tableColumn id="3" xr3:uid="{00000000-0010-0000-0000-000003000000}" name="LA Code" dataDxfId="273"/>
    <tableColumn id="2" xr3:uid="{00000000-0010-0000-0000-000002000000}" name="Local Authority" dataDxfId="272"/>
    <tableColumn id="6" xr3:uid="{00000000-0010-0000-0000-000006000000}" name="LSO Code" dataDxfId="271"/>
    <tableColumn id="4" xr3:uid="{00000000-0010-0000-0000-000004000000}" name="Formal Local Senior Officer Area" dataDxfId="270"/>
    <tableColumn id="5" xr3:uid="{00000000-0010-0000-0000-000005000000}" name="SFRS Local Senior Officer Area" dataDxfId="269"/>
    <tableColumn id="8" xr3:uid="{00000000-0010-0000-0000-000008000000}" name="SDA Code" dataDxfId="268"/>
    <tableColumn id="7" xr3:uid="{00000000-0010-0000-0000-000007000000}" name="Service Delivery Area" dataDxfId="26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EAB7D47-16CC-405A-B7EA-A8EA328F64A4}" name="hrod_HR_DutySystem_1" displayName="hrod_HR_DutySystem_1" ref="A1:E7" totalsRowShown="0">
  <autoFilter ref="A1:E7" xr:uid="{5EAB7D47-16CC-405A-B7EA-A8EA328F64A4}"/>
  <tableColumns count="5">
    <tableColumn id="1" xr3:uid="{687D4C5B-A88E-43A5-93B1-629A938D2305}" name="Year" dataDxfId="237"/>
    <tableColumn id="2" xr3:uid="{A44DD1AA-E234-433A-9E5D-6DBE7A224A41}" name="Operational Crewing"/>
    <tableColumn id="3" xr3:uid="{91D1AFA9-4941-4DC4-B35E-242800B5DAA4}" name="Incident Command Officers"/>
    <tableColumn id="4" xr3:uid="{C9FF274B-C326-4360-B25A-2E015FE42D37}" name="Office Duties"/>
    <tableColumn id="5" xr3:uid="{DF510054-C758-4258-8664-2EDD9B9D1138}" name="Trainees"/>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6000000}" name="hrod_HR_DutySystem" displayName="hrod_HR_DutySystem" ref="A9:E15" totalsRowShown="0" headerRowDxfId="236" headerRowBorderDxfId="235">
  <tableColumns count="5">
    <tableColumn id="6" xr3:uid="{00000000-0010-0000-0600-000006000000}" name="Year" dataDxfId="234"/>
    <tableColumn id="2" xr3:uid="{00000000-0010-0000-0600-000002000000}" name="Operational Crewing" dataDxfId="233">
      <calculatedColumnFormula>GETPIVOTDATA("Sum of Operational Crewing",DutySystemPivot!$A$1,"Year",A10)</calculatedColumnFormula>
    </tableColumn>
    <tableColumn id="3" xr3:uid="{00000000-0010-0000-0600-000003000000}" name="Incident Command Officers" dataDxfId="232">
      <calculatedColumnFormula>GETPIVOTDATA("Sum of Incident Command Officers",DutySystemPivot!$A$1,"Year",A10)</calculatedColumnFormula>
    </tableColumn>
    <tableColumn id="4" xr3:uid="{00000000-0010-0000-0600-000004000000}" name="Off Station" dataDxfId="231">
      <calculatedColumnFormula>GETPIVOTDATA("Sum of Office Duties",DutySystemPivot!$A$1,"Year",A10)</calculatedColumnFormula>
    </tableColumn>
    <tableColumn id="5" xr3:uid="{00000000-0010-0000-0600-000005000000}" name="Trainees" dataDxfId="230">
      <calculatedColumnFormula>GETPIVOTDATA("Sum of Trainees",DutySystemPivot!$A$1,"Year",A10)</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BA0A46C6-C7A2-4B92-8877-7BB4DF8A00FB}" name="hrod_HR_DutySystem_LA" displayName="hrod_HR_DutySystem_LA" ref="A1:H312" totalsRowShown="0">
  <autoFilter ref="A1:H312" xr:uid="{BA0A46C6-C7A2-4B92-8877-7BB4DF8A00FB}"/>
  <tableColumns count="8">
    <tableColumn id="1" xr3:uid="{0B1B2C78-C38A-4CA4-AE2E-3199A2ED47E3}" name="Year" dataDxfId="229"/>
    <tableColumn id="2" xr3:uid="{CF747DBC-4521-417C-8DF3-96F5A03C2CF5}" name="ReportingLevel" dataDxfId="228"/>
    <tableColumn id="3" xr3:uid="{60FF2389-D5A0-4EE4-B278-35819B856AB4}" name="lvl" dataDxfId="227"/>
    <tableColumn id="4" xr3:uid="{2FDED176-420F-4C7D-86A7-B040B57FA1D1}" name="Code" dataDxfId="226"/>
    <tableColumn id="5" xr3:uid="{9A41FE2A-6D79-40BF-A6D6-7B8895F4E294}" name="Operational Crewing"/>
    <tableColumn id="6" xr3:uid="{174E6E98-ED2B-40B7-8AA5-10FEF9C25120}" name="Incident Command Officers"/>
    <tableColumn id="7" xr3:uid="{D87F17CB-638D-44DC-BE74-A568251AA4D4}" name="Office Duties"/>
    <tableColumn id="8" xr3:uid="{88C452BB-C527-46DD-8365-B68E2E6426D2}" name="Trainees"/>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B9FCFA2-EB21-4507-8750-0AC5676E2CBF}" name="hrod_HR_Department_FTE__3" displayName="hrod_HR_Department_FTE__3" ref="A122:H218" totalsRowShown="0" headerRowDxfId="225" dataDxfId="223" headerRowBorderDxfId="224">
  <autoFilter ref="A122:H218" xr:uid="{DB9FCFA2-EB21-4507-8750-0AC5676E2CBF}">
    <filterColumn colId="0">
      <filters>
        <filter val="2023-24"/>
      </filters>
    </filterColumn>
  </autoFilter>
  <tableColumns count="8">
    <tableColumn id="1" xr3:uid="{53114722-EC0D-428F-A37A-D036FC8702E4}" name="FisYr" dataDxfId="222"/>
    <tableColumn id="2" xr3:uid="{C6270B5A-66E3-420F-9C83-5ECC8F1B005C}" name="Directorate" dataDxfId="221"/>
    <tableColumn id="3" xr3:uid="{D5945E91-3D9F-4393-A901-A9E8A563C68E}" name="Unit" dataDxfId="220"/>
    <tableColumn id="4" xr3:uid="{5C86CEA4-2712-4977-AE27-D8AE69B33199}" name="Wholetime Operational" dataDxfId="219"/>
    <tableColumn id="5" xr3:uid="{B8631781-9C79-4423-BFB8-F5C644D25272}" name="Retained Duty System" dataDxfId="218"/>
    <tableColumn id="6" xr3:uid="{E83DE329-F51B-4FDB-B2DB-AAF20A8D9FB9}" name="Retained Full-time" dataDxfId="217"/>
    <tableColumn id="7" xr3:uid="{30F621D5-BE46-4CD2-AB6B-0BF66464A430}" name="Control" dataDxfId="216"/>
    <tableColumn id="8" xr3:uid="{BE892DE7-23F3-4F23-9B5C-D8C099A34878}" name="Support" dataDxfId="21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9120FE9-0159-4978-9812-56E88690D30E}" name="hrod_HR_Department_Headcount__72427" displayName="hrod_HR_Department_Headcount__72427" ref="A10:I106" totalsRowShown="0" headerRowDxfId="214" dataDxfId="212" headerRowBorderDxfId="213">
  <autoFilter ref="A10:I106" xr:uid="{89120FE9-0159-4978-9812-56E88690D30E}">
    <filterColumn colId="0">
      <filters>
        <filter val="2023-24"/>
      </filters>
    </filterColumn>
  </autoFilter>
  <tableColumns count="9">
    <tableColumn id="1" xr3:uid="{85BF0F93-E865-4D0F-B392-7065CA4398FF}" name="Year" dataDxfId="211"/>
    <tableColumn id="2" xr3:uid="{DE6064F3-B913-4723-ABF6-C768A087D7E7}" name="Directorate" dataDxfId="210"/>
    <tableColumn id="3" xr3:uid="{B54E6C75-D1BA-480F-B842-7E6BD2DC264E}" name="Unit" dataDxfId="209"/>
    <tableColumn id="4" xr3:uid="{1F700FBD-9D73-495D-A09E-C3BE1A1491B9}" name="Wholetime Operational" dataDxfId="208"/>
    <tableColumn id="5" xr3:uid="{8D354CF5-90E8-4D52-B1CF-4D3A04DF7EAB}" name="Retained Duty System" dataDxfId="207"/>
    <tableColumn id="6" xr3:uid="{67D61C3E-2E13-4AD6-8AD9-C314872CA855}" name="Retained Full-time" dataDxfId="206"/>
    <tableColumn id="7" xr3:uid="{6EB6CB1A-1424-45AC-83DF-BEE2B7C48DF9}" name="Control" dataDxfId="205"/>
    <tableColumn id="8" xr3:uid="{8F908769-1FE4-43C3-B9F8-9649A766453F}" name="Support" dataDxfId="204"/>
    <tableColumn id="9" xr3:uid="{2BFE54B7-E98F-42D2-A5A2-992B79DE4102}" name="Volunteer" dataDxfId="20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F53A4FB7-99E9-4960-8629-C9012BFCFA7B}" name="hrod_HR_GeographicStructure" displayName="hrod_HR_GeographicStructure" ref="A1:H45" totalsRowShown="0">
  <autoFilter ref="A1:H45" xr:uid="{F53A4FB7-99E9-4960-8629-C9012BFCFA7B}"/>
  <tableColumns count="8">
    <tableColumn id="1" xr3:uid="{F5629868-6810-44F9-9EC1-4831E73FC71D}" name="Year" dataDxfId="202"/>
    <tableColumn id="2" xr3:uid="{83442BD5-9531-4DAA-9030-F1DFDA29E0B5}" name="ReportingLevel" dataDxfId="201"/>
    <tableColumn id="3" xr3:uid="{03EC7FF5-1F20-401F-B70E-F0B54E0515A2}" name="Wholetime Operational"/>
    <tableColumn id="4" xr3:uid="{689F05F4-A141-4491-A7BF-151B4DC786CA}" name="RDS"/>
    <tableColumn id="8" xr3:uid="{96CDDF6B-6786-4474-9ABD-F1F73DE336A8}" name="RDS Fulltime"/>
    <tableColumn id="5" xr3:uid="{37E31755-E340-4CCD-A810-EE81BD4B86A9}" name="Control"/>
    <tableColumn id="6" xr3:uid="{6D57B7CB-EF3B-4127-B285-33923B81E873}" name="Support"/>
    <tableColumn id="7" xr3:uid="{B47C1524-9A5B-41FF-9907-BC91A2B4D5C6}" name="Volunteer"/>
  </tableColumns>
  <tableStyleInfo name="TableStyleMedium7"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FA534510-D335-476D-9EDE-7F07C570FAA7}" name="hrod_HR_StaffSmallArea" displayName="hrod_HR_StaffSmallArea" ref="A1:K579" totalsRowShown="0">
  <autoFilter ref="A1:K579" xr:uid="{FA534510-D335-476D-9EDE-7F07C570FAA7}">
    <filterColumn colId="0">
      <filters>
        <filter val="2023-24"/>
      </filters>
    </filterColumn>
    <filterColumn colId="1">
      <filters>
        <filter val="1:LA"/>
      </filters>
    </filterColumn>
  </autoFilter>
  <tableColumns count="11">
    <tableColumn id="1" xr3:uid="{3A49FBC4-9A21-4D7A-A8C0-D3725BEB87CF}" name="Year" dataDxfId="200"/>
    <tableColumn id="2" xr3:uid="{54F04711-1990-403E-BC15-E8319FDEB7CB}" name="ReportingLevel" dataDxfId="199"/>
    <tableColumn id="3" xr3:uid="{1E81E5F2-7457-4378-BD7D-0457AA242A55}" name="lvl" dataDxfId="198"/>
    <tableColumn id="4" xr3:uid="{8931A6FB-4D21-4022-80EE-4AAD65450B79}" name="Code" dataDxfId="197"/>
    <tableColumn id="5" xr3:uid="{83B2DAD3-AA69-4211-8278-0BC516756CE3}" name="Total"/>
    <tableColumn id="6" xr3:uid="{02B87874-1B11-44FB-A8E0-ABBA069C84B1}" name="Control"/>
    <tableColumn id="7" xr3:uid="{B4068E87-AA86-42F4-A2B4-708E09126360}" name="RDS Fulltime"/>
    <tableColumn id="8" xr3:uid="{F784E422-F83E-4168-BF2A-43B8D81A95DD}" name="Retained Duty System"/>
    <tableColumn id="9" xr3:uid="{FF210472-D56D-4EE1-B3F9-1713423A29BF}" name="Support"/>
    <tableColumn id="10" xr3:uid="{88B1A572-9289-494A-9169-FBFFEAD22938}" name="Volunteer"/>
    <tableColumn id="12" xr3:uid="{41F87509-657F-4EA2-97E2-4045188B2CDB}" name="Wholetime Operational"/>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C000000}" name="Table2" displayName="Table2" ref="A11:I43" totalsRowShown="0" headerRowDxfId="196" dataDxfId="194" headerRowBorderDxfId="195">
  <tableColumns count="9">
    <tableColumn id="1" xr3:uid="{00000000-0010-0000-0C00-000001000000}" name="LA Code" dataDxfId="193" dataCellStyle="Normal_Sheet1"/>
    <tableColumn id="2" xr3:uid="{00000000-0010-0000-0C00-000002000000}" name="Local Authority Area" dataDxfId="192" dataCellStyle="Normal_Sheet1"/>
    <tableColumn id="3" xr3:uid="{00000000-0010-0000-0C00-000003000000}" name="Wholetime Operational" dataDxfId="191" dataCellStyle="Normal 4">
      <calculatedColumnFormula>GETPIVOTDATA("Sum of Wholetime Operational",smallareapivot!$A$3,"ReportingLevel","1:LA","lvl","Aberdeen City")</calculatedColumnFormula>
    </tableColumn>
    <tableColumn id="4" xr3:uid="{00000000-0010-0000-0C00-000004000000}" name="Retained Duty System" dataDxfId="190" dataCellStyle="Normal 4"/>
    <tableColumn id="5" xr3:uid="{00000000-0010-0000-0C00-000005000000}" name="Retained Full-time" dataDxfId="189" dataCellStyle="Normal 4"/>
    <tableColumn id="6" xr3:uid="{00000000-0010-0000-0C00-000006000000}" name="Control" dataDxfId="188" dataCellStyle="Normal 4"/>
    <tableColumn id="7" xr3:uid="{00000000-0010-0000-0C00-000007000000}" name="Support" dataDxfId="187" dataCellStyle="Normal 4"/>
    <tableColumn id="8" xr3:uid="{00000000-0010-0000-0C00-000008000000}" name="Volunteer" dataDxfId="186" dataCellStyle="Normal 4"/>
    <tableColumn id="10" xr3:uid="{00000000-0010-0000-0C00-00000A000000}" name="All Staff Total" dataDxfId="185">
      <calculatedColumnFormula>SUM(C12:H12)</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D000000}" name="Table3" displayName="Table3" ref="A46:I63" totalsRowShown="0" headerRowDxfId="184">
  <tableColumns count="9">
    <tableColumn id="1" xr3:uid="{00000000-0010-0000-0D00-000001000000}" name="LSO Code" dataDxfId="183" dataCellStyle="Normal_Sheet1"/>
    <tableColumn id="2" xr3:uid="{00000000-0010-0000-0D00-000002000000}" name="Local Senior Officer Area" dataDxfId="182" dataCellStyle="Normal_Sheet1"/>
    <tableColumn id="3" xr3:uid="{00000000-0010-0000-0D00-000003000000}" name="Wholetime Operational" dataDxfId="181" dataCellStyle="Normal 4">
      <calculatedColumnFormula>IFERROR(GETPIVOTDATA("Sum of WT",#REF!,"ReportingLevel","2:LSO","lvl",Table3[[#This Row],[Local Senior Officer Area]]),0)</calculatedColumnFormula>
    </tableColumn>
    <tableColumn id="4" xr3:uid="{00000000-0010-0000-0D00-000004000000}" name="Retained Duty System" dataDxfId="180" dataCellStyle="Normal_Sheet1">
      <calculatedColumnFormula>IFERROR(GETPIVOTDATA("Sum of Retained Duty System",#REF!,"ReportingLevel","2:LSO","lvl",Table3[[#This Row],[LSO Code]]),0)</calculatedColumnFormula>
    </tableColumn>
    <tableColumn id="5" xr3:uid="{00000000-0010-0000-0D00-000005000000}" name="Retained Full-time" dataDxfId="179" dataCellStyle="Normal 4"/>
    <tableColumn id="6" xr3:uid="{00000000-0010-0000-0D00-000006000000}" name="Control" dataDxfId="178" dataCellStyle="Normal_Sheet1">
      <calculatedColumnFormula>IFERROR(GETPIVOTDATA("Sum of RDS Fulltime",#REF!,"ReportingLevel","2:LSO","lvl",Table3[[#This Row],[Wholetime Operational]]),0)</calculatedColumnFormula>
    </tableColumn>
    <tableColumn id="7" xr3:uid="{00000000-0010-0000-0D00-000007000000}" name="Support" dataDxfId="177" dataCellStyle="Normal 4">
      <calculatedColumnFormula>IFERROR(GETPIVOTDATA("Sum of RDS Fulltime",#REF!,"ReportingLevel","2:LSO","lvl",Table3[[#This Row],[Retained Duty System]]),0)</calculatedColumnFormula>
    </tableColumn>
    <tableColumn id="8" xr3:uid="{00000000-0010-0000-0D00-000008000000}" name="Volunteer" dataDxfId="176" dataCellStyle="Normal 4">
      <calculatedColumnFormula>IFERROR(GETPIVOTDATA("Sum of RDS Fulltime",#REF!,"ReportingLevel","2:LSO","lvl",Table3[[#This Row],[Retained Full-time]]),0)</calculatedColumnFormula>
    </tableColumn>
    <tableColumn id="9" xr3:uid="{00000000-0010-0000-0D00-000009000000}" name="All Staff Total" dataDxfId="175">
      <calculatedColumnFormula>SUM(C47:H47)</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E000000}" name="Table4" displayName="Table4" ref="A66:I69" totalsRowShown="0" headerRowDxfId="174">
  <tableColumns count="9">
    <tableColumn id="1" xr3:uid="{00000000-0010-0000-0E00-000001000000}" name="SDA Code" dataDxfId="173" dataCellStyle="Normal_Sheet1"/>
    <tableColumn id="2" xr3:uid="{00000000-0010-0000-0E00-000002000000}" name="Service Delivery Area" dataDxfId="172" dataCellStyle="Normal_Sheet1"/>
    <tableColumn id="3" xr3:uid="{00000000-0010-0000-0E00-000003000000}" name="Wholetime Operational" dataDxfId="171" dataCellStyle="Normal 4">
      <calculatedColumnFormula>GETPIVOTDATA("Sum of Wholetime Operational",smallareapivot!$A$3,"ReportingLevel","3:SDA","lvl","East")</calculatedColumnFormula>
    </tableColumn>
    <tableColumn id="4" xr3:uid="{00000000-0010-0000-0E00-000004000000}" name="Retained Duty System" dataDxfId="170" dataCellStyle="Normal_Sheet1">
      <calculatedColumnFormula>GETPIVOTDATA("Sum of Retained Duty System",smallareapivot!$A$3,"ReportingLevel","3:SDA","lvl","East")</calculatedColumnFormula>
    </tableColumn>
    <tableColumn id="5" xr3:uid="{00000000-0010-0000-0E00-000005000000}" name="Retained Full-time" dataDxfId="169" dataCellStyle="Normal_Sheet1"/>
    <tableColumn id="6" xr3:uid="{00000000-0010-0000-0E00-000006000000}" name="Control" dataDxfId="168" dataCellStyle="Normal_Sheet1"/>
    <tableColumn id="7" xr3:uid="{00000000-0010-0000-0E00-000007000000}" name="Support" dataDxfId="167" dataCellStyle="Normal 4"/>
    <tableColumn id="8" xr3:uid="{00000000-0010-0000-0E00-000008000000}" name="Volunteer" dataDxfId="166" dataCellStyle="Normal 4"/>
    <tableColumn id="9" xr3:uid="{00000000-0010-0000-0E00-000009000000}" name="All Staff Total" dataDxfId="165">
      <calculatedColumnFormula>SUM(C67:H67)</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822E95C-0FF7-4BAA-A7FB-BF66FD3644A9}" name="RR_vCapabilities_NEW" displayName="RR_vCapabilities_NEW" ref="A1:D110" totalsRowShown="0">
  <autoFilter ref="A1:D110" xr:uid="{D822E95C-0FF7-4BAA-A7FB-BF66FD3644A9}"/>
  <tableColumns count="4">
    <tableColumn id="1" xr3:uid="{C475BAD5-3186-4676-BB6C-04E795732B4F}" name="Fiscal_Yr" dataDxfId="266"/>
    <tableColumn id="2" xr3:uid="{9FFFF4F1-1405-4F40-833B-5FCEBA995CCA}" name="CapabilityType" dataDxfId="265"/>
    <tableColumn id="3" xr3:uid="{A8BDC0AF-085B-468F-B974-D14ECE0256EB}" name="Capability" dataDxfId="264"/>
    <tableColumn id="4" xr3:uid="{9C3DB5E8-98EA-4588-B111-83D94FF388D8}" name="Value"/>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40B856B7-4126-44B4-8583-5A19F6E74A7A}" name="hrod_HR_Role" displayName="hrod_HR_Role" ref="A1:J57" totalsRowShown="0">
  <autoFilter ref="A1:J57" xr:uid="{40B856B7-4126-44B4-8583-5A19F6E74A7A}"/>
  <tableColumns count="10">
    <tableColumn id="1" xr3:uid="{1741089E-7BCC-4F53-9584-54136B2A73D0}" name="Year" dataDxfId="164"/>
    <tableColumn id="2" xr3:uid="{027C4E41-2335-48D2-B5BB-D2BC9DAA7F91}" name="Type" dataDxfId="163"/>
    <tableColumn id="3" xr3:uid="{57983250-3221-4B5E-81B9-CD5FF0D4D7DE}" name="Total"/>
    <tableColumn id="4" xr3:uid="{FA3A6805-B32E-4595-BBFA-1A8D26421ECE}" name="Brigade Manager"/>
    <tableColumn id="5" xr3:uid="{D6CF7A00-D80E-4C01-80BB-B387C3285684}" name="Area Manager"/>
    <tableColumn id="6" xr3:uid="{EB2E26E1-186D-4E32-84AF-74F2B1474E78}" name="Group Manager"/>
    <tableColumn id="7" xr3:uid="{A9217E20-A309-49A7-A3FE-7A85353417C9}" name="Station Manager"/>
    <tableColumn id="8" xr3:uid="{7D9429E7-2607-4D9A-9D08-171D429734A8}" name="Watch Manager"/>
    <tableColumn id="9" xr3:uid="{7D10A9F9-E9BD-4EF2-9E4A-3F33A4E5DF37}" name="Crew Manager"/>
    <tableColumn id="10" xr3:uid="{AFFCE349-D4FA-4A62-ACED-0629765F7DF2}" name="Firefighter"/>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AD99EAF0-6139-4E4C-B2A9-AD61F7BDC595}" name="hrod_HR_Role_DutySystem" displayName="hrod_HR_Role_DutySystem" ref="A1:I25" totalsRowShown="0">
  <autoFilter ref="A1:I25" xr:uid="{AD99EAF0-6139-4E4C-B2A9-AD61F7BDC595}"/>
  <tableColumns count="9">
    <tableColumn id="1" xr3:uid="{D823C02E-C346-45AD-8F07-54272B912F89}" name="Year" dataDxfId="162"/>
    <tableColumn id="2" xr3:uid="{C47CCEDC-EC93-4727-9E61-BC4F11187684}" name="EmployeeGroup" dataDxfId="161"/>
    <tableColumn id="3" xr3:uid="{E98D87AE-1DB3-4409-9437-D50749A62ACB}" name="Brigade Commander"/>
    <tableColumn id="4" xr3:uid="{484DF5F1-6169-40A5-AAFE-ED84A2B15D3C}" name="Area Commander"/>
    <tableColumn id="5" xr3:uid="{273CF0BC-51FC-4698-A934-7E9404A3593B}" name="Group Commander"/>
    <tableColumn id="6" xr3:uid="{FE20775A-61BF-4C29-9AB1-96E4137ABD7A}" name="Station Commander"/>
    <tableColumn id="7" xr3:uid="{FF624E9A-7349-4E45-82E5-43DF51DED4F8}" name="Watch Commander"/>
    <tableColumn id="8" xr3:uid="{97B8EADF-5959-428C-AD1C-22DADD5E24AF}" name="Crew Commander"/>
    <tableColumn id="9" xr3:uid="{3B6DADF6-DD1B-4BAE-8CAE-63A147538B4B}" name="Firefighter"/>
  </tableColumns>
  <tableStyleInfo name="TableStyleMedium7"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F65A8E3-492A-4702-80EF-FCBF5E6ABD3D}" name="hrod_HR_Role_Area" displayName="hrod_HR_Role_Area" ref="A1:J45" totalsRowShown="0">
  <autoFilter ref="A1:J45" xr:uid="{FF65A8E3-492A-4702-80EF-FCBF5E6ABD3D}"/>
  <tableColumns count="10">
    <tableColumn id="1" xr3:uid="{09CFA946-A3B9-488A-9066-7E90EAE2DDE1}" name="Year" dataDxfId="160"/>
    <tableColumn id="2" xr3:uid="{19901A72-F614-4747-8F21-D7A686289221}" name="ReportingLevel" dataDxfId="159"/>
    <tableColumn id="3" xr3:uid="{57505710-EB9F-4C59-B66B-9C56269947CD}" name="Brigade Manager"/>
    <tableColumn id="4" xr3:uid="{0055D078-6845-4D46-8BA5-6FDBC6374F01}" name="Area Manager"/>
    <tableColumn id="5" xr3:uid="{A3FA3976-21C3-40FC-B7BF-4295AB7B38A3}" name="Group Manager"/>
    <tableColumn id="6" xr3:uid="{1FB4A3AC-0CCB-49E7-A70A-20FDDD76590B}" name="Station Manager"/>
    <tableColumn id="7" xr3:uid="{09751190-C5B3-4981-AAED-73AB4D6A1678}" name="Watch Manager"/>
    <tableColumn id="8" xr3:uid="{5FA9511F-DD52-4FD7-9619-A2DB579AF92D}" name="Crew Manager"/>
    <tableColumn id="9" xr3:uid="{E40DE378-37E1-4515-AD12-19327F4BDAAD}" name="Firefighter"/>
    <tableColumn id="10" xr3:uid="{0A9B73C9-79D6-4167-A407-257035EF6ABD}" name="Total"/>
  </tableColumns>
  <tableStyleInfo name="TableStyleMedium7"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DF1646EB-AE3C-4C38-8A67-0E779E0A5BDF}" name="hrod_HR_WT_RoleArea" displayName="hrod_HR_WT_RoleArea" ref="A1:K562" totalsRowShown="0">
  <autoFilter ref="A1:K562" xr:uid="{DF1646EB-AE3C-4C38-8A67-0E779E0A5BDF}"/>
  <tableColumns count="11">
    <tableColumn id="1" xr3:uid="{2012A706-F7D5-4F89-89C6-EC016505B08A}" name="Year" dataDxfId="158"/>
    <tableColumn id="2" xr3:uid="{7C27CDAF-25AA-4B6D-B9B6-8D6C141F5635}" name="ReportingLevel" dataDxfId="157"/>
    <tableColumn id="3" xr3:uid="{74FFEDFE-4274-480D-8771-A62AB5D99625}" name="Code" dataDxfId="156"/>
    <tableColumn id="4" xr3:uid="{AC3A4674-FE7F-4280-B589-BE583FC61B91}" name="lvl" dataDxfId="155"/>
    <tableColumn id="5" xr3:uid="{35B74550-3AA7-40DF-A364-2BBA5DFFA718}" name="Area Manager"/>
    <tableColumn id="6" xr3:uid="{A4B4897E-F68A-4F60-9625-C48986D2CA84}" name="Brigade Manager"/>
    <tableColumn id="7" xr3:uid="{5FEC970D-7A6C-4A79-92B9-49FE85145991}" name="Crew Manager"/>
    <tableColumn id="8" xr3:uid="{A0238DB9-D9E5-4ED4-A4B0-2672F1B45777}" name="Firefighter"/>
    <tableColumn id="9" xr3:uid="{DF87781A-8058-47D2-B404-C23506756917}" name="Group Manager"/>
    <tableColumn id="10" xr3:uid="{BD915E87-FAE2-4C72-ADCC-3AA318B94EA7}" name="Station Manager"/>
    <tableColumn id="11" xr3:uid="{BA320013-E93E-41FF-A256-8795797BD6AF}" name="Watch Manager"/>
  </tableColumns>
  <tableStyleInfo name="TableStyleMedium7"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F7789BC-A6D8-49D2-8AFD-C7E41E765265}" name="hrod_HR_RDS_RoleArea" displayName="hrod_HR_RDS_RoleArea" ref="A1:G335" totalsRowShown="0">
  <autoFilter ref="A1:G335" xr:uid="{3F7789BC-A6D8-49D2-8AFD-C7E41E765265}"/>
  <tableColumns count="7">
    <tableColumn id="1" xr3:uid="{B019764F-B8A5-44CF-A68E-ECC89E6CAEA0}" name="Year" dataDxfId="154"/>
    <tableColumn id="2" xr3:uid="{E26B764D-1378-47C7-8E66-8413C5EC35F4}" name="ReportingLevel" dataDxfId="153"/>
    <tableColumn id="3" xr3:uid="{B9C657FD-CB1D-4C74-926C-9B48E2124EB6}" name="Area" dataDxfId="152"/>
    <tableColumn id="4" xr3:uid="{AC4811FF-E656-494D-960D-2028050C01FD}" name="GSS Code" dataDxfId="151"/>
    <tableColumn id="5" xr3:uid="{81B55904-9A4F-4C6A-B2E4-F0A645EBB34C}" name="Watch Manager"/>
    <tableColumn id="6" xr3:uid="{09021557-B948-463E-A82B-3F34E2EEC8FC}" name="Crew Manager"/>
    <tableColumn id="7" xr3:uid="{FC842116-5909-4D7A-B777-F19B7D6ADB7B}" name="Firefighter"/>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55083505-0A54-4454-8CC4-93AD904D8E2A}" name="hrod_HR_CS_RoleArea_Control" displayName="hrod_HR_CS_RoleArea_Control" ref="A1:I12" totalsRowShown="0">
  <autoFilter ref="A1:I12" xr:uid="{55083505-0A54-4454-8CC4-93AD904D8E2A}"/>
  <tableColumns count="9">
    <tableColumn id="1" xr3:uid="{159FB04F-84E9-400F-BB06-0B82029EBA68}" name="Year" dataDxfId="150"/>
    <tableColumn id="2" xr3:uid="{84634255-0367-46AA-ACCF-C06B7CBF70DC}" name="Area" dataDxfId="149"/>
    <tableColumn id="3" xr3:uid="{E8F871E0-51C2-4FE5-A3E1-174366AB06B6}" name="GSS Code" dataDxfId="148"/>
    <tableColumn id="4" xr3:uid="{C7A22214-69A6-4F1A-A358-B9BA1568AAAD}" name="Area Manager"/>
    <tableColumn id="5" xr3:uid="{4C3445BC-A568-49B4-BA9D-C99F228BB32E}" name="Group Manager"/>
    <tableColumn id="6" xr3:uid="{C25907FF-3172-4F0E-ACA5-9055896030F7}" name="Station Manager"/>
    <tableColumn id="7" xr3:uid="{285AA186-CDBE-4AA4-A3F3-6E4D5657BC9B}" name="Watch Manager"/>
    <tableColumn id="8" xr3:uid="{9D57CA00-D886-41B3-B094-7E0B3A3F20F5}" name="Crew Manager"/>
    <tableColumn id="9" xr3:uid="{9537DFD1-5DF6-4025-9B04-00D7969708B8}" name="Control Operator"/>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9283405-B0FE-42E2-9F8E-030D9FC6586B}" name="hrod_HR_CS_RoleArea_Support" displayName="hrod_HR_CS_RoleArea_Support" ref="A1:L45" totalsRowShown="0">
  <autoFilter ref="A1:L45" xr:uid="{39283405-B0FE-42E2-9F8E-030D9FC6586B}"/>
  <tableColumns count="12">
    <tableColumn id="1" xr3:uid="{C3F8B5A2-A872-4887-ADEB-F3287FA7A60D}" name="Year" dataDxfId="147"/>
    <tableColumn id="2" xr3:uid="{CB8412FA-1E25-42E7-8149-E39E7D9CB523}" name="ReportingLevel" dataDxfId="146"/>
    <tableColumn id="3" xr3:uid="{5472AA6B-3EC7-468D-A12A-FB92461171E5}" name="Code" dataDxfId="145"/>
    <tableColumn id="4" xr3:uid="{2319D77D-80A0-451A-A016-D417E5DE5399}" name="lvl" dataDxfId="144"/>
    <tableColumn id="5" xr3:uid="{0B652A1A-4EC9-4DFF-9ABA-58D51EA2E945}" name="Total"/>
    <tableColumn id="6" xr3:uid="{5F402DB7-BBC2-4981-A759-6AB810226B2F}" name="Director"/>
    <tableColumn id="7" xr3:uid="{2581FE4C-8B8D-473E-8024-A38EF2A61554}" name="Service Manager"/>
    <tableColumn id="8" xr3:uid="{4B08FDA5-1DFF-4456-918A-6A5C3935B304}" name="Team Leader"/>
    <tableColumn id="9" xr3:uid="{ED5F44A5-59A8-450C-8D38-25F22B4BF77A}" name="Professional"/>
    <tableColumn id="10" xr3:uid="{D586C174-245E-486F-A878-ED79AF9F0E58}" name="Specialist Technical"/>
    <tableColumn id="11" xr3:uid="{AC86E6CB-5529-405C-B2D8-85894F9FC0F3}" name="Tech Support"/>
    <tableColumn id="12" xr3:uid="{4CB83005-F9DB-44BF-A18F-1F8A66ACF99B}" name="Administration"/>
  </tableColumns>
  <tableStyleInfo name="TableStyleMedium7"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F7F40C8A-CE63-4BC3-B56E-2AD47C1D7868}" name="hrod_HR_Vol_RoleArea" displayName="hrod_HR_Vol_RoleArea" ref="A1:H176" totalsRowShown="0">
  <autoFilter ref="A1:H176" xr:uid="{F7F40C8A-CE63-4BC3-B56E-2AD47C1D7868}"/>
  <tableColumns count="8">
    <tableColumn id="1" xr3:uid="{4C598344-F2AA-4B25-99C4-BCA9ACBD1473}" name="Year" dataDxfId="143"/>
    <tableColumn id="2" xr3:uid="{20D70A48-6AE8-48D7-A74E-F098E0F8F84F}" name="ReportingLevel" dataDxfId="142"/>
    <tableColumn id="3" xr3:uid="{5EE54F2C-5102-4DFA-876F-89A69B9025A0}" name="Code" dataDxfId="141"/>
    <tableColumn id="4" xr3:uid="{6CFBBB8F-9231-40A1-8E1C-9E8980174B5B}" name="lvl" dataDxfId="140"/>
    <tableColumn id="5" xr3:uid="{73B6A981-3A22-4152-B847-8BB04315E2EE}" name="Total"/>
    <tableColumn id="6" xr3:uid="{04B0C2D6-72B7-429E-B78B-122B6764CFEB}" name="Watch Manager"/>
    <tableColumn id="7" xr3:uid="{7C5B31AD-AB98-4BB9-82E1-44522E4EB5E3}" name="Crew Manager"/>
    <tableColumn id="8" xr3:uid="{66DA8D59-A187-42B7-92C1-37F3FE04DA5B}" name="Firefighter"/>
  </tableColumns>
  <tableStyleInfo name="TableStyleMedium7"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8DC3B867-8F6F-4BC4-9338-159ECC2C4BBC}" name="hrod_HR_WT_FTE_RoleArea" displayName="hrod_HR_WT_FTE_RoleArea" ref="A1:L565" totalsRowShown="0">
  <autoFilter ref="A1:L565" xr:uid="{8DC3B867-8F6F-4BC4-9338-159ECC2C4BBC}"/>
  <tableColumns count="12">
    <tableColumn id="1" xr3:uid="{77708B57-7478-4BA5-AD01-075B0BC7BAC8}" name="Year" dataDxfId="139"/>
    <tableColumn id="2" xr3:uid="{A81DD950-3722-4116-A66B-8F7FAF0BA8A2}" name="ReportingLevel" dataDxfId="138"/>
    <tableColumn id="3" xr3:uid="{BD071C85-4142-4D98-B664-5796BFA20228}" name="Code" dataDxfId="137"/>
    <tableColumn id="4" xr3:uid="{1CAEADA7-69AC-4A5A-8787-A9B65046ACD5}" name="lvl" dataDxfId="136"/>
    <tableColumn id="5" xr3:uid="{67ABA77C-8D3E-4EF8-8D52-0941F4B048EB}" name="Total"/>
    <tableColumn id="6" xr3:uid="{6AABBB89-4F31-4901-9A85-795B89E9F70C}" name="Area Manager"/>
    <tableColumn id="7" xr3:uid="{0D6193CA-7AB9-4ED2-B88F-186AE7A4E921}" name="Brigade Manager"/>
    <tableColumn id="8" xr3:uid="{3182F4E4-6736-438E-94B7-94E302D23AA7}" name="Crew Manager"/>
    <tableColumn id="9" xr3:uid="{FD5A953A-8184-4C63-AFF3-037503FDF3B7}" name="Firefighter"/>
    <tableColumn id="10" xr3:uid="{A8DC5EC0-E59F-4E98-9C7E-38748A0B33E6}" name="Group Manager"/>
    <tableColumn id="11" xr3:uid="{023FD608-A501-4E0C-AFA1-6342C1969C47}" name="Station Manager"/>
    <tableColumn id="12" xr3:uid="{881B65B1-B7F1-4AD6-91D8-037A7DFCBAC3}" name="Watch Manager"/>
  </tableColumns>
  <tableStyleInfo name="TableStyleMedium7"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6F1C5AE-2BE6-4DAB-98C5-2D8DA8415001}" name="hrod_HR_RDS_FTE_RoleArea" displayName="hrod_HR_RDS_FTE_RoleArea" ref="A1:H344" totalsRowShown="0">
  <autoFilter ref="A1:H344" xr:uid="{46F1C5AE-2BE6-4DAB-98C5-2D8DA8415001}"/>
  <tableColumns count="8">
    <tableColumn id="1" xr3:uid="{3F7A117E-6047-4DE4-B3AB-49FA6B6880A8}" name="Year" dataDxfId="135"/>
    <tableColumn id="2" xr3:uid="{3BE09136-0FC9-40D1-B64D-6DA48AB1E7A6}" name="ReportingLevel" dataDxfId="134"/>
    <tableColumn id="3" xr3:uid="{6D07AA2D-0B04-4C5D-B579-DC487C10DC2F}" name="Code" dataDxfId="133"/>
    <tableColumn id="4" xr3:uid="{84512358-8ACC-41EF-8454-957A99AD85F5}" name="lvl" dataDxfId="132"/>
    <tableColumn id="5" xr3:uid="{AEF290DC-83E2-49FF-BA6F-88C78D650864}" name="Total"/>
    <tableColumn id="6" xr3:uid="{9A72BAA2-A762-47BB-A039-B6220A15E2D3}" name="Watch Manager"/>
    <tableColumn id="7" xr3:uid="{0AA8E616-A33C-467B-B458-0F34B144B31D}" name="Crew Manager"/>
    <tableColumn id="8" xr3:uid="{23980FF7-7970-4758-9B6A-F3B191DDE4D6}" name="Firefighter"/>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7C122C1-8B39-4DFC-9501-4908B47D3DBD}" name="RR_vCapabilities_StationsTotals" displayName="RR_vCapabilities_StationsTotals" ref="I6:K21" totalsRowShown="0">
  <autoFilter ref="I6:K21" xr:uid="{D7C122C1-8B39-4DFC-9501-4908B47D3DBD}"/>
  <tableColumns count="3">
    <tableColumn id="1" xr3:uid="{D228F853-70B7-488E-9CDD-24BF2981D7E0}" name="Fiscal_Yr" dataDxfId="263"/>
    <tableColumn id="2" xr3:uid="{A09D5718-A2C3-4885-B291-99F50B5176B8}" name="CapabilityType" dataDxfId="262"/>
    <tableColumn id="3" xr3:uid="{7781F616-AE39-4BB1-8C31-18E680111DD5}" name="Number of Stations with Capability"/>
  </tableColumns>
  <tableStyleInfo name="TableStyleMedium7"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1982464E-17A2-424B-981A-5808034CF9B2}" name="hrod_HR_CS_FTE_RoleArea_Control" displayName="hrod_HR_CS_FTE_RoleArea_Control" ref="A1:K12" totalsRowShown="0">
  <autoFilter ref="A1:K12" xr:uid="{1982464E-17A2-424B-981A-5808034CF9B2}"/>
  <tableColumns count="11">
    <tableColumn id="1" xr3:uid="{C5C4FC41-A86C-4C91-B419-77D55D0CF71F}" name="Year" dataDxfId="131"/>
    <tableColumn id="2" xr3:uid="{FAC0C06C-C1B5-4284-8735-A984A4BF7EC3}" name="ReportingLevel" dataDxfId="130"/>
    <tableColumn id="3" xr3:uid="{F6E1AE57-7AEB-4FDD-83C2-B7C6A80C4A22}" name="lvl" dataDxfId="129"/>
    <tableColumn id="4" xr3:uid="{EC454C1E-A67E-4C9E-AD24-C96B1C279F44}" name="Code" dataDxfId="128"/>
    <tableColumn id="5" xr3:uid="{8C9788DD-1538-4402-8CFF-FE0DF1378BBA}" name="Total"/>
    <tableColumn id="6" xr3:uid="{17320A7B-9730-4AB1-86ED-E8A155A9DBEF}" name="Area Manager"/>
    <tableColumn id="7" xr3:uid="{C03A28DF-B4C0-4557-8082-BA53C62E7F68}" name="Group Manager"/>
    <tableColumn id="8" xr3:uid="{D80A3C64-BC0D-4F4C-A06C-F06610B47ED8}" name="Station Manager"/>
    <tableColumn id="9" xr3:uid="{5BDFF775-787B-47CE-B7FB-9A10DC3B78F9}" name="Watch Manager"/>
    <tableColumn id="10" xr3:uid="{255936F8-0067-489D-94E8-997F83249F6D}" name="Crew Manager"/>
    <tableColumn id="11" xr3:uid="{7FCEA9D0-4AD9-4772-B126-162FA55DE021}" name="Control Operator"/>
  </tableColumns>
  <tableStyleInfo name="TableStyleMedium7"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9B175D80-1889-40D4-A7B1-1DDCE9FD927B}" name="hrod_HR_CS_FTE_RoleArea_Support" displayName="hrod_HR_CS_FTE_RoleArea_Support" ref="A1:L12" totalsRowShown="0">
  <autoFilter ref="A1:L12" xr:uid="{9B175D80-1889-40D4-A7B1-1DDCE9FD927B}"/>
  <tableColumns count="12">
    <tableColumn id="1" xr3:uid="{638A12AF-A161-4BA4-92A2-F3F85F9AF711}" name="Year" dataDxfId="127"/>
    <tableColumn id="2" xr3:uid="{89103708-5DFF-4CFB-9D18-E9FC0566705E}" name="Code" dataDxfId="126"/>
    <tableColumn id="3" xr3:uid="{040A427E-7FFF-4F64-B18A-85E12C5BA336}" name="ReportingLevel" dataDxfId="125"/>
    <tableColumn id="4" xr3:uid="{2366DE90-17E8-4328-99DF-AFACF9716BAF}" name="lvl" dataDxfId="124"/>
    <tableColumn id="5" xr3:uid="{03A8F032-D93F-470B-9640-6C34954107EF}" name="Director"/>
    <tableColumn id="6" xr3:uid="{C290AEC1-E8D2-4565-92BB-B6D452D2DAC9}" name="Service Manager"/>
    <tableColumn id="7" xr3:uid="{7BE056C7-AC71-436F-BBEF-954BDDD21219}" name="Team Leader"/>
    <tableColumn id="8" xr3:uid="{6784CBC1-0A39-4AFE-AEBE-5AB004713140}" name="Professional"/>
    <tableColumn id="9" xr3:uid="{8597ACF5-B5B5-46AB-AF4B-40347D1C0E02}" name="Specialist Technical"/>
    <tableColumn id="10" xr3:uid="{68896065-DC7E-4535-A890-FCB418526569}" name="Tech Support"/>
    <tableColumn id="11" xr3:uid="{504A6B89-BC6F-4EF9-A394-2D9E54803F1B}" name="Administration"/>
    <tableColumn id="12" xr3:uid="{309E8C75-A43F-4611-BD19-C15984FA1D86}" name="Total"/>
  </tableColumns>
  <tableStyleInfo name="TableStyleMedium7"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8AF73A8-B815-421B-927D-C601E6A97363}" name="hrod_HR_Gender_Timeseries_1" displayName="hrod_HR_Gender_Timeseries_1" ref="A1:M15" totalsRowShown="0">
  <autoFilter ref="A1:M15" xr:uid="{98AF73A8-B815-421B-927D-C601E6A97363}"/>
  <tableColumns count="13">
    <tableColumn id="1" xr3:uid="{E4370C63-747B-4DDB-8201-2D9A0353777E}" name="Year" dataDxfId="123"/>
    <tableColumn id="2" xr3:uid="{DF1DE518-9E89-4C6A-9423-76E2F6D59DEA}" name="WTFemale"/>
    <tableColumn id="3" xr3:uid="{23228D77-19EE-4D2C-A62F-E9505B789EAD}" name="WTMale"/>
    <tableColumn id="4" xr3:uid="{58E10DD5-4193-45D7-BDA0-3D5EA6232D53}" name="RDSFemale"/>
    <tableColumn id="5" xr3:uid="{6F5E7A67-448D-44AB-80B8-69C1960B5F91}" name="RDSMale"/>
    <tableColumn id="6" xr3:uid="{79EDB83C-E572-41E4-A017-18B00B70018D}" name="RDS FulltimeFemale"/>
    <tableColumn id="7" xr3:uid="{6D37B22C-6886-47BE-8DC0-0502FD21BFF8}" name="RDS FulltimeMale"/>
    <tableColumn id="8" xr3:uid="{7AF919E1-B213-4406-A55F-39C0E50CCFF3}" name="ControlFemale"/>
    <tableColumn id="9" xr3:uid="{3C87F518-A485-4B1F-9396-34FCB88E74B4}" name="ControlMale"/>
    <tableColumn id="10" xr3:uid="{B6FCA22E-D7AF-4E30-9F08-980B9E21FE76}" name="SupportFemale"/>
    <tableColumn id="11" xr3:uid="{CD96ABCE-CF8B-4641-8C89-6A72CDB942F4}" name="SupportMale"/>
    <tableColumn id="12" xr3:uid="{26517A5D-559C-4C42-AC72-8D39066D964A}" name="VolFemale"/>
    <tableColumn id="13" xr3:uid="{24C2A2E4-EE85-4935-804F-30AAEF8EDC8E}" name="VolMale"/>
  </tableColumns>
  <tableStyleInfo name="TableStyleMedium7"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B4867C4-35B7-44B2-A725-BEF56FF7BC91}" name="hrod_HR_Gender" displayName="hrod_HR_Gender" ref="A1:E62" totalsRowShown="0">
  <autoFilter ref="A1:E62" xr:uid="{6B4867C4-35B7-44B2-A725-BEF56FF7BC91}"/>
  <tableColumns count="5">
    <tableColumn id="1" xr3:uid="{35880438-05E8-4961-A648-CBDE894D12DE}" name="Year" dataDxfId="122"/>
    <tableColumn id="2" xr3:uid="{688A128C-C696-419D-A9D6-FED5FD2F2ACA}" name="Type" dataDxfId="121"/>
    <tableColumn id="3" xr3:uid="{C69CD400-5DF8-4412-85D6-19E54CAC307B}" name="Total"/>
    <tableColumn id="4" xr3:uid="{7D01F7F6-924B-47A1-8228-4113518AF8A3}" name="Female"/>
    <tableColumn id="5" xr3:uid="{98B85E24-F2C8-4925-8B0A-BBDC01DE3C62}" name="Male"/>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2FFB878-F63A-4992-B3C3-24EC7259ED51}" name="hrod_HR_Gender_Role" displayName="hrod_HR_Gender_Role" ref="A1:F290" totalsRowShown="0">
  <autoFilter ref="A1:F290" xr:uid="{B2FFB878-F63A-4992-B3C3-24EC7259ED51}"/>
  <tableColumns count="6">
    <tableColumn id="1" xr3:uid="{58F78C1B-0670-4C53-9EE8-7BB10F72C1B1}" name="Year" dataDxfId="120"/>
    <tableColumn id="2" xr3:uid="{B818DCE5-4A60-4464-80E8-1467CA53A6D6}" name="Type" dataDxfId="119"/>
    <tableColumn id="3" xr3:uid="{D979CD2C-10FD-48C7-909A-445232A69D8D}" name="PostConv" dataDxfId="118"/>
    <tableColumn id="4" xr3:uid="{72853211-44E9-4908-8F4E-5956E4B405C5}" name="Total"/>
    <tableColumn id="5" xr3:uid="{866BB4DE-D4DE-4065-A8B4-7D2694209FE7}" name="Female"/>
    <tableColumn id="6" xr3:uid="{4889F357-5597-4293-86EA-FF5AF8AA1B58}" name="Male"/>
  </tableColumns>
  <tableStyleInfo name="TableStyleMedium7"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56D95BE-E13C-44F8-AAD9-BCA9FC67B279}" name="hrod_HR_FTE_Gender_Role" displayName="hrod_HR_FTE_Gender_Role" ref="A1:F257" totalsRowShown="0">
  <tableColumns count="6">
    <tableColumn id="1" xr3:uid="{DD724336-7321-46B7-A70D-BB1B787B967F}" name="Year" dataDxfId="117"/>
    <tableColumn id="2" xr3:uid="{014F935F-3C40-4735-A573-9A21BC505AE4}" name="Type" dataDxfId="116"/>
    <tableColumn id="3" xr3:uid="{1F3496DA-4F71-4538-88C2-B17485FCC3B5}" name="PostConv" dataDxfId="115"/>
    <tableColumn id="4" xr3:uid="{F1C68362-6278-40DB-B742-3F4D6B3F00FD}" name="Total"/>
    <tableColumn id="5" xr3:uid="{978735C7-6A41-441D-97D3-31C787024B64}" name="Female"/>
    <tableColumn id="6" xr3:uid="{44A030A8-676F-4DEC-9BDA-AE698B963B0B}" name="Male"/>
  </tableColumns>
  <tableStyleInfo name="TableStyleMedium7"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11C69C7-3000-4C1C-9651-315FAE5C729E}" name="hrod_HR_Age__2" displayName="hrod_HR_Age__2" ref="A1:H133" totalsRowShown="0">
  <autoFilter ref="A1:H133" xr:uid="{B11C69C7-3000-4C1C-9651-315FAE5C729E}"/>
  <tableColumns count="8">
    <tableColumn id="1" xr3:uid="{983C35EE-E743-43D4-9BAF-054D572139EB}" name="Year" dataDxfId="114"/>
    <tableColumn id="2" xr3:uid="{0C3E9C4D-C088-427A-B395-04508BD056B3}" name="Age Range" dataDxfId="113"/>
    <tableColumn id="3" xr3:uid="{FDDD462F-9357-4F1C-8820-A28EA2619987}" name="Wholetime Operational"/>
    <tableColumn id="4" xr3:uid="{74E4CDDE-D65D-4513-BD3E-B53EE695F5A8}" name="Retained Duty System"/>
    <tableColumn id="5" xr3:uid="{43BAB8C0-7C4F-44B9-A022-A1AEDD797EE0}" name="Retained Full-time"/>
    <tableColumn id="6" xr3:uid="{684F829C-619A-48AE-8A64-66845D7A8D56}" name="Control"/>
    <tableColumn id="7" xr3:uid="{0603A3B8-686A-483B-BBFB-0EDA40A27A3B}" name="Support Staff"/>
    <tableColumn id="8" xr3:uid="{4C836020-0DBB-4301-937F-32A182C6A57B}" name="Volunteer"/>
  </tableColumns>
  <tableStyleInfo name="TableStyleMedium7"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69B2DF5-F8E7-48A7-9339-0CCD66008F56}" name="hrod_HR_Service" displayName="hrod_HR_Service" ref="A1:G64" totalsRowShown="0">
  <autoFilter ref="A1:G64" xr:uid="{469B2DF5-F8E7-48A7-9339-0CCD66008F56}"/>
  <tableColumns count="7">
    <tableColumn id="1" xr3:uid="{F6932FF3-FA9C-478F-9651-341C88ADD694}" name="Year" dataDxfId="112"/>
    <tableColumn id="2" xr3:uid="{B8CD8E9A-B2D7-4F50-84FA-476D58029C5A}" name="Service Length (Years)" dataDxfId="111"/>
    <tableColumn id="3" xr3:uid="{B3E51A1A-9562-4B53-ADAA-AF4C2AA10731}" name="Wholetime Operational"/>
    <tableColumn id="4" xr3:uid="{4EA5BCA3-8A56-4186-99A5-25AFE94DF1A9}" name="Retained Duty System"/>
    <tableColumn id="5" xr3:uid="{FE84DB32-17B8-43B4-AB29-032FABC3EFB7}" name="Retained Full-time"/>
    <tableColumn id="6" xr3:uid="{6B6AEBAD-A0FC-41DB-B679-671A3F6AACCB}" name="Control"/>
    <tableColumn id="7" xr3:uid="{AD226EFC-024B-434F-AC4C-EF0E60529875}" name="Volunteer"/>
  </tableColumns>
  <tableStyleInfo name="TableStyleMedium7"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F3AF0CC5-CFEF-423D-B0DC-7FBCB9B6E473}" name="hrod_HR_Ethnicity" displayName="hrod_HR_Ethnicity" ref="A1:E107" totalsRowShown="0">
  <autoFilter ref="A1:E107" xr:uid="{F3AF0CC5-CFEF-423D-B0DC-7FBCB9B6E473}"/>
  <tableColumns count="5">
    <tableColumn id="1" xr3:uid="{2C037641-B18F-4161-9529-6EC52C82DFA3}" name="FisYr" dataDxfId="110"/>
    <tableColumn id="2" xr3:uid="{5F7B95B2-2FC8-40A9-AA1F-389BABD098C5}" name="Type" dataDxfId="109"/>
    <tableColumn id="3" xr3:uid="{7B503B1E-8A29-43A6-85A5-3E0854985EAE}" name="White"/>
    <tableColumn id="4" xr3:uid="{A41518E7-A6EF-48DF-9618-A94EC4386818}" name="Ethnic Minority"/>
    <tableColumn id="5" xr3:uid="{51C19495-71E2-49DD-9173-EC4635B2DAEE}" name="Not Stated"/>
  </tableColumns>
  <tableStyleInfo name="TableStyleMedium7"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98F9A7EC-2A89-4B48-9DCA-1A2E1ACB2136}" name="hrod_HR_Disability_Known" displayName="hrod_HR_Disability_Known" ref="A1:I14" totalsRowShown="0">
  <autoFilter ref="A1:I14" xr:uid="{98F9A7EC-2A89-4B48-9DCA-1A2E1ACB2136}"/>
  <tableColumns count="9">
    <tableColumn id="1" xr3:uid="{EB2D8186-A3DE-4453-B128-187204EACCC2}" name="Year" dataDxfId="108"/>
    <tableColumn id="2" xr3:uid="{DC9E076B-2C35-4E0C-8FD7-474373ED4298}" name="Wholetime Operational"/>
    <tableColumn id="3" xr3:uid="{44ABDC09-B9DC-46CD-8BEE-29150027F61C}" name="Retained Duty System"/>
    <tableColumn id="4" xr3:uid="{606BED5A-8A9F-480C-84DE-9DE237F5A9CE}" name="Retained Fulltime"/>
    <tableColumn id="5" xr3:uid="{917C32DB-CE65-4153-AD00-7FD3BD19C82A}" name="Control"/>
    <tableColumn id="6" xr3:uid="{1F3E3B37-0D63-4714-B54C-5A135C66C3FF}" name="Support"/>
    <tableColumn id="7" xr3:uid="{3ACCB9BD-0E7B-4286-B242-198E490E034F}" name="Volunteer"/>
    <tableColumn id="8" xr3:uid="{739537D6-4848-40B9-B5D7-B5A1E5C35929}" name="Total"/>
    <tableColumn id="9" xr3:uid="{E214DC34-FC57-4AB5-AE4E-3421552AB2F8}" name="Total (excluding volunters)"/>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D1AAB337-9D67-4D9E-AA14-7A53AF6D7FA7}" name="fleet_National__2" displayName="fleet_National__2" ref="A1:N13" totalsRowShown="0">
  <autoFilter ref="A1:N13" xr:uid="{D1AAB337-9D67-4D9E-AA14-7A53AF6D7FA7}"/>
  <tableColumns count="14">
    <tableColumn id="1" xr3:uid="{60D2E384-3144-4A96-80AF-33A558C8656A}" name="Year" dataDxfId="261"/>
    <tableColumn id="2" xr3:uid="{23212AC9-E839-4D97-B2DC-9FB6B59CDCBE}" name="Pumping Appliances"/>
    <tableColumn id="3" xr3:uid="{71CB2F98-C0F2-4702-970D-D5F383F022E6}" name="Aerial Appliances"/>
    <tableColumn id="4" xr3:uid="{8D66DCE8-60E4-4E41-AE9E-70D753BCBDD3}" name="Resilience Appliances"/>
    <tableColumn id="5" xr3:uid="{421E2707-544B-45DE-9559-D7E93EA4D8A2}" name="Fire Boats"/>
    <tableColumn id="6" xr3:uid="{4EC38B19-FB7E-409E-B696-1E7123374AC7}" name="Vehicles for Rescue Work"/>
    <tableColumn id="7" xr3:uid="{F016C8F0-879E-4A82-B430-63328BF5C76E}" name="Small Firefighting Vehicles"/>
    <tableColumn id="8" xr3:uid="{23D13409-A7B4-45AB-B24A-F5B9304C8A67}" name="Other"/>
    <tableColumn id="9" xr3:uid="{B79BA0E4-69ED-4383-A663-593EEEE8B0E3}" name="Total Appliances"/>
    <tableColumn id="10" xr3:uid="{224E07EF-2A52-4A60-81B5-23C7BEFB8C9A}" name="Officer Response Vehicles"/>
    <tableColumn id="11" xr3:uid="{9A36100C-8196-4938-A4CB-11CD5040041A}" name="Reserve Appliances"/>
    <tableColumn id="12" xr3:uid="{862E18E5-FAC4-4A7F-9D39-59F12B29B9D3}" name="Training Appliances"/>
    <tableColumn id="13" xr3:uid="{B49535E6-BE6C-4981-B52E-A7DB64430AE4}" name="Other Fleet Vehicles (excl Officer Response Vehicles)"/>
    <tableColumn id="14" xr3:uid="{D72F9E58-F29A-45C5-9116-B363784664AC}" name="Total Vehicles (incl boats)"/>
  </tableColumns>
  <tableStyleInfo name="TableStyleMedium7"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18AA7BA-AC0B-46F6-BDBD-CE024CAE91EB}" name="hrod_HR_Disability_NotKnown__2" displayName="hrod_HR_Disability_NotKnown__2" ref="A25:I35" totalsRowShown="0">
  <autoFilter ref="A25:I35" xr:uid="{418AA7BA-AC0B-46F6-BDBD-CE024CAE91EB}"/>
  <tableColumns count="9">
    <tableColumn id="1" xr3:uid="{B72A2917-1124-472D-B228-2A7A0B5134CD}" name="Year" dataDxfId="107"/>
    <tableColumn id="2" xr3:uid="{576F2040-EE55-4F52-ABEB-6E6E3C16D7B9}" name="Wholetime Operational"/>
    <tableColumn id="3" xr3:uid="{BCDBF6BF-DF7A-42EF-9816-450CB0E9177F}" name="Retained Duty System"/>
    <tableColumn id="4" xr3:uid="{51CB949A-1625-4B64-83F9-C968892045E1}" name="Retained Fulltime"/>
    <tableColumn id="5" xr3:uid="{AE49993F-2551-401F-85A9-A1F5CF4B6EE4}" name="Control"/>
    <tableColumn id="6" xr3:uid="{35070EF8-E4A7-47F2-9175-A569938C0341}" name="Support"/>
    <tableColumn id="7" xr3:uid="{41019DBB-5DDB-41B3-83D8-3507AD94DD09}" name="Volunteer"/>
    <tableColumn id="8" xr3:uid="{3B2B719B-4CF7-4DE8-B6D9-9F8A2B485B02}" name="Total"/>
    <tableColumn id="9" xr3:uid="{BF509C44-B7A6-451F-A487-37F3B35855DA}" name="Total (excluding volunters)"/>
  </tableColumns>
  <tableStyleInfo name="TableStyleMedium7"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3000000}" name="hrod_HR_Disability_NotKnown" displayName="hrod_HR_Disability_NotKnown" ref="A33:I43" totalsRowShown="0" headerRowDxfId="106" headerRowBorderDxfId="105">
  <tableColumns count="9">
    <tableColumn id="10" xr3:uid="{00000000-0010-0000-2300-00000A000000}" name="Year" dataDxfId="104"/>
    <tableColumn id="2" xr3:uid="{00000000-0010-0000-2300-000002000000}" name="Wholetime Operational" dataDxfId="103">
      <calculatedColumnFormula>GETPIVOTDATA("Sum of Wholetime Operational",DisabilityPivot!$A$27,"Year",A34)</calculatedColumnFormula>
    </tableColumn>
    <tableColumn id="3" xr3:uid="{00000000-0010-0000-2300-000003000000}" name="Retained Duty System" dataDxfId="102">
      <calculatedColumnFormula>GETPIVOTDATA("Sum of Retained Duty System",DisabilityPivot!$A$27,"Year",A34)</calculatedColumnFormula>
    </tableColumn>
    <tableColumn id="4" xr3:uid="{00000000-0010-0000-2300-000004000000}" name="Retained Full-time" dataDxfId="101"/>
    <tableColumn id="5" xr3:uid="{00000000-0010-0000-2300-000005000000}" name="Control" dataDxfId="100">
      <calculatedColumnFormula>GETPIVOTDATA("Sum of Control",DisabilityPivot!$A$27,"Year",A34)</calculatedColumnFormula>
    </tableColumn>
    <tableColumn id="6" xr3:uid="{00000000-0010-0000-2300-000006000000}" name="Support" dataDxfId="99">
      <calculatedColumnFormula>GETPIVOTDATA("Sum of Control",DisabilityPivot!$A$27,"Year",A34)</calculatedColumnFormula>
    </tableColumn>
    <tableColumn id="7" xr3:uid="{00000000-0010-0000-2300-000007000000}" name="Volunteer" dataDxfId="98">
      <calculatedColumnFormula>GETPIVOTDATA("Sum of Volunteer",DisabilityPivot!$A$27,"Year",A34)</calculatedColumnFormula>
    </tableColumn>
    <tableColumn id="8" xr3:uid="{00000000-0010-0000-2300-000008000000}" name="Total" dataDxfId="97">
      <calculatedColumnFormula>GETPIVOTDATA("Sum of Total",DisabilityPivot!$A$27,"Year",A34)</calculatedColumnFormula>
    </tableColumn>
    <tableColumn id="9" xr3:uid="{00000000-0010-0000-2300-000009000000}" name="Total (excluding Volunteers)" dataDxfId="96">
      <calculatedColumnFormula>GETPIVOTDATA("Sum of Total (excluding volunters)",DisabilityPivot!$A$27,"Year",A34)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446732C-6181-4C34-B474-4D5E39B63CF4}" name="hrod_HR_Entrants_Ethnicity__2" displayName="hrod_HR_Entrants_Ethnicity__2" ref="A1:G18" totalsRowShown="0">
  <autoFilter ref="A1:G18" xr:uid="{9446732C-6181-4C34-B474-4D5E39B63CF4}"/>
  <tableColumns count="7">
    <tableColumn id="1" xr3:uid="{6EA9CD1C-546B-4F34-8BDA-4C761AC2B75B}" name="FiscalYr" dataDxfId="95"/>
    <tableColumn id="2" xr3:uid="{8155BCC9-EAE4-4AF8-8739-8F644022C4F0}" name="EthStat" dataDxfId="94"/>
    <tableColumn id="3" xr3:uid="{021471DC-762D-4CAA-966D-9C9000B077AB}" name="WT"/>
    <tableColumn id="4" xr3:uid="{1F8977B8-4FD8-4DBA-8EBD-EC8E61F770A3}" name="RDS"/>
    <tableColumn id="5" xr3:uid="{AEB11DA6-9B72-441A-A883-FCA09BD63913}" name="Control"/>
    <tableColumn id="6" xr3:uid="{7011BA45-98CC-409B-B84E-C767354F0872}" name="Support"/>
    <tableColumn id="7" xr3:uid="{C9C321C7-4DA5-49B9-9B80-0244B396DED8}" name="Vol"/>
  </tableColumns>
  <tableStyleInfo name="TableStyleMedium7"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864638D-CE21-41E7-A7E2-9258F6BAE887}" name="hrod_HR_Entrants_Gender" displayName="hrod_HR_Entrants_Gender" ref="J1:Q13" totalsRowShown="0">
  <autoFilter ref="J1:Q13" xr:uid="{4864638D-CE21-41E7-A7E2-9258F6BAE887}"/>
  <tableColumns count="8">
    <tableColumn id="1" xr3:uid="{FC614FC6-B8A9-465E-AFD8-9213E8DE76A1}" name="Year" dataDxfId="93"/>
    <tableColumn id="2" xr3:uid="{9F527464-A9D0-4BA2-9F60-46DA51E3FEC3}" name="Gender" dataDxfId="92"/>
    <tableColumn id="3" xr3:uid="{CD31C54B-0019-4460-B3C5-AE7E9C336B02}" name="Wholetime Operational"/>
    <tableColumn id="4" xr3:uid="{002A657B-792F-4984-BCFC-99D7271AFA24}" name="Retained Duty System"/>
    <tableColumn id="5" xr3:uid="{B9A6A18D-C706-4C4F-A3F1-4AB2BCF3A525}" name="Control"/>
    <tableColumn id="6" xr3:uid="{066433EC-E8E8-4E0E-A5AC-F1BE9E8184A1}" name="Support"/>
    <tableColumn id="7" xr3:uid="{F0F05319-8BDD-4E88-A24C-5D182B35BB0A}" name="Volunteers"/>
    <tableColumn id="8" xr3:uid="{A101DC21-2BFA-4461-B777-549A1C25F385}" name="Total"/>
  </tableColumns>
  <tableStyleInfo name="TableStyleMedium7"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A1BB409A-2154-4C7F-86F1-4B0570815F8E}" name="hrod_HR_Entrants_Disability__2" displayName="hrod_HR_Entrants_Disability__2" ref="A24:G41" totalsRowShown="0">
  <autoFilter ref="A24:G41" xr:uid="{A1BB409A-2154-4C7F-86F1-4B0570815F8E}"/>
  <tableColumns count="7">
    <tableColumn id="1" xr3:uid="{6C7C2AAA-9E7E-41A7-A918-36E3CA60592A}" name="FiscalYr" dataDxfId="91"/>
    <tableColumn id="2" xr3:uid="{C8A2E386-527D-4EF4-92F1-54EB17AF3022}" name="DisStat" dataDxfId="90"/>
    <tableColumn id="3" xr3:uid="{525AC9AC-C30E-4E3E-991E-46AA730B6EAB}" name="WT"/>
    <tableColumn id="4" xr3:uid="{8D2437DB-747D-40A2-9F8E-2B04BE65F3D9}" name="RDS"/>
    <tableColumn id="5" xr3:uid="{CA84D5CD-61FC-42D0-8D3D-A1B7B95C491E}" name="Control"/>
    <tableColumn id="6" xr3:uid="{74CE0BB2-F6A0-4991-A32D-6347C34B32B9}" name="Support"/>
    <tableColumn id="7" xr3:uid="{2F16725C-E1D6-4C7B-A75B-21349A3C8840}" name="Vol"/>
  </tableColumns>
  <tableStyleInfo name="TableStyleMedium7"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187C88AC-827C-4ACB-ACE5-161819F9DB82}" name="hrod_HR_Entrants_Age" displayName="hrod_HR_Entrants_Age" ref="J22:Q87" totalsRowShown="0">
  <autoFilter ref="J22:Q87" xr:uid="{187C88AC-827C-4ACB-ACE5-161819F9DB82}"/>
  <tableColumns count="8">
    <tableColumn id="1" xr3:uid="{8335361A-D56E-4E9D-BF5C-60EFEFB21AC3}" name="Year" dataDxfId="89"/>
    <tableColumn id="2" xr3:uid="{E8CC4931-48ED-4CC9-B0F2-7215ACFA633E}" name="Age Range" dataDxfId="88"/>
    <tableColumn id="3" xr3:uid="{FDA2294B-2DCF-4A81-BAB1-0A56CFB0606B}" name="Wholetime Operational"/>
    <tableColumn id="4" xr3:uid="{606B6B3E-EB5C-461E-8882-FDFBDC5D2B38}" name="Retained Duty System"/>
    <tableColumn id="5" xr3:uid="{E237AB43-86A4-43D5-8F37-A72EA35B308E}" name="Control"/>
    <tableColumn id="6" xr3:uid="{C5594785-FE90-43E7-BC83-71FC513BBEC8}" name="Support"/>
    <tableColumn id="7" xr3:uid="{65C2FF2A-DDAB-4A9B-992D-6A0C03A31183}" name="Volunteers"/>
    <tableColumn id="8" xr3:uid="{694CC731-297F-4577-A9E3-F37A7476AF81}" name="Total"/>
  </tableColumns>
  <tableStyleInfo name="TableStyleMedium7"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F79F14E-37A1-4569-9F5D-041F2D40DE76}" name="hrod_HR_Leavers__2" displayName="hrod_HR_Leavers__2" ref="A1:I50" totalsRowShown="0">
  <autoFilter ref="A1:I50" xr:uid="{7F79F14E-37A1-4569-9F5D-041F2D40DE76}"/>
  <tableColumns count="9">
    <tableColumn id="1" xr3:uid="{15B9FD28-A6A9-4BAF-B3E7-6F687F398F0F}" name="Year" dataDxfId="87"/>
    <tableColumn id="2" xr3:uid="{62B22CF9-7631-4BB6-8004-F2F9742ABA4F}" name="Reason for Leaving" dataDxfId="86"/>
    <tableColumn id="3" xr3:uid="{695B87FC-53BC-4908-B325-22F3B2EC1B3E}" name="Wholetime Operational"/>
    <tableColumn id="4" xr3:uid="{6B5CA53E-DC5A-419E-A0AA-6C4AFD1715A6}" name="Retained Duty System"/>
    <tableColumn id="5" xr3:uid="{95C071AA-DDAD-48F7-B5F7-622AF611A181}" name="Retained Full-time"/>
    <tableColumn id="6" xr3:uid="{4E94138F-34B2-4DC3-9077-F2A5C8A3961C}" name="Control"/>
    <tableColumn id="7" xr3:uid="{50A934E4-A01A-410F-9335-A0834D7949A5}" name="Support"/>
    <tableColumn id="8" xr3:uid="{61ABD148-0274-452B-8955-466521A1816C}" name="Volunteers"/>
    <tableColumn id="9" xr3:uid="{7B982E0C-C739-4919-8E5F-D314069AC8C6}" name="Total"/>
  </tableColumns>
  <tableStyleInfo name="TableStyleMedium7"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4DF9DF99-D148-484D-80AF-6E9B8ABB929B}" name="hsw_Attacks_Operational" displayName="hsw_Attacks_Operational" ref="A1:G10" totalsRowShown="0">
  <autoFilter ref="A1:G10" xr:uid="{4DF9DF99-D148-484D-80AF-6E9B8ABB929B}"/>
  <tableColumns count="7">
    <tableColumn id="1" xr3:uid="{FDE826F7-624B-4F6D-8C1D-09A4DE3F759A}" name="Op" dataDxfId="85"/>
    <tableColumn id="2" xr3:uid="{6640D831-E02F-45B0-BA30-D89AACAD979E}" name="FinYear" dataDxfId="84"/>
    <tableColumn id="3" xr3:uid="{90E4B5A1-44F3-4827-B52F-A05971E62E16}" name="Objects thrown at firefighters/appliances"/>
    <tableColumn id="4" xr3:uid="{44BB6588-4953-4699-9489-0E0924775FC4}" name="Other acts of aggression"/>
    <tableColumn id="5" xr3:uid="{C5E04F69-FB6B-4442-8010-957C3BD9A748}" name="Verbal abuse"/>
    <tableColumn id="6" xr3:uid="{68A54DA5-E721-4E69-9A73-3604706D25D7}" name="Physical abuse"/>
    <tableColumn id="7" xr3:uid="{BBD89229-6684-4151-A25F-899F17532658}" name="Total"/>
  </tableColumns>
  <tableStyleInfo name="TableStyleMedium7"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BC2514EF-862B-4E5F-8C8A-C4A0E2591B70}" name="hsw_Attacks_Non_Operational" displayName="hsw_Attacks_Non_Operational" ref="A14:G23" totalsRowShown="0">
  <autoFilter ref="A14:G23" xr:uid="{BC2514EF-862B-4E5F-8C8A-C4A0E2591B70}"/>
  <tableColumns count="7">
    <tableColumn id="1" xr3:uid="{972BF051-AD46-404A-9AED-F6651F630540}" name="Op" dataDxfId="83"/>
    <tableColumn id="2" xr3:uid="{1D9B9D7D-EB64-4C3B-945B-911E79881B3C}" name="FinYear" dataDxfId="82"/>
    <tableColumn id="3" xr3:uid="{5347C7B0-6E50-40C1-B3B2-AE18C5C26540}" name="Objects thrown at firefighters/appliances"/>
    <tableColumn id="4" xr3:uid="{E421DBD4-93CA-4B04-B75C-1FFF5D246C8A}" name="Other acts of aggression"/>
    <tableColumn id="5" xr3:uid="{4E9E0BC0-D955-473F-BBAC-DE8318E94C1C}" name="Verbal abuse"/>
    <tableColumn id="6" xr3:uid="{927909B2-24BA-49DC-8292-4E541F0E6871}" name="Physical abuse"/>
    <tableColumn id="7" xr3:uid="{EE254FC0-2331-4B94-99BA-459D5196CB77}" name="Total"/>
  </tableColumns>
  <tableStyleInfo name="TableStyleMedium7"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8071EEF3-7EA1-4BCB-B783-9FE2248EBB6A}" name="hsw_Injuries_Operational" displayName="hsw_Injuries_Operational" ref="A26:G35" totalsRowShown="0">
  <autoFilter ref="A26:G35" xr:uid="{8071EEF3-7EA1-4BCB-B783-9FE2248EBB6A}"/>
  <tableColumns count="7">
    <tableColumn id="1" xr3:uid="{564EB204-AF11-492C-AB12-EF8EC120E0C5}" name="Op" dataDxfId="81"/>
    <tableColumn id="2" xr3:uid="{F5EA8D06-5F43-4CA2-A686-6C87A49C78A9}" name="FinYear" dataDxfId="80"/>
    <tableColumn id="3" xr3:uid="{2C5ED427-C687-4496-82EA-7A5F1403D1DC}" name="Objects thrown at firefighters/appliances"/>
    <tableColumn id="4" xr3:uid="{598B504F-82F1-4468-B0FB-B1630688C65D}" name="Other acts of aggression"/>
    <tableColumn id="5" xr3:uid="{82ED954E-4091-496C-9B06-12E903709E34}" name="Verbal abuse"/>
    <tableColumn id="6" xr3:uid="{C09ECD9E-8E82-4D77-BA86-637F2EEA8DD4}" name="Physical abuse"/>
    <tableColumn id="7" xr3:uid="{C179EAB0-AE8C-407A-8C0A-0BD94CB9A6BF}" name="Total"/>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06FCEDD-0C1A-44D0-982D-97C103FC01B1}" name="fleet_LocalAuthority__2" displayName="fleet_LocalAuthority__2" ref="A1:J193" totalsRowShown="0">
  <autoFilter ref="A1:J193" xr:uid="{706FCEDD-0C1A-44D0-982D-97C103FC01B1}"/>
  <tableColumns count="10">
    <tableColumn id="1" xr3:uid="{4AF72D70-911F-48C2-86DC-2C38D1B85B74}" name="Year" dataDxfId="260"/>
    <tableColumn id="2" xr3:uid="{18CC4937-358A-4F0D-97D3-83F8589F62BB}" name="LA Code" dataDxfId="259"/>
    <tableColumn id="3" xr3:uid="{55A4E646-E044-4788-A7D5-CC63A3E939FA}" name="Local Authority Area" dataDxfId="258"/>
    <tableColumn id="4" xr3:uid="{21EE29F5-EA30-4164-BEA1-02C2D7547FAB}" name="Pumping Appliances"/>
    <tableColumn id="5" xr3:uid="{68F1D77C-9946-46F1-9186-5ADC92D4931E}" name="Aerial Appliances"/>
    <tableColumn id="6" xr3:uid="{42DABC3B-8C2E-406D-A2F9-D0B630C4DB8A}" name="Resilience Appliances"/>
    <tableColumn id="7" xr3:uid="{037EE45E-9227-4347-983C-BF923276A3E5}" name="Vehicles for Rescue Work"/>
    <tableColumn id="8" xr3:uid="{08C93330-C4BF-46AA-BB7B-123DFDF52B4A}" name="Small Firefighting Vehicles"/>
    <tableColumn id="9" xr3:uid="{3788031F-941B-42E6-A3EC-0244BB363CE3}" name="Other Operational"/>
    <tableColumn id="10" xr3:uid="{610EAEBD-E622-4C0D-9A73-676369CDDE46}" name="Total Appliances"/>
  </tableColumns>
  <tableStyleInfo name="TableStyleMedium7"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79F466CA-10B3-4830-BF8B-CD6CA82E71BD}" name="hsw_Injuries_Non_Operational" displayName="hsw_Injuries_Non_Operational" ref="A40:G49" totalsRowShown="0">
  <autoFilter ref="A40:G49" xr:uid="{79F466CA-10B3-4830-BF8B-CD6CA82E71BD}"/>
  <tableColumns count="7">
    <tableColumn id="1" xr3:uid="{393EE612-0F9F-4664-B3FD-6E02D4C4846C}" name="Op" dataDxfId="79"/>
    <tableColumn id="2" xr3:uid="{5F74BB9F-26DF-4B22-935C-76BC4D062B6A}" name="FinYear" dataDxfId="78"/>
    <tableColumn id="3" xr3:uid="{DDA8DF5E-D2B5-468D-8F18-F26CD1647C6C}" name="Objects thrown at firefighters/appliances"/>
    <tableColumn id="4" xr3:uid="{BD8E901C-3023-42EB-B2F2-53A5BBE437D5}" name="Other acts of aggression"/>
    <tableColumn id="5" xr3:uid="{ED4ACF94-C8E9-4A0F-A894-B71283A7FABD}" name="Verbal abuse"/>
    <tableColumn id="6" xr3:uid="{5EF37984-6C30-49F0-B285-F8C15A92C01A}" name="Physical abuse"/>
    <tableColumn id="7" xr3:uid="{11663A65-73E6-4C07-89FB-81F4417FF771}" name="Total"/>
  </tableColumns>
  <tableStyleInfo name="TableStyleMedium7"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B75038FE-0761-4CDA-809D-8F201329DC82}" name="hsw_vlatable__2" displayName="hsw_vlatable__2" ref="A1:K33" totalsRowShown="0">
  <autoFilter ref="A1:K33" xr:uid="{B75038FE-0761-4CDA-809D-8F201329DC82}"/>
  <tableColumns count="11">
    <tableColumn id="1" xr3:uid="{5DBD360B-B3DF-4AE1-A243-9C9C96125130}" name="Local Authority" dataDxfId="77"/>
    <tableColumn id="2" xr3:uid="{CA76AFEF-4B81-4C28-AEA4-EC2D3115E3B9}" name="LA Code" dataDxfId="76"/>
    <tableColumn id="3" xr3:uid="{D609E824-ABEA-4E5E-A985-8B4B7C2A3923}" name="2015-16"/>
    <tableColumn id="4" xr3:uid="{7FF9B57B-22F0-47EC-9CE0-5CCC2BD7C4F3}" name="2016-17"/>
    <tableColumn id="5" xr3:uid="{7D1D683E-7609-43BE-8674-E92102032471}" name="2017-18"/>
    <tableColumn id="6" xr3:uid="{517B0EC6-7CC8-41A3-A1AA-64C4DDD55CD8}" name="2018-19"/>
    <tableColumn id="7" xr3:uid="{0DB5B642-014C-49BC-87F5-2B4EA671DE93}" name="2019-20"/>
    <tableColumn id="8" xr3:uid="{798A9D7B-AA77-4967-8500-FDE03F35C652}" name="2020-21"/>
    <tableColumn id="9" xr3:uid="{7E6DE553-6BF4-4072-B943-43AC1960F486}" name="2021-22"/>
    <tableColumn id="10" xr3:uid="{5C409CC7-1318-4300-A58B-4D3E17812AB2}" name="2022-23"/>
    <tableColumn id="11" xr3:uid="{C2D8B33C-0212-4125-97FF-8F339E5DE56D}" name="2023-24"/>
  </tableColumns>
  <tableStyleInfo name="TableStyleMedium7"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90C4E6F-8BD5-4F0D-90AF-58BAD47E68D6}" name="cset_HFSV_Outcomev2" displayName="cset_HFSV_Outcomev2" ref="A1:G15" totalsRowShown="0">
  <autoFilter ref="A1:G15" xr:uid="{490C4E6F-8BD5-4F0D-90AF-58BAD47E68D6}"/>
  <tableColumns count="7">
    <tableColumn id="1" xr3:uid="{66D4085B-E73E-47C9-BDC4-34FC6677D841}" name="Year" dataDxfId="75"/>
    <tableColumn id="2" xr3:uid="{F704C331-D33F-4EB8-98A3-EBB567DBBA38}" name="HFSV - alarms installed"/>
    <tableColumn id="3" xr3:uid="{5C502383-CBFE-4EB7-9F41-AEE6040B4669}" name="HFSV - advice only"/>
    <tableColumn id="4" xr3:uid="{4DD257F9-3451-48F0-A591-833E126DFC80}" name="Total HFSV"/>
    <tableColumn id="5" xr3:uid="{625D5D40-F3DD-4AD2-801A-E20150D70AF8}" name="Total_Alarms"/>
    <tableColumn id="6" xr3:uid="{C8D5CF85-F0C7-4A73-82E8-E43AF3C1A8D0}" name="New"/>
    <tableColumn id="7" xr3:uid="{CD41B1DF-54AD-4C5A-8687-94B03044FF3E}" name="Replacement"/>
  </tableColumns>
  <tableStyleInfo name="TableStyleMedium7"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148A7EE6-144D-42B8-A307-004636B7B2F6}" name="NR_Households" displayName="NR_Households" ref="A1:C25" totalsRowShown="0">
  <autoFilter ref="A1:C25" xr:uid="{148A7EE6-144D-42B8-A307-004636B7B2F6}"/>
  <tableColumns count="3">
    <tableColumn id="1" xr3:uid="{860E22B3-06C4-47F7-AE14-11546DA7D657}" name="Council" dataDxfId="74"/>
    <tableColumn id="2" xr3:uid="{10A2DA82-52D5-447F-8B73-C8110894D6D6}" name="Year"/>
    <tableColumn id="3" xr3:uid="{F272AEC2-EFFD-47FE-A6A5-C5C0C98F32C5}" name="Households"/>
  </tableColumns>
  <tableStyleInfo name="TableStyleMedium7"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E000000}" name="Table_s_srs_v01_pds_RAP_HFSV_Outcome" displayName="Table_s_srs_v01_pds_RAP_HFSV_Outcome" ref="A9:G23" tableType="queryTable" totalsRowShown="0" headerRowDxfId="73" headerRowBorderDxfId="72" tableBorderDxfId="71">
  <tableColumns count="7">
    <tableColumn id="1" xr3:uid="{00000000-0010-0000-2E00-000001000000}" uniqueName="1" name="Year" queryTableFieldId="1" dataDxfId="70"/>
    <tableColumn id="2" xr3:uid="{00000000-0010-0000-2E00-000002000000}" uniqueName="2" name="HFSV - smoke and heat alarms installed" queryTableFieldId="2" dataDxfId="69"/>
    <tableColumn id="3" xr3:uid="{00000000-0010-0000-2E00-000003000000}" uniqueName="3" name="HFSV - advice only" queryTableFieldId="3" dataDxfId="68"/>
    <tableColumn id="4" xr3:uid="{00000000-0010-0000-2E00-000004000000}" uniqueName="4" name="Total HFSV" queryTableFieldId="4" dataDxfId="67"/>
    <tableColumn id="5" xr3:uid="{00000000-0010-0000-2E00-000005000000}" uniqueName="5" name="Smoke and heat alarms installed during HFSV" queryTableFieldId="5" dataDxfId="66"/>
    <tableColumn id="6" xr3:uid="{00000000-0010-0000-2E00-000006000000}" uniqueName="6" name="New" queryTableFieldId="6" dataDxfId="65"/>
    <tableColumn id="7" xr3:uid="{00000000-0010-0000-2E00-000007000000}" uniqueName="7" name="Replacement" queryTableFieldId="7" dataDxfId="64"/>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EEA5314-FDF1-47E3-AF15-AA11C757EA87}" name="cset_DistinctProperties_" displayName="cset_DistinctProperties_" ref="A1:E12" totalsRowShown="0">
  <autoFilter ref="A1:E12" xr:uid="{8EEA5314-FDF1-47E3-AF15-AA11C757EA87}"/>
  <tableColumns count="5">
    <tableColumn id="1" xr3:uid="{5F2DBD77-F987-4F40-8045-2BFD7F040FC1}" name="Year" dataDxfId="63"/>
    <tableColumn id="2" xr3:uid="{755052D9-BB64-40BF-B12B-ACE3EC764F76}" name="In One Year"/>
    <tableColumn id="3" xr3:uid="{2D980942-4DEE-4BC0-A62D-3174B4117CB9}" name="Over Three Years"/>
    <tableColumn id="4" xr3:uid="{52D2CAA1-7CE0-41BF-B873-01DD662EE16F}" name="Over Five Years"/>
    <tableColumn id="5" xr3:uid="{A5A217EE-FFFD-42FD-B2F9-9E075114FBAD}" name="Non-repeat Visits"/>
  </tableColumns>
  <tableStyleInfo name="TableStyleMedium7"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1C2F80A-9BD7-4356-9525-358071E54BC1}" name="cset_DistinctAlarms__2" displayName="cset_DistinctAlarms__2" ref="A20:D30" totalsRowShown="0">
  <autoFilter ref="A20:D30" xr:uid="{B1C2F80A-9BD7-4356-9525-358071E54BC1}"/>
  <tableColumns count="4">
    <tableColumn id="1" xr3:uid="{6E277042-0D72-4562-ADEF-2444E8EE38FA}" name="Year" dataDxfId="62"/>
    <tableColumn id="2" xr3:uid="{E1D83495-B34C-43C8-BA1E-C2303990F9B3}" name="In One Year"/>
    <tableColumn id="3" xr3:uid="{EBEA9AFE-B294-4BA6-98D1-65CA8840FB36}" name="Over Three Years"/>
    <tableColumn id="4" xr3:uid="{28C5F80D-81F8-492A-9988-E7C3946A1EA9}" name="Over Five Years"/>
  </tableColumns>
  <tableStyleInfo name="TableStyleMedium7"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4B41E12A-85E1-4BC8-8D4F-3BC97455CEEB}" name="cset_DistinctVisits_percent_" displayName="cset_DistinctVisits_percent_" ref="A1:D12" totalsRowShown="0">
  <autoFilter ref="A1:D12" xr:uid="{4B41E12A-85E1-4BC8-8D4F-3BC97455CEEB}"/>
  <tableColumns count="4">
    <tableColumn id="1" xr3:uid="{68F5E9A5-4026-477F-AE64-CAFDF40E243C}" name="Year" dataDxfId="61"/>
    <tableColumn id="2" xr3:uid="{75AB6A69-0237-4C11-9EBB-62FA3AA955B7}" name="In One Year"/>
    <tableColumn id="3" xr3:uid="{DBF53890-8407-4E21-9123-8249D5D14707}" name="Over Three Years"/>
    <tableColumn id="4" xr3:uid="{9767AD18-4ED8-4825-8C1D-8E0B85EA61AB}" name="Over Five Years"/>
  </tableColumns>
  <tableStyleInfo name="TableStyleMedium7"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203BE9C9-2E6F-42CC-A772-763E60576D6E}" name="cset_DistinctAlarms_percent__2" displayName="cset_DistinctAlarms_percent__2" ref="A19:D29" totalsRowShown="0">
  <autoFilter ref="A19:D29" xr:uid="{203BE9C9-2E6F-42CC-A772-763E60576D6E}"/>
  <tableColumns count="4">
    <tableColumn id="1" xr3:uid="{060FBE5A-98CD-4FA2-AFA5-476BDC405586}" name="Year" dataDxfId="60"/>
    <tableColumn id="2" xr3:uid="{7D519BE9-3A27-466F-B844-7FCBC4C82929}" name="In One Year"/>
    <tableColumn id="3" xr3:uid="{52245CE5-3DF0-4A80-915F-74FA92B118AB}" name="Over Three Years"/>
    <tableColumn id="4" xr3:uid="{DFD9FE14-92CD-41EA-BEE3-05DCD3A3FFCC}" name="Over Five Years"/>
  </tableColumns>
  <tableStyleInfo name="TableStyleMedium7"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C6AA2FA2-A3AC-41B4-89DB-FDFFF23469B8}" name="cset_AgeProfile_Residents" displayName="cset_AgeProfile_Residents" ref="A1:H12" totalsRowShown="0">
  <autoFilter ref="A1:H12" xr:uid="{C6AA2FA2-A3AC-41B4-89DB-FDFFF23469B8}"/>
  <tableColumns count="8">
    <tableColumn id="1" xr3:uid="{9D065F1D-6769-4F95-8216-9C384CA17363}" name="Year" dataDxfId="59"/>
    <tableColumn id="2" xr3:uid="{68346209-4943-4772-AE5B-BECD4C974CC7}" name="Under 5s"/>
    <tableColumn id="3" xr3:uid="{429945B8-29A9-4050-AAB1-15C211AC5822}" name="5 to 10"/>
    <tableColumn id="4" xr3:uid="{CC840E4F-78CE-47AA-89DF-F41C0341189B}" name="11 to 16"/>
    <tableColumn id="5" xr3:uid="{3C7F7BD9-EAAD-480E-B35B-5ECA1A522A55}" name="17 to 30"/>
    <tableColumn id="6" xr3:uid="{63B40D04-187A-4AE3-B5E1-7E0436A90DDB}" name="31 to 60"/>
    <tableColumn id="7" xr3:uid="{6C5DE51B-A74F-46FB-BB78-EB1CFFADB157}" name="Over 60"/>
    <tableColumn id="8" xr3:uid="{30A64ADC-AF68-42D2-A91D-AF380115E790}" name="All Residents"/>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46CA5A90-B94B-4517-97DF-A934A2DA66F1}" name="hrod_HR_StaffingHeadcount__4" displayName="hrod_HR_StaffingHeadcount__4" ref="A1:G15" totalsRowShown="0">
  <autoFilter ref="A1:G15" xr:uid="{46CA5A90-B94B-4517-97DF-A934A2DA66F1}"/>
  <tableColumns count="7">
    <tableColumn id="1" xr3:uid="{374D6E8C-141D-4816-AE6C-0871EDD53EB4}" name="Year" dataDxfId="257"/>
    <tableColumn id="2" xr3:uid="{74043A54-D6C3-4BE4-89A8-72373DA15554}" name="WholeTime Operational"/>
    <tableColumn id="3" xr3:uid="{37594431-AD00-41D3-9687-2113DB082C83}" name="Retained Duty System"/>
    <tableColumn id="4" xr3:uid="{5A41DA0B-65D7-4B03-A7BF-1E59BBED9382}" name="RDS Fulltime"/>
    <tableColumn id="5" xr3:uid="{F513921F-7970-4EED-AF68-54165D0E704A}" name="Control"/>
    <tableColumn id="6" xr3:uid="{9CBA8D5E-9A1C-4378-ADA4-35064009AAD3}" name="Support"/>
    <tableColumn id="7" xr3:uid="{F2111D32-E5BD-481E-9E99-53AAAA959E99}" name="Volunteer"/>
  </tableColumns>
  <tableStyleInfo name="TableStyleMedium7"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52DFA650-C893-4871-9029-285BBA8BA54E}" name="cset_AgeProfile_Percent" displayName="cset_AgeProfile_Percent" ref="A1:H12" totalsRowShown="0">
  <autoFilter ref="A1:H12" xr:uid="{52DFA650-C893-4871-9029-285BBA8BA54E}"/>
  <tableColumns count="8">
    <tableColumn id="1" xr3:uid="{271EE4FF-4A0A-480C-AAA4-6620585A1309}" name="Year" dataDxfId="58"/>
    <tableColumn id="2" xr3:uid="{4CBD7DB7-EC58-4198-9A54-9E5D94C8B63A}" name="Under 5s"/>
    <tableColumn id="3" xr3:uid="{BCA2D89C-7EDA-495E-A2A0-53B4F7791A13}" name="5 to 10"/>
    <tableColumn id="4" xr3:uid="{79A1D766-47E9-476B-87E0-A66F9ED785AC}" name="11 to 16"/>
    <tableColumn id="5" xr3:uid="{9F999B98-85E4-4E43-BF8F-6EAF6F43F160}" name="17 to 30"/>
    <tableColumn id="6" xr3:uid="{60B02B71-F66F-4A45-B7F4-7C4018AD03E6}" name="31 to 60"/>
    <tableColumn id="7" xr3:uid="{67992940-FB34-4ED2-8891-6F65AA278828}" name="Over 60"/>
    <tableColumn id="8" xr3:uid="{5516ED33-176F-4614-A283-26C153BF34A3}" name="All Residents"/>
  </tableColumns>
  <tableStyleInfo name="TableStyleMedium7"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5F90D9C-A978-4C02-9E07-BA9309387D1D}" name="cset_HFSV_Tenure_Outcome" displayName="cset_HFSV_Tenure_Outcome" ref="A1:J7" totalsRowShown="0">
  <autoFilter ref="A1:J7" xr:uid="{F5F90D9C-A978-4C02-9E07-BA9309387D1D}"/>
  <tableColumns count="10">
    <tableColumn id="1" xr3:uid="{23B840F3-5639-4CD3-8E2D-5C349E491A69}" name="Tenure" dataDxfId="57"/>
    <tableColumn id="2" xr3:uid="{5AA7BB45-8ACA-4E94-84B3-792543A71B4C}" name="2015-16"/>
    <tableColumn id="3" xr3:uid="{85C0935F-24CB-4B27-9D4A-7B13871A12EF}" name="2016-17"/>
    <tableColumn id="4" xr3:uid="{25E83CA0-9DA2-4DC0-BFD4-1D53E40EB456}" name="2017-18"/>
    <tableColumn id="5" xr3:uid="{FD4323BC-A8E0-4666-9E23-DBE092468A94}" name="2018-19"/>
    <tableColumn id="6" xr3:uid="{DDDC72CD-FEC5-4EE3-88F4-FD32D488F972}" name="2019-20"/>
    <tableColumn id="7" xr3:uid="{0AD48DC8-AD8F-4EAC-A03F-FE5FAFDF59AB}" name="2020-21"/>
    <tableColumn id="8" xr3:uid="{3BFEF917-148C-4474-819F-34A6D61FF00B}" name="2021-22"/>
    <tableColumn id="9" xr3:uid="{5E1874C0-2689-4E2E-9CC9-453B2B8A2C08}" name="2022-23"/>
    <tableColumn id="10" xr3:uid="{8B04F11F-9562-4106-BE0A-D44D695B10EC}" name="2023-24"/>
  </tableColumns>
  <tableStyleInfo name="TableStyleMedium7"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AEE1A64-91F6-4EFE-A20E-E0F2F3417283}" name="cset_SIMD_Visits" displayName="cset_SIMD_Visits" ref="A1:H12" totalsRowShown="0">
  <autoFilter ref="A1:H12" xr:uid="{EAEE1A64-91F6-4EFE-A20E-E0F2F3417283}"/>
  <tableColumns count="8">
    <tableColumn id="1" xr3:uid="{333476A2-03A1-43ED-96AA-58FCC3428B19}" name="Year" dataDxfId="56"/>
    <tableColumn id="2" xr3:uid="{BE3E0E69-31B2-45CF-9AAE-B1B34C4C7F2C}" name="1 - Most Deprived 20%"/>
    <tableColumn id="3" xr3:uid="{B91932A2-6821-4639-BCE0-DB0DA203314A}" name="2"/>
    <tableColumn id="4" xr3:uid="{F4A8353C-0CB6-4D00-8C1B-87B79481B228}" name="3"/>
    <tableColumn id="5" xr3:uid="{5BFA80B7-034F-4922-810F-A426B8033743}" name="4"/>
    <tableColumn id="6" xr3:uid="{9DA5BA7A-F97E-4665-BACE-492AD9E01CED}" name="5 - Least Deprived 20%"/>
    <tableColumn id="7" xr3:uid="{18AE4DB0-3162-4027-9B2A-97BDC4613A32}" name="NotKnown"/>
    <tableColumn id="8" xr3:uid="{4891647D-9905-4075-A953-7F9EA7AAA66F}" name="All Scotland"/>
  </tableColumns>
  <tableStyleInfo name="TableStyleMedium7"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E58F690-36A5-44A2-BF62-28753FF31412}" name="cset_SIMD_Visits_OccupiedDwellings" displayName="cset_SIMD_Visits_OccupiedDwellings" ref="A23:G34" totalsRowShown="0">
  <autoFilter ref="A23:G34" xr:uid="{BE58F690-36A5-44A2-BF62-28753FF31412}"/>
  <tableColumns count="7">
    <tableColumn id="1" xr3:uid="{4EC49926-9F53-4327-9EE8-557057ACC353}" name="Year" dataDxfId="55"/>
    <tableColumn id="2" xr3:uid="{6D6A6D23-861E-4F57-9F01-D8606C06195F}" name="1 - Most Deprived 20%"/>
    <tableColumn id="3" xr3:uid="{0A965BBD-9F22-4D77-AFA4-3D392374A360}" name="2"/>
    <tableColumn id="4" xr3:uid="{DBB6DF3B-3DAA-4F96-8D88-1B0BED32D3DA}" name="3"/>
    <tableColumn id="5" xr3:uid="{60A3B9D6-F95D-4804-86C5-383AEBC976FB}" name="4"/>
    <tableColumn id="6" xr3:uid="{EDBBD81A-7D7D-4500-99A1-3433F7331F5F}" name="5 - Least Deprived 20%"/>
    <tableColumn id="7" xr3:uid="{01865869-4D6C-4A4D-AF2D-E0991FBFE27D}" name="All Scotland"/>
  </tableColumns>
  <tableStyleInfo name="TableStyleMedium7"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AFDBA0EC-86C9-4CAD-B63A-19D2520BC79D}" name="cset_SIMD_Alarms" displayName="cset_SIMD_Alarms" ref="A1:G11" totalsRowShown="0">
  <autoFilter ref="A1:G11" xr:uid="{AFDBA0EC-86C9-4CAD-B63A-19D2520BC79D}"/>
  <tableColumns count="7">
    <tableColumn id="1" xr3:uid="{E0FFDC65-199E-4ED5-9367-D9C5C88062B1}" name="Year" dataDxfId="54"/>
    <tableColumn id="2" xr3:uid="{31B38B37-6C3D-4ED4-A5CD-2B37F27D2137}" name="1 - Most Deprived 20%"/>
    <tableColumn id="3" xr3:uid="{F2461A82-2EA5-4B5A-94F8-7B3E254963EA}" name="2"/>
    <tableColumn id="4" xr3:uid="{5F83EECD-F071-4A2A-A047-9E5DA744E265}" name="3"/>
    <tableColumn id="5" xr3:uid="{4025DFF9-9FAF-49D2-858D-B7B85931AF19}" name="4"/>
    <tableColumn id="6" xr3:uid="{AE46D04C-23CE-4DB5-B248-DFA7659F11B9}" name="5 - Least Deprived 20%"/>
    <tableColumn id="7" xr3:uid="{EB6B60C1-247A-4BB2-BF28-15E240924894}" name="All Scotland"/>
  </tableColumns>
  <tableStyleInfo name="TableStyleMedium7"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33937BBF-43A7-44F1-9239-72B45785BD91}" name="cset_SIMD_Alarms_OccupiedDwellings" displayName="cset_SIMD_Alarms_OccupiedDwellings" ref="A21:G31" totalsRowShown="0">
  <autoFilter ref="A21:G31" xr:uid="{33937BBF-43A7-44F1-9239-72B45785BD91}"/>
  <tableColumns count="7">
    <tableColumn id="1" xr3:uid="{BC0AEE75-BA4F-45A2-A410-CB4F53E1094E}" name="Year" dataDxfId="53"/>
    <tableColumn id="2" xr3:uid="{38B316B9-21AB-495A-A6E5-BC44DCE99705}" name="1 - Most Deprived 20%"/>
    <tableColumn id="3" xr3:uid="{91E89E11-C615-47A7-BED9-5C4572286AC5}" name="2"/>
    <tableColumn id="4" xr3:uid="{05E89F61-4CB9-4D96-9900-1A00CB7027EC}" name="3"/>
    <tableColumn id="5" xr3:uid="{D29CE42C-7C4D-43BD-95B2-FB16C98439F9}" name="4"/>
    <tableColumn id="6" xr3:uid="{13FA1DAC-7F44-41E5-B82D-53210ADE5C24}" name="5 - Least Deprived 20%"/>
    <tableColumn id="7" xr3:uid="{E388C433-56B4-4A14-9D5C-AEB8B349D0DF}" name="All Scotland"/>
  </tableColumns>
  <tableStyleInfo name="TableStyleMedium7"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7ECB837-FB87-4716-81F1-2179DC624C25}" name="cset_simd_ownerocc" displayName="cset_simd_ownerocc" ref="A1:G52" totalsRowShown="0">
  <autoFilter ref="A1:G52" xr:uid="{E7ECB837-FB87-4716-81F1-2179DC624C25}"/>
  <tableColumns count="7">
    <tableColumn id="1" xr3:uid="{E75E9AA6-C1D9-4CCC-BA85-18EA8446190E}" name="FisYr" dataDxfId="52"/>
    <tableColumn id="2" xr3:uid="{F0596EE0-AB7A-4951-A2DF-E52329DE2C44}" name="SIMD2020_Quintile"/>
    <tableColumn id="3" xr3:uid="{B0F1A09E-1596-4A7D-9D32-BA31064878BE}" name="Visits"/>
    <tableColumn id="4" xr3:uid="{3796A542-85A5-4347-AF5D-557446333A7B}" name="WithAlarmsFitted"/>
    <tableColumn id="5" xr3:uid="{234EA83D-9396-4286-808F-9BFA3936CBBC}" name="pcAlarmsFitted"/>
    <tableColumn id="6" xr3:uid="{0BB57122-80FE-45F6-900B-C7BEB0AE7BF2}" name="RateAlarmsFittedper100OccupiedDwellings"/>
    <tableColumn id="7" xr3:uid="{3DC7C1AA-1CF0-4617-984E-3812A46BB94B}" name="OccupiedDwellings"/>
  </tableColumns>
  <tableStyleInfo name="TableStyleMedium7"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446B5F7-EE15-4E99-98B3-8CF02DDBF75E}" name="cset_UrbanRural" displayName="cset_UrbanRural" ref="A1:H12" totalsRowShown="0">
  <autoFilter ref="A1:H12" xr:uid="{0446B5F7-EE15-4E99-98B3-8CF02DDBF75E}"/>
  <tableColumns count="8">
    <tableColumn id="1" xr3:uid="{52D8982F-8DFF-49CE-8848-1AE9758A9FA4}" name="Year" dataDxfId="51"/>
    <tableColumn id="2" xr3:uid="{43EAC2AF-0DCF-4738-8192-60987C7A2001}" name="1 - Large Urban Areas"/>
    <tableColumn id="3" xr3:uid="{5D43BB63-9C0C-4F6A-8E59-6F1A31D7907D}" name="2 - Other Urban Areas"/>
    <tableColumn id="4" xr3:uid="{79449A7F-F771-414B-8374-8BE9F00806AF}" name="3 - Accessible Small Towns"/>
    <tableColumn id="5" xr3:uid="{0039C517-0DDA-47A7-A13B-0457BC75DC57}" name="4 - Remote Small Towns"/>
    <tableColumn id="6" xr3:uid="{77076554-4696-4868-851B-DBE8297D2C55}" name="5 - Accessible Rural"/>
    <tableColumn id="7" xr3:uid="{E6A46D4A-8C2E-44C0-9E2A-E2354488CBF1}" name="6 - Remote Rural"/>
    <tableColumn id="8" xr3:uid="{36C8C814-3375-47CF-88D4-1D631D46CA28}" name="All Scotland"/>
  </tableColumns>
  <tableStyleInfo name="TableStyleMedium7"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1783528-D2DA-4D00-86A6-DC3BAD2C5002}" name="cset_UrbanRural_OccupiedDwellings__2" displayName="cset_UrbanRural_OccupiedDwellings__2" ref="A21:H32" totalsRowShown="0">
  <autoFilter ref="A21:H32" xr:uid="{71783528-D2DA-4D00-86A6-DC3BAD2C5002}"/>
  <tableColumns count="8">
    <tableColumn id="1" xr3:uid="{3B0C31FE-3737-4F27-848A-743EAD7CB3F6}" name="Year" dataDxfId="50"/>
    <tableColumn id="2" xr3:uid="{EB148409-6DE5-4824-AA2A-6646E91A52F6}" name="1 - Large Urban Areas"/>
    <tableColumn id="3" xr3:uid="{335FA7E6-B4B2-4871-8BF8-8AA403707463}" name="2 - Other Urban Areas"/>
    <tableColumn id="4" xr3:uid="{A4D849B9-B2B5-4B63-96E6-C8F77C7E7C20}" name="3 - Accessible Small Towns"/>
    <tableColumn id="5" xr3:uid="{15BD3FB5-BCF4-4653-A5E5-95878F92440B}" name="4 - Remote Small Towns"/>
    <tableColumn id="6" xr3:uid="{05434028-88CA-4644-BC2E-FC763A1FB638}" name="5 - Accessible Rural"/>
    <tableColumn id="7" xr3:uid="{F1A75EAA-A4C8-4141-9160-B3961FE5043B}" name="6 - Remote Rural"/>
    <tableColumn id="8" xr3:uid="{0BC0CAD5-DEE5-467E-A392-A87252350119}" name="All Scotland"/>
  </tableColumns>
  <tableStyleInfo name="TableStyleMedium7"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C91811E-51DA-44A4-9DB0-C5C90B95188D}" name="cset_HFSV_Rate_LA_All_Final" displayName="cset_HFSV_Rate_LA_All_Final" ref="A1:O353" totalsRowShown="0">
  <autoFilter ref="A1:O353" xr:uid="{AC91811E-51DA-44A4-9DB0-C5C90B95188D}"/>
  <tableColumns count="15">
    <tableColumn id="1" xr3:uid="{7554D96F-3BD7-4DB4-8601-50FFABE8DF00}" name="FisYr" dataDxfId="49"/>
    <tableColumn id="2" xr3:uid="{77C320E3-F4EA-45EE-8C3C-9E64C4CC784B}" name="Council" dataDxfId="48"/>
    <tableColumn id="3" xr3:uid="{F9F70769-1120-464E-8ABC-40C2CACE8ECA}" name="GSSCode" dataDxfId="47"/>
    <tableColumn id="4" xr3:uid="{1653A075-8B11-4264-8BCF-BB647FBF781E}" name="HFSV - alarms installed"/>
    <tableColumn id="5" xr3:uid="{B9FB0F20-D45C-4B0A-9CE0-D9E419D0F280}" name="HFSV - advice only"/>
    <tableColumn id="6" xr3:uid="{B666EA35-1CD7-4E27-A4AD-597F497B4B74}" name="Total HFSV"/>
    <tableColumn id="7" xr3:uid="{C4832B89-86CC-42C6-ABDB-995309F56786}" name="TotalNewAlarms"/>
    <tableColumn id="8" xr3:uid="{A3BA47E6-C41A-4603-98CC-235D902BC89B}" name="TotalReplacedAlarms"/>
    <tableColumn id="9" xr3:uid="{D382CCA9-BC82-4092-8A96-D5411A50FB88}" name="TotalAlarms"/>
    <tableColumn id="10" xr3:uid="{0996DD41-08CE-4739-959E-96AFD4B9EE63}" name="Dwellings"/>
    <tableColumn id="11" xr3:uid="{548C9D92-F7A4-4B7F-907A-8CB505323E9E}" name="VisitsPer100Dwelling"/>
    <tableColumn id="12" xr3:uid="{8BACE1BA-E546-4EA9-A46D-B5A6F75C14C0}" name="AlarmsPer100Dwelling"/>
    <tableColumn id="13" xr3:uid="{2ABC1E60-3739-4E6A-9F8A-5894900FB30D}" name="Households"/>
    <tableColumn id="14" xr3:uid="{4F225658-F35A-48FA-A5A1-FB172197B087}" name="VisitsPer100Household"/>
    <tableColumn id="15" xr3:uid="{668443A8-7FEC-48B5-A43D-C89D75A50EFC}" name="AlarmsPer100Household"/>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64618B9D-A288-4BAA-84A2-29F516E5C56A}" name="hrod_HR_StaffingFTE__2_1" displayName="hrod_HR_StaffingFTE__2_1" ref="A24:F37" totalsRowShown="0">
  <autoFilter ref="A24:F37" xr:uid="{64618B9D-A288-4BAA-84A2-29F516E5C56A}"/>
  <tableColumns count="6">
    <tableColumn id="1" xr3:uid="{5B110E14-9E13-4753-9EF4-A60968AD3295}" name="Year" dataDxfId="256"/>
    <tableColumn id="2" xr3:uid="{0B7237E5-E823-4B31-B315-D9132880D280}" name="WholeTime Operational"/>
    <tableColumn id="3" xr3:uid="{E9FD0C5F-AA50-4E11-AF42-5641F5167586}" name="Retained Duty System"/>
    <tableColumn id="4" xr3:uid="{6F16C0A8-2FEF-47D4-8AB6-D626732593D5}" name="RDS Fulltime"/>
    <tableColumn id="5" xr3:uid="{A02EE740-6507-4283-87A8-0F321CF0D01D}" name="Control"/>
    <tableColumn id="6" xr3:uid="{F3C7CDD8-32CD-44EE-89CF-725B9B03F9B7}" name="Support"/>
  </tableColumns>
  <tableStyleInfo name="TableStyleMedium7"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302BB7A-ACD4-4236-8A65-479C8A691BBC}" name="pp_PPED_Workflows__2" displayName="pp_PPED_Workflows__2" ref="A3:E13" totalsRowShown="0">
  <autoFilter ref="A3:E13" xr:uid="{0302BB7A-ACD4-4236-8A65-479C8A691BBC}"/>
  <tableColumns count="5">
    <tableColumn id="1" xr3:uid="{9B3521EF-BB4A-4489-BAD9-2CCB4005935B}" name="Year" dataDxfId="46"/>
    <tableColumn id="2" xr3:uid="{A4C00234-C159-4217-A1BC-D4032BECBAD7}" name="Audits"/>
    <tableColumn id="3" xr3:uid="{C015A728-FF69-4811-9E13-0DBA52D103E2}" name="Post Fire Short Audits"/>
    <tableColumn id="4" xr3:uid="{474A6398-A40F-4619-91DA-DC637C246C14}" name="Site Visits"/>
    <tableColumn id="5" xr3:uid="{1AACD080-BF38-4D41-8300-7D80D306C5CF}" name="Consultations"/>
  </tableColumns>
  <tableStyleInfo name="TableStyleMedium7"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85F7DA3-4759-409E-A464-48D985A53996}" name="pp_PPED_Workflow_FireEngineeringConsultations" displayName="pp_PPED_Workflow_FireEngineeringConsultations" ref="I6:J11" totalsRowShown="0">
  <autoFilter ref="I6:J11" xr:uid="{085F7DA3-4759-409E-A464-48D985A53996}"/>
  <tableColumns count="2">
    <tableColumn id="1" xr3:uid="{168CE3D8-05C0-479B-9670-06F436F32334}" name="Fiscal_Yr" dataDxfId="45"/>
    <tableColumn id="2" xr3:uid="{F400C3B3-2153-4C58-8C28-F37021595B78}" name="Count"/>
  </tableColumns>
  <tableStyleInfo name="TableStyleMedium7"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76E8637C-077E-4CFA-9D86-5BC8B925EFF7}" name="pp_PPED_Audits__2" displayName="pp_PPED_Audits__2" ref="A9:P24" totalsRowShown="0" headerRowDxfId="44" headerRowBorderDxfId="43">
  <tableColumns count="16">
    <tableColumn id="1" xr3:uid="{7650A99E-187E-48C6-85A0-48C231C83E07}" name="Premises Type" dataDxfId="42"/>
    <tableColumn id="2" xr3:uid="{A5F16BA3-CBEF-4691-952F-1EB16A3E60F4}" name="2009-10" dataDxfId="41"/>
    <tableColumn id="3" xr3:uid="{AD3A4442-05EF-4EE0-AA5E-24849E1411C8}" name="2010-11" dataDxfId="40"/>
    <tableColumn id="4" xr3:uid="{B0BB9533-05CE-4374-9437-35A305895A50}" name="2011-12" dataDxfId="39"/>
    <tableColumn id="5" xr3:uid="{A39A9DD1-E9CD-43CC-8C05-BF02156B0962}" name="2012-13" dataDxfId="38"/>
    <tableColumn id="6" xr3:uid="{01FD29B9-0440-42F4-B005-C3D79F6FA3ED}" name="2013-14" dataDxfId="37"/>
    <tableColumn id="7" xr3:uid="{0B63F908-74E2-4A9E-BB90-542790D62D64}" name="2014-15" dataDxfId="36"/>
    <tableColumn id="8" xr3:uid="{D9DF86F8-5667-4DD2-B21B-7C040BD65EC5}" name="2015-16" dataDxfId="35"/>
    <tableColumn id="9" xr3:uid="{3F11B3DB-2E35-40D1-AAEE-00E475EFE1AC}" name="2016-17" dataDxfId="34"/>
    <tableColumn id="10" xr3:uid="{18344FE7-1BA5-42E9-97E3-31C2E86038B5}" name="2017-18" dataDxfId="33"/>
    <tableColumn id="11" xr3:uid="{B397D465-9575-4BF3-AAAD-3234229C848A}" name="2018-19" dataDxfId="32"/>
    <tableColumn id="12" xr3:uid="{269AB4DD-C85F-4A45-8F32-0FA591513720}" name="2019-20" dataDxfId="31"/>
    <tableColumn id="13" xr3:uid="{74D063AA-2CFD-4F82-8FB3-E92A2DAE02E0}" name="2020-21" dataDxfId="30"/>
    <tableColumn id="14" xr3:uid="{73C92515-9289-45A4-86E2-80FF21A97ADF}" name="2021-22" dataDxfId="29"/>
    <tableColumn id="15" xr3:uid="{ADAECE01-F536-4985-A963-587E85B9C605}" name="2022-23" dataDxfId="28"/>
    <tableColumn id="16" xr3:uid="{6325856B-0950-4E1F-83B5-51EE844C5DE7}" name="2023-24" dataDxfId="27"/>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2000000}" name="pp_PPED_Audits_LA" displayName="pp_PPED_Audits_LA" ref="A1:R324" totalsRowShown="0">
  <autoFilter ref="A1:R324" xr:uid="{00000000-0009-0000-0100-00001F000000}"/>
  <tableColumns count="18">
    <tableColumn id="19" xr3:uid="{00000000-0010-0000-4200-000013000000}" name="Year" dataDxfId="26"/>
    <tableColumn id="2" xr3:uid="{00000000-0010-0000-4200-000002000000}" name="Local Authority" dataDxfId="25"/>
    <tableColumn id="3" xr3:uid="{00000000-0010-0000-4200-000003000000}" name="LA Code" dataDxfId="24"/>
    <tableColumn id="4" xr3:uid="{00000000-0010-0000-4200-000004000000}" name="Hospital / Prison"/>
    <tableColumn id="5" xr3:uid="{00000000-0010-0000-4200-000005000000}" name="Care Home"/>
    <tableColumn id="6" xr3:uid="{00000000-0010-0000-4200-000006000000}" name="HMO"/>
    <tableColumn id="7" xr3:uid="{00000000-0010-0000-4200-000007000000}" name="Hostel"/>
    <tableColumn id="8" xr3:uid="{00000000-0010-0000-4200-000008000000}" name="Hotel"/>
    <tableColumn id="15" xr3:uid="{00000000-0010-0000-4200-00000F000000}" name="Other Sleeping Accomm"/>
    <tableColumn id="10" xr3:uid="{00000000-0010-0000-4200-00000A000000}" name="Further Education"/>
    <tableColumn id="11" xr3:uid="{00000000-0010-0000-4200-00000B000000}" name="Public Building"/>
    <tableColumn id="12" xr3:uid="{00000000-0010-0000-4200-00000C000000}" name="Licensed Premises"/>
    <tableColumn id="13" xr3:uid="{00000000-0010-0000-4200-00000D000000}" name="School"/>
    <tableColumn id="14" xr3:uid="{00000000-0010-0000-4200-00000E000000}" name="Shop"/>
    <tableColumn id="1" xr3:uid="{39C562C2-CFCA-4C29-BD39-3951D33B4227}" name="Other Premises Open to Public"/>
    <tableColumn id="16" xr3:uid="{00000000-0010-0000-4200-000010000000}" name="Factory or Warehouse"/>
    <tableColumn id="17" xr3:uid="{00000000-0010-0000-4200-000011000000}" name="Office"/>
    <tableColumn id="18" xr3:uid="{00000000-0010-0000-4200-000012000000}" name="Other Workplace"/>
  </tableColumns>
  <tableStyleInfo name="TableStyleMedium7"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3000000}" name="pp_PPED_Audits_Outcome_Premises" displayName="pp_PPED_Audits_Outcome_Premises" ref="A1:K151" totalsRowShown="0">
  <autoFilter ref="A1:K151" xr:uid="{00000000-0009-0000-0100-000020000000}"/>
  <tableColumns count="11">
    <tableColumn id="12" xr3:uid="{00000000-0010-0000-4300-00000C000000}" name="FisYr" dataDxfId="23"/>
    <tableColumn id="2" xr3:uid="{00000000-0010-0000-4300-000002000000}" name="FSEC" dataDxfId="22"/>
    <tableColumn id="3" xr3:uid="{00000000-0010-0000-4300-000003000000}" name="Type of Premises" dataDxfId="21"/>
    <tableColumn id="4" xr3:uid="{00000000-0010-0000-4300-000004000000}" name="A_Tally"/>
    <tableColumn id="5" xr3:uid="{00000000-0010-0000-4300-000005000000}" name="A_Hours"/>
    <tableColumn id="6" xr3:uid="{00000000-0010-0000-4300-000006000000}" name="B_Tally"/>
    <tableColumn id="7" xr3:uid="{00000000-0010-0000-4300-000007000000}" name="B_Hours"/>
    <tableColumn id="8" xr3:uid="{00000000-0010-0000-4300-000008000000}" name="Enforcement_Tally"/>
    <tableColumn id="9" xr3:uid="{00000000-0010-0000-4300-000009000000}" name="Enforcement_Hours"/>
    <tableColumn id="10" xr3:uid="{00000000-0010-0000-4300-00000A000000}" name="Prohibition_Tally"/>
    <tableColumn id="11" xr3:uid="{00000000-0010-0000-4300-00000B000000}" name="Prohibition_Hours"/>
  </tableColumns>
  <tableStyleInfo name="TableStyleMedium7"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4000000}" name="pp_PPED_Audits_Outcome" displayName="pp_PPED_Audits_Outcome" ref="A10:K26" totalsRowShown="0" headerRowDxfId="20" headerRowBorderDxfId="19">
  <autoFilter ref="A10:K26" xr:uid="{00000000-0009-0000-0100-000022000000}"/>
  <tableColumns count="11">
    <tableColumn id="10" xr3:uid="{00000000-0010-0000-4400-00000A000000}" name="FisYr" dataDxfId="18"/>
    <tableColumn id="2" xr3:uid="{00000000-0010-0000-4400-000002000000}" name="A_Tally" dataDxfId="17"/>
    <tableColumn id="3" xr3:uid="{00000000-0010-0000-4400-000003000000}" name="A_Hours" dataDxfId="16"/>
    <tableColumn id="4" xr3:uid="{00000000-0010-0000-4400-000004000000}" name="B_Tally" dataDxfId="15"/>
    <tableColumn id="5" xr3:uid="{00000000-0010-0000-4400-000005000000}" name="B_Hours" dataDxfId="14"/>
    <tableColumn id="11" xr3:uid="{00000000-0010-0000-4400-00000B000000}" name="Audits" dataDxfId="13">
      <calculatedColumnFormula>pp_PPED_Audits_Outcome[[#This Row],[A_Tally]]+pp_PPED_Audits_Outcome[[#This Row],[B_Tally]]</calculatedColumnFormula>
    </tableColumn>
    <tableColumn id="12" xr3:uid="{00000000-0010-0000-4400-00000C000000}" name="Hours3" dataDxfId="12">
      <calculatedColumnFormula>pp_PPED_Audits_Outcome[[#This Row],[A_Hours]]+pp_PPED_Audits_Outcome[[#This Row],[B_Hours]]</calculatedColumnFormula>
    </tableColumn>
    <tableColumn id="6" xr3:uid="{00000000-0010-0000-4400-000006000000}" name="Enforcement_Tally" dataDxfId="11"/>
    <tableColumn id="7" xr3:uid="{00000000-0010-0000-4400-000007000000}" name="Enforcement_Hours" dataDxfId="10"/>
    <tableColumn id="8" xr3:uid="{00000000-0010-0000-4400-000008000000}" name="Prohibition_Tally" dataDxfId="9"/>
    <tableColumn id="9" xr3:uid="{00000000-0010-0000-4400-000009000000}" name="Prohibition_Hours" dataDxfId="8"/>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5000000}" name="pp_PPED_Audits_Outcome_LA" displayName="pp_PPED_Audits_Outcome_LA" ref="A1:K320" totalsRowShown="0">
  <autoFilter ref="A1:K320" xr:uid="{00000000-0009-0000-0100-000024000000}"/>
  <sortState xmlns:xlrd2="http://schemas.microsoft.com/office/spreadsheetml/2017/richdata2" ref="A2:K320">
    <sortCondition ref="A1"/>
  </sortState>
  <tableColumns count="11">
    <tableColumn id="12" xr3:uid="{00000000-0010-0000-4500-00000C000000}" name="FisYr" dataDxfId="7"/>
    <tableColumn id="2" xr3:uid="{00000000-0010-0000-4500-000002000000}" name="Council" dataDxfId="6"/>
    <tableColumn id="3" xr3:uid="{00000000-0010-0000-4500-000003000000}" name="GSSCode" dataDxfId="5"/>
    <tableColumn id="4" xr3:uid="{00000000-0010-0000-4500-000004000000}" name="A_Tally"/>
    <tableColumn id="5" xr3:uid="{00000000-0010-0000-4500-000005000000}" name="A_Hours"/>
    <tableColumn id="6" xr3:uid="{00000000-0010-0000-4500-000006000000}" name="B_Tally"/>
    <tableColumn id="7" xr3:uid="{00000000-0010-0000-4500-000007000000}" name="B_Hours"/>
    <tableColumn id="8" xr3:uid="{00000000-0010-0000-4500-000008000000}" name="Enforcement_Tally"/>
    <tableColumn id="9" xr3:uid="{00000000-0010-0000-4500-000009000000}" name="Enforcement_Hours"/>
    <tableColumn id="10" xr3:uid="{00000000-0010-0000-4500-00000A000000}" name="Prohibition_Tally"/>
    <tableColumn id="11" xr3:uid="{00000000-0010-0000-4500-00000B000000}" name="Prohibition_Hours"/>
  </tableColumns>
  <tableStyleInfo name="TableStyleMedium7"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4858909-2C7E-4FAA-854A-8947CE9085C5}" name="pp_PPED_Notices__2" displayName="pp_PPED_Notices__2" ref="B4:E14" totalsRowShown="0">
  <autoFilter ref="B4:E14" xr:uid="{84858909-2C7E-4FAA-854A-8947CE9085C5}"/>
  <tableColumns count="4">
    <tableColumn id="1" xr3:uid="{064B47CB-204E-4781-8F74-F6999157BBA2}" name="Year" dataDxfId="4"/>
    <tableColumn id="2" xr3:uid="{107858AF-B18A-449A-B51F-B8678968B8F5}" name="Enforcement Notice"/>
    <tableColumn id="3" xr3:uid="{78E6FB18-F1E9-4112-AE9D-C7F654FE6CC9}" name="Prohibition Notice"/>
    <tableColumn id="4" xr3:uid="{277E0ACD-4B84-4C1E-923A-407A833A237F}" name="Alterations Notice"/>
  </tableColumns>
  <tableStyleInfo name="TableStyleMedium7"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7000000}" name="pp_PPED_Risk" displayName="pp_PPED_Risk" ref="A1:J151" totalsRowShown="0">
  <autoFilter ref="A1:J151" xr:uid="{00000000-0009-0000-0100-000021000000}"/>
  <tableColumns count="10">
    <tableColumn id="10" xr3:uid="{00000000-0010-0000-4700-00000A000000}" name="Year" dataDxfId="3"/>
    <tableColumn id="2" xr3:uid="{00000000-0010-0000-4700-000002000000}" name="FSEC" dataDxfId="2"/>
    <tableColumn id="3" xr3:uid="{00000000-0010-0000-4700-000003000000}" name="PremisesType" dataDxfId="1"/>
    <tableColumn id="4" xr3:uid="{00000000-0010-0000-4700-000004000000}" name="VL"/>
    <tableColumn id="5" xr3:uid="{00000000-0010-0000-4700-000005000000}" name="L"/>
    <tableColumn id="6" xr3:uid="{00000000-0010-0000-4700-000006000000}" name="M"/>
    <tableColumn id="7" xr3:uid="{00000000-0010-0000-4700-000007000000}" name="H"/>
    <tableColumn id="8" xr3:uid="{00000000-0010-0000-4700-000008000000}" name="VH"/>
    <tableColumn id="1" xr3:uid="{00000000-0010-0000-4700-000001000000}" name="Not Known"/>
    <tableColumn id="9" xr3:uid="{00000000-0010-0000-4700-000009000000}" name="Total"/>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4000000}" name="hrod_HR_StaffingFTE__2" displayName="hrod_HR_StaffingFTE__2" ref="A41:G54" totalsRowShown="0" headerRowDxfId="255" headerRowBorderDxfId="254">
  <tableColumns count="7">
    <tableColumn id="7" xr3:uid="{00000000-0010-0000-0400-000007000000}" name="Year" dataDxfId="253"/>
    <tableColumn id="2" xr3:uid="{00000000-0010-0000-0400-000002000000}" name="Wholetime Operational" dataDxfId="252">
      <calculatedColumnFormula>GETPIVOTDATA("Sum of WholeTime Operational",StaffingPivot!$A$22,"Year",A42)</calculatedColumnFormula>
    </tableColumn>
    <tableColumn id="3" xr3:uid="{00000000-0010-0000-0400-000003000000}" name="Retained Duty System" dataDxfId="251">
      <calculatedColumnFormula>GETPIVOTDATA("Sum of Retained Duty System",StaffingPivot!$A$22,"Year",A42)</calculatedColumnFormula>
    </tableColumn>
    <tableColumn id="4" xr3:uid="{00000000-0010-0000-0400-000004000000}" name="Retained Full-time" dataDxfId="250"/>
    <tableColumn id="5" xr3:uid="{00000000-0010-0000-0400-000005000000}" name="Control" dataDxfId="249">
      <calculatedColumnFormula>GETPIVOTDATA("Sum of Control",StaffingPivot!$A$22,"Year",A42)</calculatedColumnFormula>
    </tableColumn>
    <tableColumn id="6" xr3:uid="{00000000-0010-0000-0400-000006000000}" name="Support" dataDxfId="248">
      <calculatedColumnFormula>GETPIVOTDATA("Sum of Support",StaffingPivot!$A$22,"Year",A42)</calculatedColumnFormula>
    </tableColumn>
    <tableColumn id="8" xr3:uid="{00000000-0010-0000-0400-000008000000}" name="All staff (excluding volunteers)" dataDxfId="247">
      <calculatedColumnFormula>SUM(B42:F42)</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5000000}" name="hrod_HR_StaffingHeadcount__3" displayName="hrod_HR_StaffingHeadcount__3" ref="A9:G22" totalsRowShown="0" headerRowDxfId="246" headerRowBorderDxfId="245">
  <tableColumns count="7">
    <tableColumn id="8" xr3:uid="{00000000-0010-0000-0500-000008000000}" name="Year" dataDxfId="244"/>
    <tableColumn id="2" xr3:uid="{00000000-0010-0000-0500-000002000000}" name="Wholetime Operational" dataDxfId="243"/>
    <tableColumn id="3" xr3:uid="{00000000-0010-0000-0500-000003000000}" name="Retained Duty System" dataDxfId="242"/>
    <tableColumn id="4" xr3:uid="{00000000-0010-0000-0500-000004000000}" name="Retained Full-time" dataDxfId="241"/>
    <tableColumn id="5" xr3:uid="{00000000-0010-0000-0500-000005000000}" name="Control" dataDxfId="240"/>
    <tableColumn id="6" xr3:uid="{00000000-0010-0000-0500-000006000000}" name="Support" dataDxfId="239"/>
    <tableColumn id="7" xr3:uid="{00000000-0010-0000-0500-000007000000}" name="Volunteer" dataDxfId="23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National.Statistics@firescotland.gov.uk" TargetMode="External"/><Relationship Id="rId1" Type="http://schemas.openxmlformats.org/officeDocument/2006/relationships/hyperlink" Target="https://www.firescotland.gov.uk/about/statistics/" TargetMode="External"/></Relationships>
</file>

<file path=xl/worksheets/_rels/sheet100.xml.rels><?xml version="1.0" encoding="UTF-8" standalone="yes"?>
<Relationships xmlns="http://schemas.openxmlformats.org/package/2006/relationships"><Relationship Id="rId3" Type="http://schemas.openxmlformats.org/officeDocument/2006/relationships/pivotTable" Target="../pivotTables/pivotTable36.xml"/><Relationship Id="rId2" Type="http://schemas.openxmlformats.org/officeDocument/2006/relationships/pivotTable" Target="../pivotTables/pivotTable35.xml"/><Relationship Id="rId1" Type="http://schemas.openxmlformats.org/officeDocument/2006/relationships/pivotTable" Target="../pivotTables/pivotTable34.xml"/><Relationship Id="rId6" Type="http://schemas.microsoft.com/office/2007/relationships/slicer" Target="../slicers/slicer48.xml"/><Relationship Id="rId5" Type="http://schemas.openxmlformats.org/officeDocument/2006/relationships/drawing" Target="../drawings/drawing51.xml"/><Relationship Id="rId4" Type="http://schemas.openxmlformats.org/officeDocument/2006/relationships/pivotTable" Target="../pivotTables/pivotTable37.xml"/></Relationships>
</file>

<file path=xl/worksheets/_rels/sheet10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table" Target="../tables/table42.xml"/><Relationship Id="rId4" Type="http://schemas.openxmlformats.org/officeDocument/2006/relationships/table" Target="../tables/table45.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03.xml.rels><?xml version="1.0" encoding="UTF-8" standalone="yes"?>
<Relationships xmlns="http://schemas.openxmlformats.org/package/2006/relationships"><Relationship Id="rId3" Type="http://schemas.microsoft.com/office/2007/relationships/slicer" Target="../slicers/slicer49.xml"/><Relationship Id="rId2" Type="http://schemas.openxmlformats.org/officeDocument/2006/relationships/drawing" Target="../drawings/drawing52.xml"/><Relationship Id="rId1" Type="http://schemas.openxmlformats.org/officeDocument/2006/relationships/pivotTable" Target="../pivotTables/pivotTable38.xml"/></Relationships>
</file>

<file path=xl/worksheets/_rels/sheet104.xml.rels><?xml version="1.0" encoding="UTF-8" standalone="yes"?>
<Relationships xmlns="http://schemas.openxmlformats.org/package/2006/relationships"><Relationship Id="rId3" Type="http://schemas.microsoft.com/office/2007/relationships/slicer" Target="../slicers/slicer50.xml"/><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8.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11.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5.xml"/></Relationships>
</file>

<file path=xl/worksheets/_rels/sheet1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ivotTable" Target="../pivotTables/pivotTable42.xml"/></Relationships>
</file>

<file path=xl/worksheets/_rels/sheet111.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table" Target="../tables/table48.xml"/><Relationship Id="rId1" Type="http://schemas.openxmlformats.org/officeDocument/2006/relationships/table" Target="../tables/table47.xml"/><Relationship Id="rId4" Type="http://schemas.openxmlformats.org/officeDocument/2006/relationships/table" Target="../tables/table50.x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3.xml.rels><?xml version="1.0" encoding="UTF-8" standalone="yes"?>
<Relationships xmlns="http://schemas.openxmlformats.org/package/2006/relationships"><Relationship Id="rId1" Type="http://schemas.openxmlformats.org/officeDocument/2006/relationships/pivotTable" Target="../pivotTables/pivotTable43.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19.xml.rels><?xml version="1.0" encoding="UTF-8" standalone="yes"?>
<Relationships xmlns="http://schemas.openxmlformats.org/package/2006/relationships"><Relationship Id="rId1" Type="http://schemas.openxmlformats.org/officeDocument/2006/relationships/pivotTable" Target="../pivotTables/pivotTable4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21.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ivotTable" Target="../pivotTables/pivotTable45.xml"/></Relationships>
</file>

<file path=xl/worksheets/_rels/sheet12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2016/list-of-tables" TargetMode="External"/><Relationship Id="rId4" Type="http://schemas.openxmlformats.org/officeDocument/2006/relationships/table" Target="../tables/table54.xml"/></Relationships>
</file>

<file path=xl/worksheets/_rels/sheet123.xml.rels><?xml version="1.0" encoding="UTF-8" standalone="yes"?>
<Relationships xmlns="http://schemas.openxmlformats.org/package/2006/relationships"><Relationship Id="rId2" Type="http://schemas.openxmlformats.org/officeDocument/2006/relationships/pivotTable" Target="../pivotTables/pivotTable47.xml"/><Relationship Id="rId1" Type="http://schemas.openxmlformats.org/officeDocument/2006/relationships/pivotTable" Target="../pivotTables/pivotTable46.xml"/></Relationships>
</file>

<file path=xl/worksheets/_rels/sheet124.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table" Target="../tables/table55.xm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26.xml.rels><?xml version="1.0" encoding="UTF-8" standalone="yes"?>
<Relationships xmlns="http://schemas.openxmlformats.org/package/2006/relationships"><Relationship Id="rId2" Type="http://schemas.openxmlformats.org/officeDocument/2006/relationships/pivotTable" Target="../pivotTables/pivotTable49.xml"/><Relationship Id="rId1" Type="http://schemas.openxmlformats.org/officeDocument/2006/relationships/pivotTable" Target="../pivotTables/pivotTable48.xml"/></Relationships>
</file>

<file path=xl/worksheets/_rels/sheet127.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table" Target="../tables/table57.xml"/></Relationships>
</file>

<file path=xl/worksheets/_rels/sheet128.xml.rels><?xml version="1.0" encoding="UTF-8" standalone="yes"?>
<Relationships xmlns="http://schemas.openxmlformats.org/package/2006/relationships"><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 TargetMode="External"/></Relationships>
</file>

<file path=xl/worksheets/_rels/sheet129.xml.rels><?xml version="1.0" encoding="UTF-8" standalone="yes"?>
<Relationships xmlns="http://schemas.openxmlformats.org/package/2006/relationships"><Relationship Id="rId1" Type="http://schemas.openxmlformats.org/officeDocument/2006/relationships/pivotTable" Target="../pivotTables/pivotTable50.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1.xml.rels><?xml version="1.0" encoding="UTF-8" standalone="yes"?>
<Relationships xmlns="http://schemas.openxmlformats.org/package/2006/relationships"><Relationship Id="rId1" Type="http://schemas.openxmlformats.org/officeDocument/2006/relationships/pivotTable" Target="../pivotTables/pivotTable51.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3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nrscotland.gov.uk/statistics-and-data/statistics/statistics-by-theme/population/population-estimates/mid-year-population-estimates" TargetMode="External"/></Relationships>
</file>

<file path=xl/worksheets/_rels/sheet134.xml.rels><?xml version="1.0" encoding="UTF-8" standalone="yes"?>
<Relationships xmlns="http://schemas.openxmlformats.org/package/2006/relationships"><Relationship Id="rId1" Type="http://schemas.openxmlformats.org/officeDocument/2006/relationships/pivotTable" Target="../pivotTables/pivotTable5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37.xml.rels><?xml version="1.0" encoding="UTF-8" standalone="yes"?>
<Relationships xmlns="http://schemas.openxmlformats.org/package/2006/relationships"><Relationship Id="rId2" Type="http://schemas.openxmlformats.org/officeDocument/2006/relationships/pivotTable" Target="../pivotTables/pivotTable54.xml"/><Relationship Id="rId1" Type="http://schemas.openxmlformats.org/officeDocument/2006/relationships/pivotTable" Target="../pivotTables/pivotTable53.xml"/></Relationships>
</file>

<file path=xl/worksheets/_rels/sheet138.xml.rels><?xml version="1.0" encoding="UTF-8" standalone="yes"?>
<Relationships xmlns="http://schemas.openxmlformats.org/package/2006/relationships"><Relationship Id="rId2" Type="http://schemas.openxmlformats.org/officeDocument/2006/relationships/table" Target="../tables/table63.xml"/><Relationship Id="rId1" Type="http://schemas.openxmlformats.org/officeDocument/2006/relationships/table" Target="../tables/table62.xml"/></Relationships>
</file>

<file path=xl/worksheets/_rels/sheet139.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 Id="rId4" Type="http://schemas.openxmlformats.org/officeDocument/2006/relationships/printerSettings" Target="../printerSettings/printerSettings47.bin"/></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40.xml.rels><?xml version="1.0" encoding="UTF-8" standalone="yes"?>
<Relationships xmlns="http://schemas.openxmlformats.org/package/2006/relationships"><Relationship Id="rId2" Type="http://schemas.openxmlformats.org/officeDocument/2006/relationships/pivotTable" Target="../pivotTables/pivotTable56.xml"/><Relationship Id="rId1" Type="http://schemas.openxmlformats.org/officeDocument/2006/relationships/pivotTable" Target="../pivotTables/pivotTable55.xml"/></Relationships>
</file>

<file path=xl/worksheets/_rels/sheet141.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42.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 Id="rId4" Type="http://schemas.openxmlformats.org/officeDocument/2006/relationships/printerSettings" Target="../printerSettings/printerSettings48.bin"/></Relationships>
</file>

<file path=xl/worksheets/_rels/sheet143.xml.rels><?xml version="1.0" encoding="UTF-8" standalone="yes"?>
<Relationships xmlns="http://schemas.openxmlformats.org/package/2006/relationships"><Relationship Id="rId1" Type="http://schemas.openxmlformats.org/officeDocument/2006/relationships/pivotTable" Target="../pivotTables/pivotTable57.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45.xml.rels><?xml version="1.0" encoding="UTF-8" standalone="yes"?>
<Relationships xmlns="http://schemas.openxmlformats.org/package/2006/relationships"><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s>
</file>

<file path=xl/worksheets/_rels/sheet146.xml.rels><?xml version="1.0" encoding="UTF-8" standalone="yes"?>
<Relationships xmlns="http://schemas.openxmlformats.org/package/2006/relationships"><Relationship Id="rId2" Type="http://schemas.openxmlformats.org/officeDocument/2006/relationships/pivotTable" Target="../pivotTables/pivotTable59.xml"/><Relationship Id="rId1" Type="http://schemas.openxmlformats.org/officeDocument/2006/relationships/pivotTable" Target="../pivotTables/pivotTable58.xml"/></Relationships>
</file>

<file path=xl/worksheets/_rels/sheet147.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table" Target="../tables/table67.xml"/></Relationships>
</file>

<file path=xl/worksheets/_rels/sheet148.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About/Methodology/UrbanRuralClassification" TargetMode="External"/><Relationship Id="rId1" Type="http://schemas.openxmlformats.org/officeDocument/2006/relationships/hyperlink" Target="https://www2.gov.scot/Topics/Statistics/About/Methodology/UrbanRuralClassification" TargetMode="External"/><Relationship Id="rId4" Type="http://schemas.openxmlformats.org/officeDocument/2006/relationships/printerSettings" Target="../printerSettings/printerSettings49.bin"/></Relationships>
</file>

<file path=xl/worksheets/_rels/sheet149.xml.rels><?xml version="1.0" encoding="UTF-8" standalone="yes"?>
<Relationships xmlns="http://schemas.openxmlformats.org/package/2006/relationships"><Relationship Id="rId3" Type="http://schemas.microsoft.com/office/2007/relationships/slicer" Target="../slicers/slicer51.xml"/><Relationship Id="rId2" Type="http://schemas.openxmlformats.org/officeDocument/2006/relationships/drawing" Target="../drawings/drawing62.xml"/><Relationship Id="rId1" Type="http://schemas.openxmlformats.org/officeDocument/2006/relationships/pivotTable" Target="../pivotTables/pivotTable60.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51.xml.rels><?xml version="1.0" encoding="UTF-8" standalone="yes"?>
<Relationships xmlns="http://schemas.openxmlformats.org/package/2006/relationships"><Relationship Id="rId3" Type="http://schemas.microsoft.com/office/2007/relationships/slicer" Target="../slicers/slicer52.xml"/><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152.xml.rels><?xml version="1.0" encoding="UTF-8" standalone="yes"?>
<Relationships xmlns="http://schemas.openxmlformats.org/package/2006/relationships"><Relationship Id="rId3" Type="http://schemas.microsoft.com/office/2007/relationships/slicer" Target="../slicers/slicer53.xml"/><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153.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2016/list-of-tables" TargetMode="External"/><Relationship Id="rId5" Type="http://schemas.microsoft.com/office/2007/relationships/slicer" Target="../slicers/slicer54.xml"/><Relationship Id="rId4" Type="http://schemas.openxmlformats.org/officeDocument/2006/relationships/drawing" Target="../drawings/drawing65.xml"/></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4.bin"/></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68.xml.rels><?xml version="1.0" encoding="UTF-8" standalone="yes"?>
<Relationships xmlns="http://schemas.openxmlformats.org/package/2006/relationships"><Relationship Id="rId2" Type="http://schemas.openxmlformats.org/officeDocument/2006/relationships/pivotTable" Target="../pivotTables/pivotTable62.xml"/><Relationship Id="rId1" Type="http://schemas.openxmlformats.org/officeDocument/2006/relationships/pivotTable" Target="../pivotTables/pivotTable61.xml"/></Relationships>
</file>

<file path=xl/worksheets/_rels/sheet169.xml.rels><?xml version="1.0" encoding="UTF-8" standalone="yes"?>
<Relationships xmlns="http://schemas.openxmlformats.org/package/2006/relationships"><Relationship Id="rId2" Type="http://schemas.openxmlformats.org/officeDocument/2006/relationships/table" Target="../tables/table71.xml"/><Relationship Id="rId1" Type="http://schemas.openxmlformats.org/officeDocument/2006/relationships/table" Target="../tables/table7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0.xml.rels><?xml version="1.0" encoding="UTF-8" standalone="yes"?>
<Relationships xmlns="http://schemas.openxmlformats.org/package/2006/relationships"><Relationship Id="rId2" Type="http://schemas.openxmlformats.org/officeDocument/2006/relationships/table" Target="../tables/table72.xml"/><Relationship Id="rId1" Type="http://schemas.openxmlformats.org/officeDocument/2006/relationships/printerSettings" Target="../printerSettings/printerSettings56.bin"/></Relationships>
</file>

<file path=xl/worksheets/_rels/sheet171.xml.rels><?xml version="1.0" encoding="UTF-8" standalone="yes"?>
<Relationships xmlns="http://schemas.openxmlformats.org/package/2006/relationships"><Relationship Id="rId3" Type="http://schemas.microsoft.com/office/2007/relationships/slicer" Target="../slicers/slicer55.xml"/><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172.xml.rels><?xml version="1.0" encoding="UTF-8" standalone="yes"?>
<Relationships xmlns="http://schemas.openxmlformats.org/package/2006/relationships"><Relationship Id="rId3" Type="http://schemas.microsoft.com/office/2007/relationships/slicer" Target="../slicers/slicer56.xml"/><Relationship Id="rId2" Type="http://schemas.openxmlformats.org/officeDocument/2006/relationships/drawing" Target="../drawings/drawing80.xml"/><Relationship Id="rId1" Type="http://schemas.openxmlformats.org/officeDocument/2006/relationships/pivotTable" Target="../pivotTables/pivotTable63.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74.xml.rels><?xml version="1.0" encoding="UTF-8" standalone="yes"?>
<Relationships xmlns="http://schemas.openxmlformats.org/package/2006/relationships"><Relationship Id="rId3" Type="http://schemas.microsoft.com/office/2007/relationships/slicer" Target="../slicers/slicer57.xml"/><Relationship Id="rId2" Type="http://schemas.openxmlformats.org/officeDocument/2006/relationships/drawing" Target="../drawings/drawing81.xml"/><Relationship Id="rId1" Type="http://schemas.openxmlformats.org/officeDocument/2006/relationships/pivotTable" Target="../pivotTables/pivotTable64.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76.xml.rels><?xml version="1.0" encoding="UTF-8" standalone="yes"?>
<Relationships xmlns="http://schemas.openxmlformats.org/package/2006/relationships"><Relationship Id="rId3" Type="http://schemas.openxmlformats.org/officeDocument/2006/relationships/table" Target="../tables/table75.xml"/><Relationship Id="rId2" Type="http://schemas.openxmlformats.org/officeDocument/2006/relationships/drawing" Target="../drawings/drawing82.xml"/><Relationship Id="rId1" Type="http://schemas.openxmlformats.org/officeDocument/2006/relationships/printerSettings" Target="../printerSettings/printerSettings58.bin"/><Relationship Id="rId4" Type="http://schemas.microsoft.com/office/2007/relationships/slicer" Target="../slicers/slicer58.xml"/></Relationships>
</file>

<file path=xl/worksheets/_rels/sheet177.xml.rels><?xml version="1.0" encoding="UTF-8" standalone="yes"?>
<Relationships xmlns="http://schemas.openxmlformats.org/package/2006/relationships"><Relationship Id="rId3" Type="http://schemas.microsoft.com/office/2007/relationships/slicer" Target="../slicers/slicer59.xml"/><Relationship Id="rId2" Type="http://schemas.openxmlformats.org/officeDocument/2006/relationships/drawing" Target="../drawings/drawing83.xml"/><Relationship Id="rId1" Type="http://schemas.openxmlformats.org/officeDocument/2006/relationships/pivotTable" Target="../pivotTables/pivotTable6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79.xml.rels><?xml version="1.0" encoding="UTF-8" standalone="yes"?>
<Relationships xmlns="http://schemas.openxmlformats.org/package/2006/relationships"><Relationship Id="rId3" Type="http://schemas.microsoft.com/office/2007/relationships/slicer" Target="../slicers/slicer60.xml"/><Relationship Id="rId2" Type="http://schemas.openxmlformats.org/officeDocument/2006/relationships/drawing" Target="../drawings/drawing84.xml"/><Relationship Id="rId1" Type="http://schemas.openxmlformats.org/officeDocument/2006/relationships/printerSettings" Target="../printerSettings/printerSettings5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0.xml.rels><?xml version="1.0" encoding="UTF-8" standalone="yes"?>
<Relationships xmlns="http://schemas.openxmlformats.org/package/2006/relationships"><Relationship Id="rId1" Type="http://schemas.openxmlformats.org/officeDocument/2006/relationships/pivotTable" Target="../pivotTables/pivotTable66.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83.xml.rels><?xml version="1.0" encoding="UTF-8" standalone="yes"?>
<Relationships xmlns="http://schemas.openxmlformats.org/package/2006/relationships"><Relationship Id="rId3" Type="http://schemas.microsoft.com/office/2007/relationships/slicer" Target="../slicers/slicer61.xml"/><Relationship Id="rId2" Type="http://schemas.openxmlformats.org/officeDocument/2006/relationships/drawing" Target="../drawings/drawing85.xml"/><Relationship Id="rId1" Type="http://schemas.openxmlformats.org/officeDocument/2006/relationships/pivotTable" Target="../pivotTables/pivotTable67.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85.xml.rels><?xml version="1.0" encoding="UTF-8" standalone="yes"?>
<Relationships xmlns="http://schemas.openxmlformats.org/package/2006/relationships"><Relationship Id="rId2" Type="http://schemas.microsoft.com/office/2007/relationships/slicer" Target="../slicers/slicer62.xml"/><Relationship Id="rId1" Type="http://schemas.openxmlformats.org/officeDocument/2006/relationships/drawing" Target="../drawings/drawing86.xml"/></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1.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2.bin"/></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4.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table" Target="../tables/table6.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1.xml"/><Relationship Id="rId1" Type="http://schemas.openxmlformats.org/officeDocument/2006/relationships/pivotTable" Target="../pivotTables/pivotTable1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3.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5.bin"/><Relationship Id="rId5" Type="http://schemas.microsoft.com/office/2007/relationships/slicer" Target="../slicers/slicer10.xml"/><Relationship Id="rId4" Type="http://schemas.openxmlformats.org/officeDocument/2006/relationships/table" Target="../tables/table14.xml"/></Relationships>
</file>

<file path=xl/worksheets/_rels/sheet35.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14.xml"/><Relationship Id="rId1" Type="http://schemas.openxmlformats.org/officeDocument/2006/relationships/pivotTable" Target="../pivotTables/pivotTable11.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37.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16.xml"/><Relationship Id="rId1" Type="http://schemas.openxmlformats.org/officeDocument/2006/relationships/pivotTable" Target="../pivotTables/pivotTable12.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microsoft.com/office/2007/relationships/slicer" Target="../slicers/slicer14.xml"/><Relationship Id="rId5" Type="http://schemas.openxmlformats.org/officeDocument/2006/relationships/table" Target="../tables/table19.xml"/><Relationship Id="rId4" Type="http://schemas.openxmlformats.org/officeDocument/2006/relationships/table" Target="../tables/table1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42.xml.rels><?xml version="1.0" encoding="UTF-8" standalone="yes"?>
<Relationships xmlns="http://schemas.openxmlformats.org/package/2006/relationships"><Relationship Id="rId3" Type="http://schemas.microsoft.com/office/2007/relationships/slicer" Target="../slicers/slicer15.xml"/><Relationship Id="rId2" Type="http://schemas.openxmlformats.org/officeDocument/2006/relationships/drawing" Target="../drawings/drawing18.xml"/><Relationship Id="rId1" Type="http://schemas.openxmlformats.org/officeDocument/2006/relationships/pivotTable" Target="../pivotTables/pivotTable13.xml"/></Relationships>
</file>

<file path=xl/worksheets/_rels/sheet43.xml.rels><?xml version="1.0" encoding="UTF-8" standalone="yes"?>
<Relationships xmlns="http://schemas.openxmlformats.org/package/2006/relationships"><Relationship Id="rId2" Type="http://schemas.microsoft.com/office/2007/relationships/slicer" Target="../slicers/slicer16.xml"/><Relationship Id="rId1" Type="http://schemas.openxmlformats.org/officeDocument/2006/relationships/drawing" Target="../drawings/drawing19.xml"/></Relationships>
</file>

<file path=xl/worksheets/_rels/sheet44.xml.rels><?xml version="1.0" encoding="UTF-8" standalone="yes"?>
<Relationships xmlns="http://schemas.openxmlformats.org/package/2006/relationships"><Relationship Id="rId3" Type="http://schemas.microsoft.com/office/2007/relationships/slicer" Target="../slicers/slicer17.xml"/><Relationship Id="rId2" Type="http://schemas.openxmlformats.org/officeDocument/2006/relationships/drawing" Target="../drawings/drawing20.xml"/><Relationship Id="rId1" Type="http://schemas.openxmlformats.org/officeDocument/2006/relationships/pivotTable" Target="../pivotTables/pivotTable14.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46.xml.rels><?xml version="1.0" encoding="UTF-8" standalone="yes"?>
<Relationships xmlns="http://schemas.openxmlformats.org/package/2006/relationships"><Relationship Id="rId3" Type="http://schemas.microsoft.com/office/2007/relationships/slicer" Target="../slicers/slicer18.x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47.xml.rels><?xml version="1.0" encoding="UTF-8" standalone="yes"?>
<Relationships xmlns="http://schemas.openxmlformats.org/package/2006/relationships"><Relationship Id="rId3" Type="http://schemas.microsoft.com/office/2007/relationships/slicer" Target="../slicers/slicer19.xml"/><Relationship Id="rId2" Type="http://schemas.openxmlformats.org/officeDocument/2006/relationships/drawing" Target="../drawings/drawing22.xml"/><Relationship Id="rId1" Type="http://schemas.openxmlformats.org/officeDocument/2006/relationships/pivotTable" Target="../pivotTables/pivotTable1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49.xml.rels><?xml version="1.0" encoding="UTF-8" standalone="yes"?>
<Relationships xmlns="http://schemas.openxmlformats.org/package/2006/relationships"><Relationship Id="rId2" Type="http://schemas.microsoft.com/office/2007/relationships/slicer" Target="../slicers/slicer20.xml"/><Relationship Id="rId1" Type="http://schemas.openxmlformats.org/officeDocument/2006/relationships/drawing" Target="../drawings/drawing23.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microsoft.com/office/2007/relationships/slicer" Target="../slicers/slicer21.xml"/><Relationship Id="rId2" Type="http://schemas.openxmlformats.org/officeDocument/2006/relationships/drawing" Target="../drawings/drawing24.xml"/><Relationship Id="rId1" Type="http://schemas.openxmlformats.org/officeDocument/2006/relationships/pivotTable" Target="../pivotTables/pivotTable16.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52.xml.rels><?xml version="1.0" encoding="UTF-8" standalone="yes"?>
<Relationships xmlns="http://schemas.openxmlformats.org/package/2006/relationships"><Relationship Id="rId3" Type="http://schemas.microsoft.com/office/2007/relationships/slicer" Target="../slicers/slicer22.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53.xml.rels><?xml version="1.0" encoding="UTF-8" standalone="yes"?>
<Relationships xmlns="http://schemas.openxmlformats.org/package/2006/relationships"><Relationship Id="rId3" Type="http://schemas.microsoft.com/office/2007/relationships/slicer" Target="../slicers/slicer23.xml"/><Relationship Id="rId2" Type="http://schemas.openxmlformats.org/officeDocument/2006/relationships/drawing" Target="../drawings/drawing26.xml"/><Relationship Id="rId1" Type="http://schemas.openxmlformats.org/officeDocument/2006/relationships/pivotTable" Target="../pivotTables/pivotTable17.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55.xml.rels><?xml version="1.0" encoding="UTF-8" standalone="yes"?>
<Relationships xmlns="http://schemas.openxmlformats.org/package/2006/relationships"><Relationship Id="rId3" Type="http://schemas.microsoft.com/office/2007/relationships/slicer" Target="../slicers/slicer24.xml"/><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3" Type="http://schemas.microsoft.com/office/2007/relationships/slicer" Target="../slicers/slicer25.xml"/><Relationship Id="rId2" Type="http://schemas.openxmlformats.org/officeDocument/2006/relationships/drawing" Target="../drawings/drawing28.xml"/><Relationship Id="rId1" Type="http://schemas.openxmlformats.org/officeDocument/2006/relationships/pivotTable" Target="../pivotTables/pivotTable18.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58.xml.rels><?xml version="1.0" encoding="UTF-8" standalone="yes"?>
<Relationships xmlns="http://schemas.openxmlformats.org/package/2006/relationships"><Relationship Id="rId3" Type="http://schemas.microsoft.com/office/2007/relationships/slicer" Target="../slicers/slicer26.xml"/><Relationship Id="rId2" Type="http://schemas.openxmlformats.org/officeDocument/2006/relationships/drawing" Target="../drawings/drawing29.xml"/><Relationship Id="rId1" Type="http://schemas.openxmlformats.org/officeDocument/2006/relationships/pivotTable" Target="../pivotTables/pivotTable19.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60.xml.rels><?xml version="1.0" encoding="UTF-8" standalone="yes"?>
<Relationships xmlns="http://schemas.openxmlformats.org/package/2006/relationships"><Relationship Id="rId3" Type="http://schemas.microsoft.com/office/2007/relationships/slicer" Target="../slicers/slicer27.xml"/><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61.xml.rels><?xml version="1.0" encoding="UTF-8" standalone="yes"?>
<Relationships xmlns="http://schemas.openxmlformats.org/package/2006/relationships"><Relationship Id="rId3" Type="http://schemas.microsoft.com/office/2007/relationships/slicer" Target="../slicers/slicer28.xml"/><Relationship Id="rId2" Type="http://schemas.openxmlformats.org/officeDocument/2006/relationships/drawing" Target="../drawings/drawing31.xml"/><Relationship Id="rId1" Type="http://schemas.openxmlformats.org/officeDocument/2006/relationships/pivotTable" Target="../pivotTables/pivotTable20.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63.xml.rels><?xml version="1.0" encoding="UTF-8" standalone="yes"?>
<Relationships xmlns="http://schemas.openxmlformats.org/package/2006/relationships"><Relationship Id="rId3" Type="http://schemas.microsoft.com/office/2007/relationships/slicer" Target="../slicers/slicer29.xml"/><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64.xml.rels><?xml version="1.0" encoding="UTF-8" standalone="yes"?>
<Relationships xmlns="http://schemas.openxmlformats.org/package/2006/relationships"><Relationship Id="rId3" Type="http://schemas.microsoft.com/office/2007/relationships/slicer" Target="../slicers/slicer30.xml"/><Relationship Id="rId2" Type="http://schemas.openxmlformats.org/officeDocument/2006/relationships/drawing" Target="../drawings/drawing33.xml"/><Relationship Id="rId1" Type="http://schemas.openxmlformats.org/officeDocument/2006/relationships/pivotTable" Target="../pivotTables/pivotTable21.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66.xml.rels><?xml version="1.0" encoding="UTF-8" standalone="yes"?>
<Relationships xmlns="http://schemas.openxmlformats.org/package/2006/relationships"><Relationship Id="rId3" Type="http://schemas.microsoft.com/office/2007/relationships/slicer" Target="../slicers/slicer31.xml"/><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67.xml.rels><?xml version="1.0" encoding="UTF-8" standalone="yes"?>
<Relationships xmlns="http://schemas.openxmlformats.org/package/2006/relationships"><Relationship Id="rId3" Type="http://schemas.microsoft.com/office/2007/relationships/slicer" Target="../slicers/slicer32.xml"/><Relationship Id="rId2" Type="http://schemas.openxmlformats.org/officeDocument/2006/relationships/drawing" Target="../drawings/drawing35.xml"/><Relationship Id="rId1" Type="http://schemas.openxmlformats.org/officeDocument/2006/relationships/pivotTable" Target="../pivotTables/pivotTable22.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69.xml.rels><?xml version="1.0" encoding="UTF-8" standalone="yes"?>
<Relationships xmlns="http://schemas.openxmlformats.org/package/2006/relationships"><Relationship Id="rId3" Type="http://schemas.microsoft.com/office/2007/relationships/slicer" Target="../slicers/slicer33.xml"/><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microsoft.com/office/2007/relationships/slicer" Target="../slicers/slicer34.xml"/><Relationship Id="rId2" Type="http://schemas.openxmlformats.org/officeDocument/2006/relationships/drawing" Target="../drawings/drawing37.xml"/><Relationship Id="rId1" Type="http://schemas.openxmlformats.org/officeDocument/2006/relationships/pivotTable" Target="../pivotTables/pivotTable23.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72.xml.rels><?xml version="1.0" encoding="UTF-8" standalone="yes"?>
<Relationships xmlns="http://schemas.openxmlformats.org/package/2006/relationships"><Relationship Id="rId3" Type="http://schemas.microsoft.com/office/2007/relationships/slicer" Target="../slicers/slicer35.xml"/><Relationship Id="rId2" Type="http://schemas.openxmlformats.org/officeDocument/2006/relationships/drawing" Target="../drawings/drawing38.xml"/><Relationship Id="rId1" Type="http://schemas.openxmlformats.org/officeDocument/2006/relationships/pivotTable" Target="../pivotTables/pivotTable24.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74.xml.rels><?xml version="1.0" encoding="UTF-8" standalone="yes"?>
<Relationships xmlns="http://schemas.openxmlformats.org/package/2006/relationships"><Relationship Id="rId3" Type="http://schemas.microsoft.com/office/2007/relationships/slicer" Target="../slicers/slicer36.xml"/><Relationship Id="rId2" Type="http://schemas.openxmlformats.org/officeDocument/2006/relationships/drawing" Target="../drawings/drawing39.xml"/><Relationship Id="rId1" Type="http://schemas.openxmlformats.org/officeDocument/2006/relationships/printerSettings" Target="../printerSettings/printerSettings25.bin"/></Relationships>
</file>

<file path=xl/worksheets/_rels/sheet75.xml.rels><?xml version="1.0" encoding="UTF-8" standalone="yes"?>
<Relationships xmlns="http://schemas.openxmlformats.org/package/2006/relationships"><Relationship Id="rId1" Type="http://schemas.openxmlformats.org/officeDocument/2006/relationships/pivotTable" Target="../pivotTables/pivotTable25.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8.xml.rels><?xml version="1.0" encoding="UTF-8" standalone="yes"?>
<Relationships xmlns="http://schemas.openxmlformats.org/package/2006/relationships"><Relationship Id="rId3" Type="http://schemas.microsoft.com/office/2007/relationships/slicer" Target="../slicers/slicer37.xml"/><Relationship Id="rId2" Type="http://schemas.openxmlformats.org/officeDocument/2006/relationships/drawing" Target="../drawings/drawing40.xml"/><Relationship Id="rId1" Type="http://schemas.openxmlformats.org/officeDocument/2006/relationships/pivotTable" Target="../pivotTables/pivotTable2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microsoft.com/office/2007/relationships/slicer" Target="../slicers/slicer38.xml"/><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81.xml.rels><?xml version="1.0" encoding="UTF-8" standalone="yes"?>
<Relationships xmlns="http://schemas.openxmlformats.org/package/2006/relationships"><Relationship Id="rId3" Type="http://schemas.microsoft.com/office/2007/relationships/slicer" Target="../slicers/slicer39.xml"/><Relationship Id="rId2" Type="http://schemas.openxmlformats.org/officeDocument/2006/relationships/drawing" Target="../drawings/drawing42.xml"/><Relationship Id="rId1" Type="http://schemas.openxmlformats.org/officeDocument/2006/relationships/pivotTable" Target="../pivotTables/pivotTable27.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83.xml.rels><?xml version="1.0" encoding="UTF-8" standalone="yes"?>
<Relationships xmlns="http://schemas.openxmlformats.org/package/2006/relationships"><Relationship Id="rId3" Type="http://schemas.microsoft.com/office/2007/relationships/slicer" Target="../slicers/slicer40.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84.xml.rels><?xml version="1.0" encoding="UTF-8" standalone="yes"?>
<Relationships xmlns="http://schemas.openxmlformats.org/package/2006/relationships"><Relationship Id="rId3" Type="http://schemas.microsoft.com/office/2007/relationships/slicer" Target="../slicers/slicer41.xml"/><Relationship Id="rId2" Type="http://schemas.openxmlformats.org/officeDocument/2006/relationships/drawing" Target="../drawings/drawing44.xml"/><Relationship Id="rId1" Type="http://schemas.openxmlformats.org/officeDocument/2006/relationships/pivotTable" Target="../pivotTables/pivotTable28.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86.xml.rels><?xml version="1.0" encoding="UTF-8" standalone="yes"?>
<Relationships xmlns="http://schemas.openxmlformats.org/package/2006/relationships"><Relationship Id="rId3" Type="http://schemas.microsoft.com/office/2007/relationships/slicer" Target="../slicers/slicer42.xml"/><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87.xml.rels><?xml version="1.0" encoding="UTF-8" standalone="yes"?>
<Relationships xmlns="http://schemas.openxmlformats.org/package/2006/relationships"><Relationship Id="rId3" Type="http://schemas.microsoft.com/office/2007/relationships/slicer" Target="../slicers/slicer43.xml"/><Relationship Id="rId2" Type="http://schemas.openxmlformats.org/officeDocument/2006/relationships/drawing" Target="../drawings/drawing46.xml"/><Relationship Id="rId1" Type="http://schemas.openxmlformats.org/officeDocument/2006/relationships/pivotTable" Target="../pivotTables/pivotTable29.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89.xml.rels><?xml version="1.0" encoding="UTF-8" standalone="yes"?>
<Relationships xmlns="http://schemas.openxmlformats.org/package/2006/relationships"><Relationship Id="rId3" Type="http://schemas.microsoft.com/office/2007/relationships/slicer" Target="../slicers/slicer44.xml"/><Relationship Id="rId2" Type="http://schemas.openxmlformats.org/officeDocument/2006/relationships/drawing" Target="../drawings/drawing47.xml"/><Relationship Id="rId1" Type="http://schemas.openxmlformats.org/officeDocument/2006/relationships/printerSettings" Target="../printerSettings/printerSettings30.bin"/></Relationships>
</file>

<file path=xl/worksheets/_rels/sheet9.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2.xml"/></Relationships>
</file>

<file path=xl/worksheets/_rels/sheet90.xml.rels><?xml version="1.0" encoding="UTF-8" standalone="yes"?>
<Relationships xmlns="http://schemas.openxmlformats.org/package/2006/relationships"><Relationship Id="rId3" Type="http://schemas.microsoft.com/office/2007/relationships/slicer" Target="../slicers/slicer45.xml"/><Relationship Id="rId2" Type="http://schemas.openxmlformats.org/officeDocument/2006/relationships/drawing" Target="../drawings/drawing48.xml"/><Relationship Id="rId1" Type="http://schemas.openxmlformats.org/officeDocument/2006/relationships/pivotTable" Target="../pivotTables/pivotTable30.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92.xml.rels><?xml version="1.0" encoding="UTF-8" standalone="yes"?>
<Relationships xmlns="http://schemas.openxmlformats.org/package/2006/relationships"><Relationship Id="rId3" Type="http://schemas.microsoft.com/office/2007/relationships/slicer" Target="../slicers/slicer46.xml"/><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93.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94.xml.rels><?xml version="1.0" encoding="UTF-8" standalone="yes"?>
<Relationships xmlns="http://schemas.openxmlformats.org/package/2006/relationships"><Relationship Id="rId1" Type="http://schemas.openxmlformats.org/officeDocument/2006/relationships/pivotTable" Target="../pivotTables/pivotTable31.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6.xml.rels><?xml version="1.0" encoding="UTF-8" standalone="yes"?>
<Relationships xmlns="http://schemas.openxmlformats.org/package/2006/relationships"><Relationship Id="rId2" Type="http://schemas.openxmlformats.org/officeDocument/2006/relationships/pivotTable" Target="../pivotTables/pivotTable33.xml"/><Relationship Id="rId1" Type="http://schemas.openxmlformats.org/officeDocument/2006/relationships/pivotTable" Target="../pivotTables/pivotTable32.xml"/></Relationships>
</file>

<file path=xl/worksheets/_rels/sheet97.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table" Target="../tables/table39.xml"/></Relationships>
</file>

<file path=xl/worksheets/_rels/sheet98.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33.bin"/></Relationships>
</file>

<file path=xl/worksheets/_rels/sheet99.xml.rels><?xml version="1.0" encoding="UTF-8" standalone="yes"?>
<Relationships xmlns="http://schemas.openxmlformats.org/package/2006/relationships"><Relationship Id="rId3" Type="http://schemas.microsoft.com/office/2007/relationships/slicer" Target="../slicers/slicer47.xml"/><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30"/>
  <sheetViews>
    <sheetView showGridLines="0" tabSelected="1" zoomScaleNormal="100" workbookViewId="0"/>
  </sheetViews>
  <sheetFormatPr defaultColWidth="9.140625" defaultRowHeight="15" x14ac:dyDescent="0.25"/>
  <cols>
    <col min="1" max="1" width="15" customWidth="1"/>
    <col min="2" max="2" width="7.7109375" customWidth="1"/>
    <col min="3" max="3" width="15" customWidth="1"/>
  </cols>
  <sheetData>
    <row r="1" spans="1:13" ht="23.25" x14ac:dyDescent="0.25">
      <c r="A1" s="392"/>
      <c r="B1" s="392"/>
      <c r="C1" s="392"/>
      <c r="D1" s="392"/>
      <c r="E1" s="392"/>
      <c r="F1" s="393" t="s">
        <v>443</v>
      </c>
      <c r="G1" s="392"/>
      <c r="H1" s="392"/>
      <c r="I1" s="392"/>
      <c r="J1" s="392"/>
      <c r="K1" s="392"/>
      <c r="L1" s="331"/>
      <c r="M1" s="331"/>
    </row>
    <row r="2" spans="1:13" ht="23.25" x14ac:dyDescent="0.25">
      <c r="A2" s="392"/>
      <c r="B2" s="392"/>
      <c r="C2" s="392"/>
      <c r="D2" s="392"/>
      <c r="E2" s="392"/>
      <c r="F2" s="393" t="s">
        <v>442</v>
      </c>
      <c r="G2" s="392"/>
      <c r="H2" s="392"/>
      <c r="I2" s="392"/>
      <c r="J2" s="392"/>
      <c r="K2" s="392"/>
      <c r="L2" s="331"/>
      <c r="M2" s="331"/>
    </row>
    <row r="3" spans="1:13" ht="15.75" customHeight="1" x14ac:dyDescent="0.25">
      <c r="A3" s="332"/>
      <c r="B3" s="332"/>
      <c r="C3" s="332"/>
      <c r="D3" s="265"/>
      <c r="E3" s="332"/>
      <c r="F3" s="333" t="s">
        <v>0</v>
      </c>
      <c r="G3" s="332"/>
      <c r="H3" s="265"/>
      <c r="I3" s="265"/>
      <c r="J3" s="265"/>
      <c r="K3" s="265"/>
      <c r="L3" s="265"/>
    </row>
    <row r="4" spans="1:13" ht="15.6" customHeight="1" x14ac:dyDescent="0.25">
      <c r="A4" s="334"/>
      <c r="B4" s="334"/>
      <c r="C4" s="334"/>
      <c r="D4" s="265"/>
      <c r="E4" s="334"/>
      <c r="F4" s="575" t="s">
        <v>1117</v>
      </c>
      <c r="G4" s="334"/>
      <c r="H4" s="265"/>
      <c r="I4" s="265"/>
      <c r="J4" s="265"/>
      <c r="K4" s="265"/>
    </row>
    <row r="5" spans="1:13" ht="15.75" customHeight="1" x14ac:dyDescent="0.25">
      <c r="A5" s="334"/>
      <c r="B5" s="334"/>
      <c r="C5" s="334"/>
      <c r="D5" s="265"/>
      <c r="E5" s="334"/>
      <c r="F5" s="575" t="s">
        <v>1268</v>
      </c>
      <c r="G5" s="334"/>
      <c r="H5" s="265"/>
      <c r="I5" s="265"/>
      <c r="J5" s="265"/>
      <c r="K5" s="265"/>
    </row>
    <row r="6" spans="1:13" ht="15.75" x14ac:dyDescent="0.25">
      <c r="A6" s="389"/>
      <c r="B6" s="389"/>
      <c r="C6" s="389"/>
      <c r="D6" s="507"/>
      <c r="E6" s="389"/>
      <c r="F6" s="988" t="s">
        <v>441</v>
      </c>
      <c r="G6" s="389"/>
      <c r="H6" s="265"/>
      <c r="I6" s="265"/>
      <c r="J6" s="265"/>
      <c r="K6" s="265"/>
      <c r="L6" s="265"/>
    </row>
    <row r="7" spans="1:13" ht="15.75" x14ac:dyDescent="0.25">
      <c r="A7" s="389"/>
      <c r="B7" s="389"/>
      <c r="C7" s="389"/>
      <c r="D7" s="265"/>
      <c r="E7" s="389"/>
      <c r="F7" s="390"/>
      <c r="G7" s="389"/>
      <c r="H7" s="265"/>
      <c r="I7" s="265"/>
      <c r="J7" s="265"/>
      <c r="K7" s="265"/>
      <c r="L7" s="265"/>
    </row>
    <row r="8" spans="1:13" ht="30.75" customHeight="1" x14ac:dyDescent="0.25">
      <c r="A8" s="389"/>
      <c r="B8" s="991" t="s">
        <v>810</v>
      </c>
      <c r="C8" s="991"/>
      <c r="D8" s="991"/>
      <c r="E8" s="991"/>
      <c r="F8" s="991"/>
      <c r="G8" s="991"/>
      <c r="H8" s="991"/>
      <c r="I8" s="991"/>
      <c r="J8" s="991"/>
      <c r="K8" s="991"/>
      <c r="L8" s="265"/>
    </row>
    <row r="9" spans="1:13" ht="15.75" x14ac:dyDescent="0.25">
      <c r="A9" s="389"/>
      <c r="B9" s="389"/>
      <c r="C9" s="389"/>
      <c r="D9" s="265"/>
      <c r="E9" s="389"/>
      <c r="F9" s="390"/>
      <c r="G9" s="389"/>
      <c r="H9" s="265"/>
      <c r="I9" s="265"/>
      <c r="J9" s="265"/>
      <c r="K9" s="265"/>
      <c r="L9" s="265"/>
    </row>
    <row r="10" spans="1:13" ht="15.75" x14ac:dyDescent="0.25">
      <c r="A10" s="335"/>
      <c r="B10" s="336" t="s">
        <v>449</v>
      </c>
      <c r="D10" s="265"/>
      <c r="E10" s="335"/>
      <c r="F10" s="265"/>
      <c r="G10" s="335"/>
      <c r="H10" s="265"/>
      <c r="I10" s="265"/>
      <c r="J10" s="265"/>
      <c r="K10" s="265"/>
      <c r="L10" s="265"/>
    </row>
    <row r="11" spans="1:13" ht="15.75" x14ac:dyDescent="0.25">
      <c r="A11" s="335"/>
      <c r="B11" s="336"/>
      <c r="C11" s="336" t="s">
        <v>759</v>
      </c>
      <c r="D11" s="265"/>
      <c r="E11" s="335"/>
      <c r="F11" s="265"/>
      <c r="G11" s="335"/>
      <c r="H11" s="265"/>
      <c r="I11" s="265"/>
      <c r="J11" s="265"/>
      <c r="K11" s="265"/>
      <c r="L11" s="265"/>
    </row>
    <row r="12" spans="1:13" ht="15.75" customHeight="1" x14ac:dyDescent="0.25">
      <c r="A12" s="332"/>
      <c r="B12" s="332"/>
      <c r="C12" s="336" t="s">
        <v>827</v>
      </c>
      <c r="D12" s="265"/>
      <c r="F12" s="332"/>
      <c r="G12" s="332"/>
      <c r="H12" s="265"/>
      <c r="I12" s="265"/>
      <c r="J12" s="265"/>
      <c r="K12" s="265"/>
      <c r="L12" s="265"/>
    </row>
    <row r="13" spans="1:13" ht="15.75" customHeight="1" x14ac:dyDescent="0.25">
      <c r="A13" s="332"/>
      <c r="B13" s="332"/>
      <c r="C13" s="336" t="s">
        <v>444</v>
      </c>
      <c r="D13" s="265"/>
      <c r="F13" s="332"/>
      <c r="G13" s="332"/>
      <c r="H13" s="265"/>
      <c r="I13" s="265"/>
      <c r="J13" s="265"/>
      <c r="K13" s="265"/>
      <c r="L13" s="265"/>
    </row>
    <row r="14" spans="1:13" ht="15.75" customHeight="1" x14ac:dyDescent="0.25">
      <c r="A14" s="332"/>
      <c r="B14" s="332"/>
      <c r="C14" s="336" t="s">
        <v>203</v>
      </c>
      <c r="D14" s="265"/>
      <c r="F14" s="332"/>
      <c r="G14" s="332"/>
      <c r="H14" s="265"/>
      <c r="I14" s="265"/>
      <c r="J14" s="265"/>
      <c r="K14" s="265"/>
      <c r="L14" s="265"/>
    </row>
    <row r="15" spans="1:13" ht="15.75" customHeight="1" x14ac:dyDescent="0.25">
      <c r="A15" s="332"/>
      <c r="B15" s="332"/>
      <c r="C15" s="336" t="s">
        <v>445</v>
      </c>
      <c r="D15" s="265"/>
      <c r="F15" s="332"/>
      <c r="G15" s="332"/>
      <c r="H15" s="265"/>
      <c r="I15" s="265"/>
      <c r="J15" s="265"/>
      <c r="K15" s="265"/>
      <c r="L15" s="265"/>
    </row>
    <row r="16" spans="1:13" ht="15.75" customHeight="1" x14ac:dyDescent="0.25">
      <c r="A16" s="332"/>
      <c r="B16" s="332"/>
      <c r="C16" s="336" t="s">
        <v>207</v>
      </c>
      <c r="D16" s="265"/>
      <c r="F16" s="332"/>
      <c r="G16" s="332"/>
      <c r="H16" s="265"/>
      <c r="I16" s="265"/>
      <c r="J16" s="265"/>
      <c r="K16" s="265"/>
      <c r="L16" s="265"/>
    </row>
    <row r="17" spans="1:12" ht="15.75" customHeight="1" x14ac:dyDescent="0.25">
      <c r="A17" s="332"/>
      <c r="B17" s="332"/>
      <c r="C17" s="336" t="s">
        <v>446</v>
      </c>
      <c r="D17" s="265"/>
      <c r="F17" s="332"/>
      <c r="G17" s="332"/>
      <c r="H17" s="265"/>
      <c r="I17" s="265"/>
      <c r="J17" s="265"/>
      <c r="K17" s="265"/>
      <c r="L17" s="265"/>
    </row>
    <row r="18" spans="1:12" ht="15.75" customHeight="1" x14ac:dyDescent="0.25">
      <c r="A18" s="332"/>
      <c r="B18" s="332"/>
      <c r="C18" s="336"/>
      <c r="D18" s="265"/>
      <c r="F18" s="332"/>
      <c r="G18" s="332"/>
      <c r="H18" s="265"/>
      <c r="I18" s="265"/>
      <c r="J18" s="265"/>
      <c r="K18" s="265"/>
      <c r="L18" s="265"/>
    </row>
    <row r="19" spans="1:12" ht="15" customHeight="1" x14ac:dyDescent="0.25">
      <c r="A19" s="332"/>
      <c r="B19" s="989" t="s">
        <v>811</v>
      </c>
      <c r="C19" s="989"/>
      <c r="D19" s="989"/>
      <c r="E19" s="989"/>
      <c r="F19" s="989"/>
      <c r="G19" s="989"/>
      <c r="H19" s="989"/>
      <c r="I19" s="989"/>
      <c r="J19" s="989"/>
      <c r="K19" s="989"/>
      <c r="L19" s="265"/>
    </row>
    <row r="20" spans="1:12" ht="15" customHeight="1" x14ac:dyDescent="0.25">
      <c r="A20" s="332"/>
      <c r="B20" s="570"/>
      <c r="C20" s="567"/>
      <c r="D20" s="567"/>
      <c r="E20" s="567"/>
      <c r="F20" s="567"/>
      <c r="G20" s="567"/>
      <c r="H20" s="567"/>
      <c r="I20" s="567"/>
      <c r="J20" s="567"/>
      <c r="K20" s="567"/>
      <c r="L20" s="265"/>
    </row>
    <row r="21" spans="1:12" ht="30" customHeight="1" x14ac:dyDescent="0.25">
      <c r="A21" s="332"/>
      <c r="B21" s="989" t="s">
        <v>447</v>
      </c>
      <c r="C21" s="989"/>
      <c r="D21" s="989"/>
      <c r="E21" s="989"/>
      <c r="F21" s="989"/>
      <c r="G21" s="989"/>
      <c r="H21" s="989"/>
      <c r="I21" s="989"/>
      <c r="J21" s="989"/>
      <c r="K21" s="989"/>
      <c r="L21" s="265"/>
    </row>
    <row r="22" spans="1:12" ht="30" customHeight="1" x14ac:dyDescent="0.25">
      <c r="A22" s="332"/>
      <c r="B22" s="989" t="s">
        <v>448</v>
      </c>
      <c r="C22" s="989"/>
      <c r="D22" s="989"/>
      <c r="E22" s="989"/>
      <c r="F22" s="989"/>
      <c r="G22" s="989"/>
      <c r="H22" s="989"/>
      <c r="I22" s="989"/>
      <c r="J22" s="989"/>
      <c r="K22" s="989"/>
      <c r="L22" s="265"/>
    </row>
    <row r="23" spans="1:12" ht="15.75" x14ac:dyDescent="0.25">
      <c r="A23" s="332"/>
      <c r="B23" s="265"/>
      <c r="C23" s="265"/>
      <c r="D23" s="265"/>
      <c r="E23" s="265"/>
      <c r="F23" s="265"/>
      <c r="G23" s="265"/>
      <c r="H23" s="265"/>
      <c r="I23" s="265"/>
      <c r="J23" s="265"/>
      <c r="K23" s="265"/>
      <c r="L23" s="265"/>
    </row>
    <row r="24" spans="1:12" ht="15.75" x14ac:dyDescent="0.25">
      <c r="A24" s="335"/>
      <c r="B24" s="990" t="s">
        <v>227</v>
      </c>
      <c r="C24" s="990"/>
      <c r="D24" s="990"/>
      <c r="E24" s="990"/>
      <c r="F24" s="391" t="s">
        <v>208</v>
      </c>
      <c r="G24" s="335"/>
      <c r="H24" s="265"/>
      <c r="I24" s="265"/>
      <c r="J24" s="265"/>
      <c r="K24" s="265"/>
      <c r="L24" s="265"/>
    </row>
    <row r="25" spans="1:12" ht="18" customHeight="1" x14ac:dyDescent="0.25">
      <c r="G25" s="337"/>
      <c r="H25" s="265"/>
      <c r="I25" s="265"/>
      <c r="J25" s="265"/>
      <c r="K25" s="265"/>
      <c r="L25" s="265"/>
    </row>
    <row r="26" spans="1:12" ht="15.75" x14ac:dyDescent="0.25">
      <c r="G26" s="265"/>
      <c r="H26" s="265"/>
      <c r="I26" s="265"/>
      <c r="J26" s="265"/>
      <c r="K26" s="265"/>
      <c r="L26" s="265"/>
    </row>
    <row r="27" spans="1:12" ht="15.75" x14ac:dyDescent="0.25">
      <c r="G27" s="265"/>
      <c r="H27" s="265"/>
      <c r="I27" s="265"/>
      <c r="J27" s="265"/>
      <c r="K27" s="265"/>
      <c r="L27" s="265"/>
    </row>
    <row r="28" spans="1:12" ht="15.75" x14ac:dyDescent="0.25">
      <c r="G28" s="265"/>
      <c r="H28" s="265"/>
      <c r="I28" s="265"/>
      <c r="J28" s="265"/>
      <c r="K28" s="265"/>
      <c r="L28" s="265"/>
    </row>
    <row r="29" spans="1:12" ht="15.75" x14ac:dyDescent="0.25">
      <c r="G29" s="265"/>
      <c r="H29" s="265"/>
      <c r="I29" s="265"/>
      <c r="J29" s="265"/>
      <c r="K29" s="265"/>
      <c r="L29" s="265"/>
    </row>
    <row r="30" spans="1:12" ht="15.75" x14ac:dyDescent="0.25">
      <c r="G30" s="265"/>
      <c r="H30" s="265"/>
      <c r="I30" s="265"/>
      <c r="J30" s="265"/>
      <c r="K30" s="265"/>
      <c r="L30" s="265"/>
    </row>
  </sheetData>
  <sheetProtection algorithmName="SHA-512" hashValue="Zawi44EQbDLSAlaDz1PKUK6TCDJV5coVJRlYMm4guYiRd1/DxIccVH3pKR0Ydu2UIEuxfJyDDgCX8tPoRBVVyg==" saltValue="wvpjm2PrYp5kENH7JECAGg==" spinCount="100000" sheet="1" scenarios="1" formatCells="0" sort="0" autoFilter="0" pivotTables="0"/>
  <mergeCells count="5">
    <mergeCell ref="B21:K21"/>
    <mergeCell ref="B24:E24"/>
    <mergeCell ref="B22:K22"/>
    <mergeCell ref="B19:K19"/>
    <mergeCell ref="B8:K8"/>
  </mergeCells>
  <hyperlinks>
    <hyperlink ref="F6" r:id="rId1" xr:uid="{00000000-0004-0000-0000-000000000000}"/>
    <hyperlink ref="F24" r:id="rId2" xr:uid="{00000000-0004-0000-0000-000002000000}"/>
  </hyperlinks>
  <pageMargins left="0.7" right="0.7" top="0.75" bottom="0.75" header="0.3" footer="0.3"/>
  <pageSetup paperSize="9" scale="72"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F321"/>
  <sheetViews>
    <sheetView topLeftCell="A305" workbookViewId="0">
      <selection activeCell="E318" sqref="E318"/>
    </sheetView>
  </sheetViews>
  <sheetFormatPr defaultRowHeight="15" x14ac:dyDescent="0.25"/>
  <cols>
    <col min="2" max="2" width="20.42578125" bestFit="1" customWidth="1"/>
    <col min="3" max="3" width="16.42578125" bestFit="1" customWidth="1"/>
    <col min="4" max="4" width="14.5703125" bestFit="1" customWidth="1"/>
    <col min="5" max="5" width="15.5703125" bestFit="1" customWidth="1"/>
  </cols>
  <sheetData>
    <row r="1" spans="1:6" x14ac:dyDescent="0.25">
      <c r="A1" t="s">
        <v>1</v>
      </c>
      <c r="B1" t="s">
        <v>1009</v>
      </c>
      <c r="C1" s="658" t="s">
        <v>115</v>
      </c>
      <c r="D1" s="658" t="s">
        <v>183</v>
      </c>
      <c r="E1" s="658" t="s">
        <v>29</v>
      </c>
      <c r="F1" s="659" t="s">
        <v>26</v>
      </c>
    </row>
    <row r="2" spans="1:6" x14ac:dyDescent="0.25">
      <c r="A2" t="s">
        <v>239</v>
      </c>
      <c r="B2" s="395" t="s">
        <v>31</v>
      </c>
      <c r="C2">
        <v>3</v>
      </c>
      <c r="D2">
        <v>1</v>
      </c>
      <c r="F2">
        <f>SUM(C2:E2)</f>
        <v>4</v>
      </c>
    </row>
    <row r="3" spans="1:6" x14ac:dyDescent="0.25">
      <c r="A3" t="s">
        <v>239</v>
      </c>
      <c r="B3" s="395" t="s">
        <v>32</v>
      </c>
      <c r="C3">
        <v>1</v>
      </c>
      <c r="D3">
        <v>23</v>
      </c>
      <c r="F3">
        <f t="shared" ref="F3:F33" si="0">SUM(C3:E3)</f>
        <v>24</v>
      </c>
    </row>
    <row r="4" spans="1:6" x14ac:dyDescent="0.25">
      <c r="A4" t="s">
        <v>239</v>
      </c>
      <c r="B4" s="395" t="s">
        <v>33</v>
      </c>
      <c r="C4">
        <v>1</v>
      </c>
      <c r="D4">
        <v>5</v>
      </c>
      <c r="F4">
        <f t="shared" si="0"/>
        <v>6</v>
      </c>
    </row>
    <row r="5" spans="1:6" x14ac:dyDescent="0.25">
      <c r="A5" t="s">
        <v>239</v>
      </c>
      <c r="B5" s="395" t="s">
        <v>34</v>
      </c>
      <c r="C5">
        <v>2</v>
      </c>
      <c r="D5">
        <v>12</v>
      </c>
      <c r="E5">
        <v>25</v>
      </c>
      <c r="F5">
        <f t="shared" si="0"/>
        <v>39</v>
      </c>
    </row>
    <row r="6" spans="1:6" x14ac:dyDescent="0.25">
      <c r="A6" t="s">
        <v>239</v>
      </c>
      <c r="B6" s="395" t="s">
        <v>243</v>
      </c>
      <c r="C6">
        <v>7</v>
      </c>
      <c r="D6">
        <v>1</v>
      </c>
      <c r="F6">
        <f t="shared" si="0"/>
        <v>8</v>
      </c>
    </row>
    <row r="7" spans="1:6" x14ac:dyDescent="0.25">
      <c r="A7" t="s">
        <v>239</v>
      </c>
      <c r="B7" s="395" t="s">
        <v>35</v>
      </c>
      <c r="C7">
        <v>1</v>
      </c>
      <c r="D7">
        <v>1</v>
      </c>
      <c r="F7">
        <f t="shared" si="0"/>
        <v>2</v>
      </c>
    </row>
    <row r="8" spans="1:6" x14ac:dyDescent="0.25">
      <c r="A8" t="s">
        <v>239</v>
      </c>
      <c r="B8" s="395" t="s">
        <v>36</v>
      </c>
      <c r="C8">
        <v>1</v>
      </c>
      <c r="D8">
        <v>15</v>
      </c>
      <c r="E8">
        <v>1</v>
      </c>
      <c r="F8">
        <f t="shared" si="0"/>
        <v>17</v>
      </c>
    </row>
    <row r="9" spans="1:6" x14ac:dyDescent="0.25">
      <c r="A9" t="s">
        <v>239</v>
      </c>
      <c r="B9" s="395" t="s">
        <v>37</v>
      </c>
      <c r="C9">
        <v>4</v>
      </c>
      <c r="F9">
        <f t="shared" si="0"/>
        <v>4</v>
      </c>
    </row>
    <row r="10" spans="1:6" x14ac:dyDescent="0.25">
      <c r="A10" t="s">
        <v>239</v>
      </c>
      <c r="B10" s="395" t="s">
        <v>38</v>
      </c>
      <c r="C10">
        <v>1</v>
      </c>
      <c r="D10">
        <v>7</v>
      </c>
      <c r="F10">
        <f t="shared" si="0"/>
        <v>8</v>
      </c>
    </row>
    <row r="11" spans="1:6" x14ac:dyDescent="0.25">
      <c r="A11" t="s">
        <v>239</v>
      </c>
      <c r="B11" s="395" t="s">
        <v>39</v>
      </c>
      <c r="C11">
        <v>3</v>
      </c>
      <c r="F11">
        <f t="shared" si="0"/>
        <v>3</v>
      </c>
    </row>
    <row r="12" spans="1:6" x14ac:dyDescent="0.25">
      <c r="A12" t="s">
        <v>239</v>
      </c>
      <c r="B12" s="395" t="s">
        <v>40</v>
      </c>
      <c r="C12">
        <v>1</v>
      </c>
      <c r="D12">
        <v>5</v>
      </c>
      <c r="F12">
        <f t="shared" si="0"/>
        <v>6</v>
      </c>
    </row>
    <row r="13" spans="1:6" x14ac:dyDescent="0.25">
      <c r="A13" t="s">
        <v>239</v>
      </c>
      <c r="B13" s="395" t="s">
        <v>41</v>
      </c>
      <c r="C13">
        <v>2</v>
      </c>
      <c r="F13">
        <f t="shared" si="0"/>
        <v>2</v>
      </c>
    </row>
    <row r="14" spans="1:6" x14ac:dyDescent="0.25">
      <c r="A14" t="s">
        <v>239</v>
      </c>
      <c r="B14" s="395" t="s">
        <v>42</v>
      </c>
      <c r="C14">
        <v>3</v>
      </c>
      <c r="D14">
        <v>2</v>
      </c>
      <c r="F14">
        <f t="shared" si="0"/>
        <v>5</v>
      </c>
    </row>
    <row r="15" spans="1:6" x14ac:dyDescent="0.25">
      <c r="A15" t="s">
        <v>239</v>
      </c>
      <c r="B15" s="395" t="s">
        <v>43</v>
      </c>
      <c r="C15">
        <v>5</v>
      </c>
      <c r="D15">
        <v>8</v>
      </c>
      <c r="F15">
        <f t="shared" si="0"/>
        <v>13</v>
      </c>
    </row>
    <row r="16" spans="1:6" x14ac:dyDescent="0.25">
      <c r="A16" t="s">
        <v>239</v>
      </c>
      <c r="B16" s="395" t="s">
        <v>117</v>
      </c>
      <c r="C16">
        <v>11</v>
      </c>
      <c r="F16">
        <f t="shared" si="0"/>
        <v>11</v>
      </c>
    </row>
    <row r="17" spans="1:6" x14ac:dyDescent="0.25">
      <c r="A17" t="s">
        <v>239</v>
      </c>
      <c r="B17" s="395" t="s">
        <v>44</v>
      </c>
      <c r="C17">
        <v>1</v>
      </c>
      <c r="D17">
        <v>51</v>
      </c>
      <c r="E17">
        <v>9</v>
      </c>
      <c r="F17">
        <f t="shared" si="0"/>
        <v>61</v>
      </c>
    </row>
    <row r="18" spans="1:6" x14ac:dyDescent="0.25">
      <c r="A18" t="s">
        <v>239</v>
      </c>
      <c r="B18" s="395" t="s">
        <v>45</v>
      </c>
      <c r="C18">
        <v>2</v>
      </c>
      <c r="D18">
        <v>1</v>
      </c>
      <c r="F18">
        <f t="shared" si="0"/>
        <v>3</v>
      </c>
    </row>
    <row r="19" spans="1:6" x14ac:dyDescent="0.25">
      <c r="A19" t="s">
        <v>239</v>
      </c>
      <c r="B19" s="395" t="s">
        <v>46</v>
      </c>
      <c r="C19">
        <v>1</v>
      </c>
      <c r="D19">
        <v>1</v>
      </c>
      <c r="F19">
        <f t="shared" si="0"/>
        <v>2</v>
      </c>
    </row>
    <row r="20" spans="1:6" x14ac:dyDescent="0.25">
      <c r="A20" t="s">
        <v>239</v>
      </c>
      <c r="B20" s="395" t="s">
        <v>47</v>
      </c>
      <c r="C20">
        <v>1</v>
      </c>
      <c r="D20">
        <v>10</v>
      </c>
      <c r="E20">
        <v>1</v>
      </c>
      <c r="F20">
        <f t="shared" si="0"/>
        <v>12</v>
      </c>
    </row>
    <row r="21" spans="1:6" x14ac:dyDescent="0.25">
      <c r="A21" t="s">
        <v>239</v>
      </c>
      <c r="B21" s="395" t="s">
        <v>48</v>
      </c>
      <c r="D21">
        <v>14</v>
      </c>
      <c r="F21">
        <f t="shared" si="0"/>
        <v>14</v>
      </c>
    </row>
    <row r="22" spans="1:6" x14ac:dyDescent="0.25">
      <c r="A22" t="s">
        <v>239</v>
      </c>
      <c r="B22" s="395" t="s">
        <v>49</v>
      </c>
      <c r="C22">
        <v>3</v>
      </c>
      <c r="D22">
        <v>8</v>
      </c>
      <c r="E22">
        <v>3</v>
      </c>
      <c r="F22">
        <f t="shared" si="0"/>
        <v>14</v>
      </c>
    </row>
    <row r="23" spans="1:6" x14ac:dyDescent="0.25">
      <c r="A23" t="s">
        <v>239</v>
      </c>
      <c r="B23" s="395" t="s">
        <v>50</v>
      </c>
      <c r="C23">
        <v>4</v>
      </c>
      <c r="D23">
        <v>3</v>
      </c>
      <c r="F23">
        <f t="shared" si="0"/>
        <v>7</v>
      </c>
    </row>
    <row r="24" spans="1:6" x14ac:dyDescent="0.25">
      <c r="A24" t="s">
        <v>239</v>
      </c>
      <c r="B24" s="395" t="s">
        <v>51</v>
      </c>
      <c r="D24">
        <v>12</v>
      </c>
      <c r="F24">
        <f t="shared" si="0"/>
        <v>12</v>
      </c>
    </row>
    <row r="25" spans="1:6" x14ac:dyDescent="0.25">
      <c r="A25" t="s">
        <v>239</v>
      </c>
      <c r="B25" s="395" t="s">
        <v>52</v>
      </c>
      <c r="C25">
        <v>1</v>
      </c>
      <c r="D25">
        <v>10</v>
      </c>
      <c r="E25">
        <v>3</v>
      </c>
      <c r="F25">
        <f t="shared" si="0"/>
        <v>14</v>
      </c>
    </row>
    <row r="26" spans="1:6" x14ac:dyDescent="0.25">
      <c r="A26" t="s">
        <v>239</v>
      </c>
      <c r="B26" s="395" t="s">
        <v>53</v>
      </c>
      <c r="C26">
        <v>3</v>
      </c>
      <c r="F26">
        <f t="shared" si="0"/>
        <v>3</v>
      </c>
    </row>
    <row r="27" spans="1:6" x14ac:dyDescent="0.25">
      <c r="A27" t="s">
        <v>239</v>
      </c>
      <c r="B27" s="395" t="s">
        <v>54</v>
      </c>
      <c r="C27">
        <v>2</v>
      </c>
      <c r="D27">
        <v>11</v>
      </c>
      <c r="F27">
        <f t="shared" si="0"/>
        <v>13</v>
      </c>
    </row>
    <row r="28" spans="1:6" x14ac:dyDescent="0.25">
      <c r="A28" t="s">
        <v>239</v>
      </c>
      <c r="B28" s="395" t="s">
        <v>55</v>
      </c>
      <c r="D28">
        <v>14</v>
      </c>
      <c r="F28">
        <f t="shared" si="0"/>
        <v>14</v>
      </c>
    </row>
    <row r="29" spans="1:6" x14ac:dyDescent="0.25">
      <c r="A29" t="s">
        <v>239</v>
      </c>
      <c r="B29" s="395" t="s">
        <v>56</v>
      </c>
      <c r="C29">
        <v>1</v>
      </c>
      <c r="D29">
        <v>4</v>
      </c>
      <c r="F29">
        <f t="shared" si="0"/>
        <v>5</v>
      </c>
    </row>
    <row r="30" spans="1:6" x14ac:dyDescent="0.25">
      <c r="A30" t="s">
        <v>239</v>
      </c>
      <c r="B30" s="395" t="s">
        <v>57</v>
      </c>
      <c r="C30">
        <v>4</v>
      </c>
      <c r="D30">
        <v>7</v>
      </c>
      <c r="E30">
        <v>1</v>
      </c>
      <c r="F30">
        <f t="shared" si="0"/>
        <v>12</v>
      </c>
    </row>
    <row r="31" spans="1:6" x14ac:dyDescent="0.25">
      <c r="A31" t="s">
        <v>239</v>
      </c>
      <c r="B31" s="395" t="s">
        <v>58</v>
      </c>
      <c r="C31">
        <v>1</v>
      </c>
      <c r="D31">
        <v>9</v>
      </c>
      <c r="F31">
        <f t="shared" si="0"/>
        <v>10</v>
      </c>
    </row>
    <row r="32" spans="1:6" x14ac:dyDescent="0.25">
      <c r="A32" t="s">
        <v>239</v>
      </c>
      <c r="B32" s="395" t="s">
        <v>59</v>
      </c>
      <c r="C32">
        <v>2</v>
      </c>
      <c r="D32">
        <v>1</v>
      </c>
      <c r="F32">
        <f t="shared" si="0"/>
        <v>3</v>
      </c>
    </row>
    <row r="33" spans="1:6" x14ac:dyDescent="0.25">
      <c r="A33" t="s">
        <v>239</v>
      </c>
      <c r="B33" s="395" t="s">
        <v>60</v>
      </c>
      <c r="C33">
        <v>2</v>
      </c>
      <c r="D33">
        <v>4</v>
      </c>
      <c r="F33">
        <f t="shared" si="0"/>
        <v>6</v>
      </c>
    </row>
    <row r="34" spans="1:6" x14ac:dyDescent="0.25">
      <c r="A34" t="s">
        <v>760</v>
      </c>
      <c r="B34" s="395" t="s">
        <v>31</v>
      </c>
      <c r="C34">
        <v>3</v>
      </c>
      <c r="D34">
        <v>1</v>
      </c>
      <c r="F34">
        <f>SUM(C34:E34)</f>
        <v>4</v>
      </c>
    </row>
    <row r="35" spans="1:6" x14ac:dyDescent="0.25">
      <c r="A35" t="s">
        <v>760</v>
      </c>
      <c r="B35" s="395" t="s">
        <v>32</v>
      </c>
      <c r="C35">
        <v>1</v>
      </c>
      <c r="D35">
        <v>23</v>
      </c>
      <c r="F35">
        <f t="shared" ref="F35:F65" si="1">SUM(C35:E35)</f>
        <v>24</v>
      </c>
    </row>
    <row r="36" spans="1:6" x14ac:dyDescent="0.25">
      <c r="A36" t="s">
        <v>760</v>
      </c>
      <c r="B36" s="395" t="s">
        <v>33</v>
      </c>
      <c r="C36">
        <v>1</v>
      </c>
      <c r="D36">
        <v>5</v>
      </c>
      <c r="F36">
        <f t="shared" si="1"/>
        <v>6</v>
      </c>
    </row>
    <row r="37" spans="1:6" x14ac:dyDescent="0.25">
      <c r="A37" t="s">
        <v>760</v>
      </c>
      <c r="B37" s="395" t="s">
        <v>34</v>
      </c>
      <c r="C37">
        <v>2</v>
      </c>
      <c r="D37">
        <v>12</v>
      </c>
      <c r="E37">
        <v>25</v>
      </c>
      <c r="F37">
        <f t="shared" si="1"/>
        <v>39</v>
      </c>
    </row>
    <row r="38" spans="1:6" x14ac:dyDescent="0.25">
      <c r="A38" t="s">
        <v>760</v>
      </c>
      <c r="B38" s="395" t="s">
        <v>243</v>
      </c>
      <c r="C38">
        <v>7</v>
      </c>
      <c r="D38">
        <v>1</v>
      </c>
      <c r="F38">
        <f t="shared" si="1"/>
        <v>8</v>
      </c>
    </row>
    <row r="39" spans="1:6" x14ac:dyDescent="0.25">
      <c r="A39" t="s">
        <v>760</v>
      </c>
      <c r="B39" s="395" t="s">
        <v>35</v>
      </c>
      <c r="C39">
        <v>1</v>
      </c>
      <c r="D39">
        <v>1</v>
      </c>
      <c r="F39">
        <f t="shared" si="1"/>
        <v>2</v>
      </c>
    </row>
    <row r="40" spans="1:6" x14ac:dyDescent="0.25">
      <c r="A40" t="s">
        <v>760</v>
      </c>
      <c r="B40" s="395" t="s">
        <v>36</v>
      </c>
      <c r="C40">
        <v>1</v>
      </c>
      <c r="D40">
        <v>15</v>
      </c>
      <c r="E40">
        <v>1</v>
      </c>
      <c r="F40">
        <f t="shared" si="1"/>
        <v>17</v>
      </c>
    </row>
    <row r="41" spans="1:6" x14ac:dyDescent="0.25">
      <c r="A41" t="s">
        <v>760</v>
      </c>
      <c r="B41" s="395" t="s">
        <v>37</v>
      </c>
      <c r="C41">
        <v>4</v>
      </c>
      <c r="F41">
        <f t="shared" si="1"/>
        <v>4</v>
      </c>
    </row>
    <row r="42" spans="1:6" x14ac:dyDescent="0.25">
      <c r="A42" t="s">
        <v>760</v>
      </c>
      <c r="B42" s="395" t="s">
        <v>38</v>
      </c>
      <c r="C42">
        <v>1</v>
      </c>
      <c r="D42">
        <v>7</v>
      </c>
      <c r="F42">
        <f t="shared" si="1"/>
        <v>8</v>
      </c>
    </row>
    <row r="43" spans="1:6" x14ac:dyDescent="0.25">
      <c r="A43" t="s">
        <v>760</v>
      </c>
      <c r="B43" s="395" t="s">
        <v>39</v>
      </c>
      <c r="C43">
        <v>3</v>
      </c>
      <c r="F43">
        <f t="shared" si="1"/>
        <v>3</v>
      </c>
    </row>
    <row r="44" spans="1:6" x14ac:dyDescent="0.25">
      <c r="A44" t="s">
        <v>760</v>
      </c>
      <c r="B44" s="395" t="s">
        <v>40</v>
      </c>
      <c r="C44">
        <v>1</v>
      </c>
      <c r="D44">
        <v>5</v>
      </c>
      <c r="F44">
        <f t="shared" si="1"/>
        <v>6</v>
      </c>
    </row>
    <row r="45" spans="1:6" x14ac:dyDescent="0.25">
      <c r="A45" t="s">
        <v>760</v>
      </c>
      <c r="B45" s="395" t="s">
        <v>41</v>
      </c>
      <c r="C45">
        <v>2</v>
      </c>
      <c r="F45">
        <f t="shared" si="1"/>
        <v>2</v>
      </c>
    </row>
    <row r="46" spans="1:6" x14ac:dyDescent="0.25">
      <c r="A46" t="s">
        <v>760</v>
      </c>
      <c r="B46" s="395" t="s">
        <v>42</v>
      </c>
      <c r="C46">
        <v>3</v>
      </c>
      <c r="D46">
        <v>2</v>
      </c>
      <c r="F46">
        <f t="shared" si="1"/>
        <v>5</v>
      </c>
    </row>
    <row r="47" spans="1:6" x14ac:dyDescent="0.25">
      <c r="A47" t="s">
        <v>760</v>
      </c>
      <c r="B47" s="395" t="s">
        <v>43</v>
      </c>
      <c r="C47">
        <v>5</v>
      </c>
      <c r="D47">
        <v>8</v>
      </c>
      <c r="F47">
        <f t="shared" si="1"/>
        <v>13</v>
      </c>
    </row>
    <row r="48" spans="1:6" x14ac:dyDescent="0.25">
      <c r="A48" t="s">
        <v>760</v>
      </c>
      <c r="B48" s="395" t="s">
        <v>117</v>
      </c>
      <c r="C48">
        <v>11</v>
      </c>
      <c r="F48">
        <f t="shared" si="1"/>
        <v>11</v>
      </c>
    </row>
    <row r="49" spans="1:6" x14ac:dyDescent="0.25">
      <c r="A49" t="s">
        <v>760</v>
      </c>
      <c r="B49" s="395" t="s">
        <v>44</v>
      </c>
      <c r="C49">
        <v>1</v>
      </c>
      <c r="D49">
        <v>51</v>
      </c>
      <c r="E49">
        <v>9</v>
      </c>
      <c r="F49">
        <f t="shared" si="1"/>
        <v>61</v>
      </c>
    </row>
    <row r="50" spans="1:6" x14ac:dyDescent="0.25">
      <c r="A50" t="s">
        <v>760</v>
      </c>
      <c r="B50" s="395" t="s">
        <v>45</v>
      </c>
      <c r="C50">
        <v>2</v>
      </c>
      <c r="D50">
        <v>1</v>
      </c>
      <c r="F50">
        <f t="shared" si="1"/>
        <v>3</v>
      </c>
    </row>
    <row r="51" spans="1:6" x14ac:dyDescent="0.25">
      <c r="A51" t="s">
        <v>760</v>
      </c>
      <c r="B51" s="395" t="s">
        <v>46</v>
      </c>
      <c r="C51">
        <v>1</v>
      </c>
      <c r="D51">
        <v>1</v>
      </c>
      <c r="F51">
        <f t="shared" si="1"/>
        <v>2</v>
      </c>
    </row>
    <row r="52" spans="1:6" x14ac:dyDescent="0.25">
      <c r="A52" t="s">
        <v>760</v>
      </c>
      <c r="B52" s="395" t="s">
        <v>47</v>
      </c>
      <c r="C52">
        <v>1</v>
      </c>
      <c r="D52">
        <v>10</v>
      </c>
      <c r="E52">
        <v>1</v>
      </c>
      <c r="F52">
        <f t="shared" si="1"/>
        <v>12</v>
      </c>
    </row>
    <row r="53" spans="1:6" x14ac:dyDescent="0.25">
      <c r="A53" t="s">
        <v>760</v>
      </c>
      <c r="B53" s="395" t="s">
        <v>48</v>
      </c>
      <c r="D53">
        <v>14</v>
      </c>
      <c r="F53">
        <f t="shared" si="1"/>
        <v>14</v>
      </c>
    </row>
    <row r="54" spans="1:6" x14ac:dyDescent="0.25">
      <c r="A54" t="s">
        <v>760</v>
      </c>
      <c r="B54" s="395" t="s">
        <v>49</v>
      </c>
      <c r="C54">
        <v>3</v>
      </c>
      <c r="D54">
        <v>8</v>
      </c>
      <c r="E54">
        <v>3</v>
      </c>
      <c r="F54">
        <f t="shared" si="1"/>
        <v>14</v>
      </c>
    </row>
    <row r="55" spans="1:6" x14ac:dyDescent="0.25">
      <c r="A55" t="s">
        <v>760</v>
      </c>
      <c r="B55" s="395" t="s">
        <v>50</v>
      </c>
      <c r="C55">
        <v>4</v>
      </c>
      <c r="D55">
        <v>3</v>
      </c>
      <c r="F55">
        <f t="shared" si="1"/>
        <v>7</v>
      </c>
    </row>
    <row r="56" spans="1:6" x14ac:dyDescent="0.25">
      <c r="A56" t="s">
        <v>760</v>
      </c>
      <c r="B56" s="395" t="s">
        <v>51</v>
      </c>
      <c r="D56">
        <v>12</v>
      </c>
      <c r="F56">
        <f t="shared" si="1"/>
        <v>12</v>
      </c>
    </row>
    <row r="57" spans="1:6" x14ac:dyDescent="0.25">
      <c r="A57" t="s">
        <v>760</v>
      </c>
      <c r="B57" s="395" t="s">
        <v>52</v>
      </c>
      <c r="C57">
        <v>1</v>
      </c>
      <c r="D57">
        <v>10</v>
      </c>
      <c r="E57">
        <v>3</v>
      </c>
      <c r="F57">
        <f t="shared" si="1"/>
        <v>14</v>
      </c>
    </row>
    <row r="58" spans="1:6" x14ac:dyDescent="0.25">
      <c r="A58" t="s">
        <v>760</v>
      </c>
      <c r="B58" s="395" t="s">
        <v>53</v>
      </c>
      <c r="C58">
        <v>3</v>
      </c>
      <c r="F58">
        <f t="shared" si="1"/>
        <v>3</v>
      </c>
    </row>
    <row r="59" spans="1:6" x14ac:dyDescent="0.25">
      <c r="A59" t="s">
        <v>760</v>
      </c>
      <c r="B59" s="395" t="s">
        <v>54</v>
      </c>
      <c r="C59">
        <v>2</v>
      </c>
      <c r="D59">
        <v>11</v>
      </c>
      <c r="F59">
        <f t="shared" si="1"/>
        <v>13</v>
      </c>
    </row>
    <row r="60" spans="1:6" x14ac:dyDescent="0.25">
      <c r="A60" t="s">
        <v>760</v>
      </c>
      <c r="B60" s="395" t="s">
        <v>55</v>
      </c>
      <c r="D60">
        <v>14</v>
      </c>
      <c r="F60">
        <f t="shared" si="1"/>
        <v>14</v>
      </c>
    </row>
    <row r="61" spans="1:6" x14ac:dyDescent="0.25">
      <c r="A61" t="s">
        <v>760</v>
      </c>
      <c r="B61" s="395" t="s">
        <v>56</v>
      </c>
      <c r="C61">
        <v>1</v>
      </c>
      <c r="D61">
        <v>4</v>
      </c>
      <c r="F61">
        <f t="shared" si="1"/>
        <v>5</v>
      </c>
    </row>
    <row r="62" spans="1:6" x14ac:dyDescent="0.25">
      <c r="A62" t="s">
        <v>760</v>
      </c>
      <c r="B62" s="395" t="s">
        <v>57</v>
      </c>
      <c r="C62">
        <v>4</v>
      </c>
      <c r="D62">
        <v>7</v>
      </c>
      <c r="E62">
        <v>1</v>
      </c>
      <c r="F62">
        <f t="shared" si="1"/>
        <v>12</v>
      </c>
    </row>
    <row r="63" spans="1:6" x14ac:dyDescent="0.25">
      <c r="A63" t="s">
        <v>760</v>
      </c>
      <c r="B63" s="395" t="s">
        <v>58</v>
      </c>
      <c r="C63">
        <v>1</v>
      </c>
      <c r="D63">
        <v>9</v>
      </c>
      <c r="F63">
        <f t="shared" si="1"/>
        <v>10</v>
      </c>
    </row>
    <row r="64" spans="1:6" x14ac:dyDescent="0.25">
      <c r="A64" t="s">
        <v>760</v>
      </c>
      <c r="B64" s="395" t="s">
        <v>59</v>
      </c>
      <c r="C64">
        <v>2</v>
      </c>
      <c r="D64">
        <v>1</v>
      </c>
      <c r="F64">
        <f t="shared" si="1"/>
        <v>3</v>
      </c>
    </row>
    <row r="65" spans="1:6" x14ac:dyDescent="0.25">
      <c r="A65" t="s">
        <v>760</v>
      </c>
      <c r="B65" s="395" t="s">
        <v>60</v>
      </c>
      <c r="C65">
        <v>2</v>
      </c>
      <c r="D65">
        <v>4</v>
      </c>
      <c r="F65">
        <f t="shared" si="1"/>
        <v>6</v>
      </c>
    </row>
    <row r="66" spans="1:6" x14ac:dyDescent="0.25">
      <c r="A66" t="s">
        <v>917</v>
      </c>
      <c r="B66" s="395" t="s">
        <v>31</v>
      </c>
      <c r="C66">
        <v>3</v>
      </c>
      <c r="D66">
        <v>1</v>
      </c>
      <c r="F66">
        <f>SUM(C66:E66)</f>
        <v>4</v>
      </c>
    </row>
    <row r="67" spans="1:6" x14ac:dyDescent="0.25">
      <c r="A67" t="s">
        <v>917</v>
      </c>
      <c r="B67" s="395" t="s">
        <v>32</v>
      </c>
      <c r="C67">
        <v>1</v>
      </c>
      <c r="D67">
        <v>23</v>
      </c>
      <c r="F67">
        <f t="shared" ref="F67:F97" si="2">SUM(C67:E67)</f>
        <v>24</v>
      </c>
    </row>
    <row r="68" spans="1:6" x14ac:dyDescent="0.25">
      <c r="A68" t="s">
        <v>917</v>
      </c>
      <c r="B68" s="395" t="s">
        <v>33</v>
      </c>
      <c r="C68">
        <v>1</v>
      </c>
      <c r="D68">
        <v>5</v>
      </c>
      <c r="F68">
        <f t="shared" si="2"/>
        <v>6</v>
      </c>
    </row>
    <row r="69" spans="1:6" x14ac:dyDescent="0.25">
      <c r="A69" t="s">
        <v>917</v>
      </c>
      <c r="B69" s="395" t="s">
        <v>34</v>
      </c>
      <c r="C69">
        <v>2</v>
      </c>
      <c r="D69">
        <v>12</v>
      </c>
      <c r="E69">
        <v>25</v>
      </c>
      <c r="F69">
        <f t="shared" si="2"/>
        <v>39</v>
      </c>
    </row>
    <row r="70" spans="1:6" x14ac:dyDescent="0.25">
      <c r="A70" t="s">
        <v>917</v>
      </c>
      <c r="B70" s="395" t="s">
        <v>243</v>
      </c>
      <c r="C70">
        <v>7</v>
      </c>
      <c r="D70">
        <v>1</v>
      </c>
      <c r="F70">
        <f t="shared" si="2"/>
        <v>8</v>
      </c>
    </row>
    <row r="71" spans="1:6" x14ac:dyDescent="0.25">
      <c r="A71" t="s">
        <v>917</v>
      </c>
      <c r="B71" s="395" t="s">
        <v>35</v>
      </c>
      <c r="C71">
        <v>1</v>
      </c>
      <c r="D71">
        <v>1</v>
      </c>
      <c r="F71">
        <f t="shared" si="2"/>
        <v>2</v>
      </c>
    </row>
    <row r="72" spans="1:6" x14ac:dyDescent="0.25">
      <c r="A72" t="s">
        <v>917</v>
      </c>
      <c r="B72" s="395" t="s">
        <v>36</v>
      </c>
      <c r="C72">
        <v>1</v>
      </c>
      <c r="D72">
        <v>15</v>
      </c>
      <c r="E72">
        <v>1</v>
      </c>
      <c r="F72">
        <f t="shared" si="2"/>
        <v>17</v>
      </c>
    </row>
    <row r="73" spans="1:6" x14ac:dyDescent="0.25">
      <c r="A73" t="s">
        <v>917</v>
      </c>
      <c r="B73" s="395" t="s">
        <v>37</v>
      </c>
      <c r="C73">
        <v>4</v>
      </c>
      <c r="F73">
        <f t="shared" si="2"/>
        <v>4</v>
      </c>
    </row>
    <row r="74" spans="1:6" x14ac:dyDescent="0.25">
      <c r="A74" t="s">
        <v>917</v>
      </c>
      <c r="B74" s="395" t="s">
        <v>38</v>
      </c>
      <c r="C74">
        <v>1</v>
      </c>
      <c r="D74">
        <v>7</v>
      </c>
      <c r="F74">
        <f t="shared" si="2"/>
        <v>8</v>
      </c>
    </row>
    <row r="75" spans="1:6" x14ac:dyDescent="0.25">
      <c r="A75" t="s">
        <v>917</v>
      </c>
      <c r="B75" s="395" t="s">
        <v>39</v>
      </c>
      <c r="C75">
        <v>3</v>
      </c>
      <c r="F75">
        <f t="shared" si="2"/>
        <v>3</v>
      </c>
    </row>
    <row r="76" spans="1:6" x14ac:dyDescent="0.25">
      <c r="A76" t="s">
        <v>917</v>
      </c>
      <c r="B76" s="395" t="s">
        <v>40</v>
      </c>
      <c r="C76">
        <v>1</v>
      </c>
      <c r="D76">
        <v>5</v>
      </c>
      <c r="F76">
        <f t="shared" si="2"/>
        <v>6</v>
      </c>
    </row>
    <row r="77" spans="1:6" x14ac:dyDescent="0.25">
      <c r="A77" t="s">
        <v>917</v>
      </c>
      <c r="B77" s="395" t="s">
        <v>41</v>
      </c>
      <c r="C77">
        <v>2</v>
      </c>
      <c r="F77">
        <f t="shared" si="2"/>
        <v>2</v>
      </c>
    </row>
    <row r="78" spans="1:6" x14ac:dyDescent="0.25">
      <c r="A78" t="s">
        <v>917</v>
      </c>
      <c r="B78" s="395" t="s">
        <v>42</v>
      </c>
      <c r="C78">
        <v>3</v>
      </c>
      <c r="D78">
        <v>2</v>
      </c>
      <c r="F78">
        <f t="shared" si="2"/>
        <v>5</v>
      </c>
    </row>
    <row r="79" spans="1:6" x14ac:dyDescent="0.25">
      <c r="A79" t="s">
        <v>917</v>
      </c>
      <c r="B79" s="395" t="s">
        <v>43</v>
      </c>
      <c r="C79">
        <v>5</v>
      </c>
      <c r="D79">
        <v>8</v>
      </c>
      <c r="F79">
        <f t="shared" si="2"/>
        <v>13</v>
      </c>
    </row>
    <row r="80" spans="1:6" x14ac:dyDescent="0.25">
      <c r="A80" t="s">
        <v>917</v>
      </c>
      <c r="B80" s="395" t="s">
        <v>117</v>
      </c>
      <c r="C80">
        <v>11</v>
      </c>
      <c r="F80">
        <f t="shared" si="2"/>
        <v>11</v>
      </c>
    </row>
    <row r="81" spans="1:6" x14ac:dyDescent="0.25">
      <c r="A81" t="s">
        <v>917</v>
      </c>
      <c r="B81" s="395" t="s">
        <v>44</v>
      </c>
      <c r="C81">
        <v>1</v>
      </c>
      <c r="D81">
        <v>51</v>
      </c>
      <c r="E81">
        <v>9</v>
      </c>
      <c r="F81">
        <f t="shared" si="2"/>
        <v>61</v>
      </c>
    </row>
    <row r="82" spans="1:6" x14ac:dyDescent="0.25">
      <c r="A82" t="s">
        <v>917</v>
      </c>
      <c r="B82" s="395" t="s">
        <v>45</v>
      </c>
      <c r="C82">
        <v>2</v>
      </c>
      <c r="D82">
        <v>1</v>
      </c>
      <c r="F82">
        <f t="shared" si="2"/>
        <v>3</v>
      </c>
    </row>
    <row r="83" spans="1:6" x14ac:dyDescent="0.25">
      <c r="A83" t="s">
        <v>917</v>
      </c>
      <c r="B83" s="395" t="s">
        <v>46</v>
      </c>
      <c r="C83">
        <v>1</v>
      </c>
      <c r="D83">
        <v>1</v>
      </c>
      <c r="F83">
        <f t="shared" si="2"/>
        <v>2</v>
      </c>
    </row>
    <row r="84" spans="1:6" x14ac:dyDescent="0.25">
      <c r="A84" t="s">
        <v>917</v>
      </c>
      <c r="B84" s="395" t="s">
        <v>47</v>
      </c>
      <c r="C84">
        <v>1</v>
      </c>
      <c r="D84">
        <v>10</v>
      </c>
      <c r="E84">
        <v>1</v>
      </c>
      <c r="F84">
        <f t="shared" si="2"/>
        <v>12</v>
      </c>
    </row>
    <row r="85" spans="1:6" x14ac:dyDescent="0.25">
      <c r="A85" t="s">
        <v>917</v>
      </c>
      <c r="B85" s="395" t="s">
        <v>48</v>
      </c>
      <c r="D85">
        <v>14</v>
      </c>
      <c r="F85">
        <f t="shared" si="2"/>
        <v>14</v>
      </c>
    </row>
    <row r="86" spans="1:6" x14ac:dyDescent="0.25">
      <c r="A86" t="s">
        <v>917</v>
      </c>
      <c r="B86" s="395" t="s">
        <v>49</v>
      </c>
      <c r="C86">
        <v>3</v>
      </c>
      <c r="D86">
        <v>8</v>
      </c>
      <c r="E86">
        <v>3</v>
      </c>
      <c r="F86">
        <f t="shared" si="2"/>
        <v>14</v>
      </c>
    </row>
    <row r="87" spans="1:6" x14ac:dyDescent="0.25">
      <c r="A87" t="s">
        <v>917</v>
      </c>
      <c r="B87" s="395" t="s">
        <v>50</v>
      </c>
      <c r="C87">
        <v>4</v>
      </c>
      <c r="D87">
        <v>3</v>
      </c>
      <c r="F87">
        <f t="shared" si="2"/>
        <v>7</v>
      </c>
    </row>
    <row r="88" spans="1:6" x14ac:dyDescent="0.25">
      <c r="A88" t="s">
        <v>917</v>
      </c>
      <c r="B88" s="395" t="s">
        <v>51</v>
      </c>
      <c r="D88">
        <v>12</v>
      </c>
      <c r="F88">
        <f t="shared" si="2"/>
        <v>12</v>
      </c>
    </row>
    <row r="89" spans="1:6" x14ac:dyDescent="0.25">
      <c r="A89" t="s">
        <v>917</v>
      </c>
      <c r="B89" s="395" t="s">
        <v>52</v>
      </c>
      <c r="C89">
        <v>1</v>
      </c>
      <c r="D89">
        <v>10</v>
      </c>
      <c r="E89">
        <v>3</v>
      </c>
      <c r="F89">
        <f t="shared" si="2"/>
        <v>14</v>
      </c>
    </row>
    <row r="90" spans="1:6" x14ac:dyDescent="0.25">
      <c r="A90" t="s">
        <v>917</v>
      </c>
      <c r="B90" s="395" t="s">
        <v>53</v>
      </c>
      <c r="C90">
        <v>3</v>
      </c>
      <c r="F90">
        <f t="shared" si="2"/>
        <v>3</v>
      </c>
    </row>
    <row r="91" spans="1:6" x14ac:dyDescent="0.25">
      <c r="A91" t="s">
        <v>917</v>
      </c>
      <c r="B91" s="395" t="s">
        <v>54</v>
      </c>
      <c r="C91">
        <v>2</v>
      </c>
      <c r="D91">
        <v>11</v>
      </c>
      <c r="F91">
        <f t="shared" si="2"/>
        <v>13</v>
      </c>
    </row>
    <row r="92" spans="1:6" x14ac:dyDescent="0.25">
      <c r="A92" t="s">
        <v>917</v>
      </c>
      <c r="B92" s="395" t="s">
        <v>55</v>
      </c>
      <c r="D92">
        <v>14</v>
      </c>
      <c r="F92">
        <f t="shared" si="2"/>
        <v>14</v>
      </c>
    </row>
    <row r="93" spans="1:6" x14ac:dyDescent="0.25">
      <c r="A93" t="s">
        <v>917</v>
      </c>
      <c r="B93" s="395" t="s">
        <v>56</v>
      </c>
      <c r="C93">
        <v>1</v>
      </c>
      <c r="D93">
        <v>4</v>
      </c>
      <c r="F93">
        <f t="shared" si="2"/>
        <v>5</v>
      </c>
    </row>
    <row r="94" spans="1:6" x14ac:dyDescent="0.25">
      <c r="A94" t="s">
        <v>917</v>
      </c>
      <c r="B94" s="395" t="s">
        <v>57</v>
      </c>
      <c r="C94">
        <v>4</v>
      </c>
      <c r="D94">
        <v>7</v>
      </c>
      <c r="E94">
        <v>1</v>
      </c>
      <c r="F94">
        <f t="shared" si="2"/>
        <v>12</v>
      </c>
    </row>
    <row r="95" spans="1:6" x14ac:dyDescent="0.25">
      <c r="A95" t="s">
        <v>917</v>
      </c>
      <c r="B95" s="395" t="s">
        <v>58</v>
      </c>
      <c r="C95">
        <v>1</v>
      </c>
      <c r="D95">
        <v>9</v>
      </c>
      <c r="F95">
        <f t="shared" si="2"/>
        <v>10</v>
      </c>
    </row>
    <row r="96" spans="1:6" x14ac:dyDescent="0.25">
      <c r="A96" t="s">
        <v>917</v>
      </c>
      <c r="B96" s="395" t="s">
        <v>59</v>
      </c>
      <c r="C96">
        <v>2</v>
      </c>
      <c r="D96">
        <v>1</v>
      </c>
      <c r="F96">
        <f t="shared" si="2"/>
        <v>3</v>
      </c>
    </row>
    <row r="97" spans="1:6" x14ac:dyDescent="0.25">
      <c r="A97" t="s">
        <v>917</v>
      </c>
      <c r="B97" s="395" t="s">
        <v>60</v>
      </c>
      <c r="C97">
        <v>2</v>
      </c>
      <c r="D97">
        <v>4</v>
      </c>
      <c r="F97">
        <f t="shared" si="2"/>
        <v>6</v>
      </c>
    </row>
    <row r="98" spans="1:6" x14ac:dyDescent="0.25">
      <c r="A98" t="s">
        <v>240</v>
      </c>
      <c r="B98" s="395" t="s">
        <v>31</v>
      </c>
      <c r="C98">
        <v>3</v>
      </c>
      <c r="D98">
        <v>1</v>
      </c>
      <c r="F98">
        <f>SUM(C98:E98)</f>
        <v>4</v>
      </c>
    </row>
    <row r="99" spans="1:6" x14ac:dyDescent="0.25">
      <c r="A99" t="s">
        <v>240</v>
      </c>
      <c r="B99" s="395" t="s">
        <v>32</v>
      </c>
      <c r="C99">
        <v>1</v>
      </c>
      <c r="D99">
        <v>23</v>
      </c>
      <c r="F99">
        <f t="shared" ref="F99:F129" si="3">SUM(C99:E99)</f>
        <v>24</v>
      </c>
    </row>
    <row r="100" spans="1:6" x14ac:dyDescent="0.25">
      <c r="A100" t="s">
        <v>240</v>
      </c>
      <c r="B100" s="395" t="s">
        <v>33</v>
      </c>
      <c r="C100">
        <v>1</v>
      </c>
      <c r="D100">
        <v>5</v>
      </c>
      <c r="F100">
        <f t="shared" si="3"/>
        <v>6</v>
      </c>
    </row>
    <row r="101" spans="1:6" x14ac:dyDescent="0.25">
      <c r="A101" t="s">
        <v>240</v>
      </c>
      <c r="B101" s="395" t="s">
        <v>34</v>
      </c>
      <c r="C101">
        <v>2</v>
      </c>
      <c r="D101">
        <v>12</v>
      </c>
      <c r="E101">
        <v>25</v>
      </c>
      <c r="F101">
        <f t="shared" si="3"/>
        <v>39</v>
      </c>
    </row>
    <row r="102" spans="1:6" x14ac:dyDescent="0.25">
      <c r="A102" t="s">
        <v>240</v>
      </c>
      <c r="B102" s="395" t="s">
        <v>243</v>
      </c>
      <c r="C102">
        <v>7</v>
      </c>
      <c r="D102">
        <v>1</v>
      </c>
      <c r="F102">
        <f t="shared" si="3"/>
        <v>8</v>
      </c>
    </row>
    <row r="103" spans="1:6" x14ac:dyDescent="0.25">
      <c r="A103" t="s">
        <v>240</v>
      </c>
      <c r="B103" s="395" t="s">
        <v>35</v>
      </c>
      <c r="C103">
        <v>1</v>
      </c>
      <c r="D103">
        <v>1</v>
      </c>
      <c r="F103">
        <f t="shared" si="3"/>
        <v>2</v>
      </c>
    </row>
    <row r="104" spans="1:6" x14ac:dyDescent="0.25">
      <c r="A104" t="s">
        <v>240</v>
      </c>
      <c r="B104" s="395" t="s">
        <v>36</v>
      </c>
      <c r="C104">
        <v>1</v>
      </c>
      <c r="D104">
        <v>15</v>
      </c>
      <c r="E104">
        <v>1</v>
      </c>
      <c r="F104">
        <f t="shared" si="3"/>
        <v>17</v>
      </c>
    </row>
    <row r="105" spans="1:6" x14ac:dyDescent="0.25">
      <c r="A105" t="s">
        <v>240</v>
      </c>
      <c r="B105" s="395" t="s">
        <v>37</v>
      </c>
      <c r="C105">
        <v>4</v>
      </c>
      <c r="F105">
        <f t="shared" si="3"/>
        <v>4</v>
      </c>
    </row>
    <row r="106" spans="1:6" x14ac:dyDescent="0.25">
      <c r="A106" t="s">
        <v>240</v>
      </c>
      <c r="B106" s="395" t="s">
        <v>38</v>
      </c>
      <c r="C106">
        <v>1</v>
      </c>
      <c r="D106">
        <v>7</v>
      </c>
      <c r="F106">
        <f t="shared" si="3"/>
        <v>8</v>
      </c>
    </row>
    <row r="107" spans="1:6" x14ac:dyDescent="0.25">
      <c r="A107" t="s">
        <v>240</v>
      </c>
      <c r="B107" s="395" t="s">
        <v>39</v>
      </c>
      <c r="C107">
        <v>3</v>
      </c>
      <c r="F107">
        <f t="shared" si="3"/>
        <v>3</v>
      </c>
    </row>
    <row r="108" spans="1:6" x14ac:dyDescent="0.25">
      <c r="A108" t="s">
        <v>240</v>
      </c>
      <c r="B108" s="395" t="s">
        <v>40</v>
      </c>
      <c r="C108">
        <v>1</v>
      </c>
      <c r="D108">
        <v>5</v>
      </c>
      <c r="F108">
        <f t="shared" si="3"/>
        <v>6</v>
      </c>
    </row>
    <row r="109" spans="1:6" x14ac:dyDescent="0.25">
      <c r="A109" t="s">
        <v>240</v>
      </c>
      <c r="B109" s="395" t="s">
        <v>41</v>
      </c>
      <c r="C109">
        <v>2</v>
      </c>
      <c r="F109">
        <f t="shared" si="3"/>
        <v>2</v>
      </c>
    </row>
    <row r="110" spans="1:6" x14ac:dyDescent="0.25">
      <c r="A110" t="s">
        <v>240</v>
      </c>
      <c r="B110" s="395" t="s">
        <v>42</v>
      </c>
      <c r="C110">
        <v>3</v>
      </c>
      <c r="D110">
        <v>2</v>
      </c>
      <c r="F110">
        <f t="shared" si="3"/>
        <v>5</v>
      </c>
    </row>
    <row r="111" spans="1:6" x14ac:dyDescent="0.25">
      <c r="A111" t="s">
        <v>240</v>
      </c>
      <c r="B111" s="395" t="s">
        <v>43</v>
      </c>
      <c r="C111">
        <v>5</v>
      </c>
      <c r="D111">
        <v>8</v>
      </c>
      <c r="F111">
        <f t="shared" si="3"/>
        <v>13</v>
      </c>
    </row>
    <row r="112" spans="1:6" x14ac:dyDescent="0.25">
      <c r="A112" t="s">
        <v>240</v>
      </c>
      <c r="B112" s="395" t="s">
        <v>117</v>
      </c>
      <c r="C112">
        <v>11</v>
      </c>
      <c r="F112">
        <f t="shared" si="3"/>
        <v>11</v>
      </c>
    </row>
    <row r="113" spans="1:6" x14ac:dyDescent="0.25">
      <c r="A113" t="s">
        <v>240</v>
      </c>
      <c r="B113" s="395" t="s">
        <v>44</v>
      </c>
      <c r="C113">
        <v>1</v>
      </c>
      <c r="D113">
        <v>51</v>
      </c>
      <c r="E113">
        <v>9</v>
      </c>
      <c r="F113">
        <f t="shared" si="3"/>
        <v>61</v>
      </c>
    </row>
    <row r="114" spans="1:6" x14ac:dyDescent="0.25">
      <c r="A114" t="s">
        <v>240</v>
      </c>
      <c r="B114" s="395" t="s">
        <v>45</v>
      </c>
      <c r="C114">
        <v>2</v>
      </c>
      <c r="D114">
        <v>1</v>
      </c>
      <c r="F114">
        <f t="shared" si="3"/>
        <v>3</v>
      </c>
    </row>
    <row r="115" spans="1:6" x14ac:dyDescent="0.25">
      <c r="A115" t="s">
        <v>240</v>
      </c>
      <c r="B115" s="395" t="s">
        <v>46</v>
      </c>
      <c r="C115">
        <v>1</v>
      </c>
      <c r="D115">
        <v>1</v>
      </c>
      <c r="F115">
        <f t="shared" si="3"/>
        <v>2</v>
      </c>
    </row>
    <row r="116" spans="1:6" x14ac:dyDescent="0.25">
      <c r="A116" t="s">
        <v>240</v>
      </c>
      <c r="B116" s="395" t="s">
        <v>47</v>
      </c>
      <c r="C116">
        <v>1</v>
      </c>
      <c r="D116">
        <v>10</v>
      </c>
      <c r="E116">
        <v>1</v>
      </c>
      <c r="F116">
        <f t="shared" si="3"/>
        <v>12</v>
      </c>
    </row>
    <row r="117" spans="1:6" x14ac:dyDescent="0.25">
      <c r="A117" t="s">
        <v>240</v>
      </c>
      <c r="B117" s="395" t="s">
        <v>48</v>
      </c>
      <c r="D117">
        <v>14</v>
      </c>
      <c r="F117">
        <f t="shared" si="3"/>
        <v>14</v>
      </c>
    </row>
    <row r="118" spans="1:6" x14ac:dyDescent="0.25">
      <c r="A118" t="s">
        <v>240</v>
      </c>
      <c r="B118" s="395" t="s">
        <v>49</v>
      </c>
      <c r="C118">
        <v>3</v>
      </c>
      <c r="D118">
        <v>8</v>
      </c>
      <c r="E118">
        <v>3</v>
      </c>
      <c r="F118">
        <f t="shared" si="3"/>
        <v>14</v>
      </c>
    </row>
    <row r="119" spans="1:6" x14ac:dyDescent="0.25">
      <c r="A119" t="s">
        <v>240</v>
      </c>
      <c r="B119" s="395" t="s">
        <v>50</v>
      </c>
      <c r="C119">
        <v>4</v>
      </c>
      <c r="D119">
        <v>3</v>
      </c>
      <c r="F119">
        <f t="shared" si="3"/>
        <v>7</v>
      </c>
    </row>
    <row r="120" spans="1:6" x14ac:dyDescent="0.25">
      <c r="A120" t="s">
        <v>240</v>
      </c>
      <c r="B120" s="395" t="s">
        <v>51</v>
      </c>
      <c r="D120">
        <v>12</v>
      </c>
      <c r="F120">
        <f t="shared" si="3"/>
        <v>12</v>
      </c>
    </row>
    <row r="121" spans="1:6" x14ac:dyDescent="0.25">
      <c r="A121" t="s">
        <v>240</v>
      </c>
      <c r="B121" s="395" t="s">
        <v>52</v>
      </c>
      <c r="C121">
        <v>1</v>
      </c>
      <c r="D121">
        <v>10</v>
      </c>
      <c r="E121">
        <v>3</v>
      </c>
      <c r="F121">
        <f t="shared" si="3"/>
        <v>14</v>
      </c>
    </row>
    <row r="122" spans="1:6" x14ac:dyDescent="0.25">
      <c r="A122" t="s">
        <v>240</v>
      </c>
      <c r="B122" s="395" t="s">
        <v>53</v>
      </c>
      <c r="C122">
        <v>3</v>
      </c>
      <c r="F122">
        <f t="shared" si="3"/>
        <v>3</v>
      </c>
    </row>
    <row r="123" spans="1:6" x14ac:dyDescent="0.25">
      <c r="A123" t="s">
        <v>240</v>
      </c>
      <c r="B123" s="395" t="s">
        <v>54</v>
      </c>
      <c r="C123">
        <v>2</v>
      </c>
      <c r="D123">
        <v>11</v>
      </c>
      <c r="F123">
        <f t="shared" si="3"/>
        <v>13</v>
      </c>
    </row>
    <row r="124" spans="1:6" x14ac:dyDescent="0.25">
      <c r="A124" t="s">
        <v>240</v>
      </c>
      <c r="B124" s="395" t="s">
        <v>55</v>
      </c>
      <c r="D124">
        <v>14</v>
      </c>
      <c r="F124">
        <f t="shared" si="3"/>
        <v>14</v>
      </c>
    </row>
    <row r="125" spans="1:6" x14ac:dyDescent="0.25">
      <c r="A125" t="s">
        <v>240</v>
      </c>
      <c r="B125" s="395" t="s">
        <v>56</v>
      </c>
      <c r="C125">
        <v>1</v>
      </c>
      <c r="D125">
        <v>4</v>
      </c>
      <c r="F125">
        <f t="shared" si="3"/>
        <v>5</v>
      </c>
    </row>
    <row r="126" spans="1:6" x14ac:dyDescent="0.25">
      <c r="A126" t="s">
        <v>240</v>
      </c>
      <c r="B126" s="395" t="s">
        <v>57</v>
      </c>
      <c r="C126">
        <v>4</v>
      </c>
      <c r="D126">
        <v>7</v>
      </c>
      <c r="E126">
        <v>1</v>
      </c>
      <c r="F126">
        <f t="shared" si="3"/>
        <v>12</v>
      </c>
    </row>
    <row r="127" spans="1:6" x14ac:dyDescent="0.25">
      <c r="A127" t="s">
        <v>240</v>
      </c>
      <c r="B127" s="395" t="s">
        <v>58</v>
      </c>
      <c r="C127">
        <v>1</v>
      </c>
      <c r="D127">
        <v>9</v>
      </c>
      <c r="F127">
        <f t="shared" si="3"/>
        <v>10</v>
      </c>
    </row>
    <row r="128" spans="1:6" x14ac:dyDescent="0.25">
      <c r="A128" t="s">
        <v>240</v>
      </c>
      <c r="B128" s="395" t="s">
        <v>59</v>
      </c>
      <c r="C128">
        <v>2</v>
      </c>
      <c r="D128">
        <v>1</v>
      </c>
      <c r="F128">
        <f t="shared" si="3"/>
        <v>3</v>
      </c>
    </row>
    <row r="129" spans="1:6" x14ac:dyDescent="0.25">
      <c r="A129" t="s">
        <v>240</v>
      </c>
      <c r="B129" s="395" t="s">
        <v>60</v>
      </c>
      <c r="C129">
        <v>2</v>
      </c>
      <c r="D129">
        <v>4</v>
      </c>
      <c r="F129">
        <f t="shared" si="3"/>
        <v>6</v>
      </c>
    </row>
    <row r="130" spans="1:6" x14ac:dyDescent="0.25">
      <c r="A130" t="s">
        <v>257</v>
      </c>
      <c r="B130" s="395" t="s">
        <v>31</v>
      </c>
      <c r="C130">
        <v>3</v>
      </c>
      <c r="D130">
        <v>1</v>
      </c>
      <c r="F130">
        <f>SUM(C130:E130)</f>
        <v>4</v>
      </c>
    </row>
    <row r="131" spans="1:6" x14ac:dyDescent="0.25">
      <c r="A131" t="s">
        <v>257</v>
      </c>
      <c r="B131" s="395" t="s">
        <v>32</v>
      </c>
      <c r="C131">
        <v>1</v>
      </c>
      <c r="D131">
        <v>23</v>
      </c>
      <c r="F131">
        <f t="shared" ref="F131:F161" si="4">SUM(C131:E131)</f>
        <v>24</v>
      </c>
    </row>
    <row r="132" spans="1:6" x14ac:dyDescent="0.25">
      <c r="A132" t="s">
        <v>257</v>
      </c>
      <c r="B132" s="395" t="s">
        <v>33</v>
      </c>
      <c r="C132">
        <v>1</v>
      </c>
      <c r="D132">
        <v>5</v>
      </c>
      <c r="F132">
        <f t="shared" si="4"/>
        <v>6</v>
      </c>
    </row>
    <row r="133" spans="1:6" x14ac:dyDescent="0.25">
      <c r="A133" t="s">
        <v>257</v>
      </c>
      <c r="B133" s="395" t="s">
        <v>34</v>
      </c>
      <c r="C133">
        <v>2</v>
      </c>
      <c r="D133">
        <v>12</v>
      </c>
      <c r="E133">
        <v>25</v>
      </c>
      <c r="F133">
        <f t="shared" si="4"/>
        <v>39</v>
      </c>
    </row>
    <row r="134" spans="1:6" x14ac:dyDescent="0.25">
      <c r="A134" t="s">
        <v>257</v>
      </c>
      <c r="B134" s="395" t="s">
        <v>243</v>
      </c>
      <c r="C134">
        <v>7</v>
      </c>
      <c r="D134">
        <v>1</v>
      </c>
      <c r="F134">
        <f t="shared" si="4"/>
        <v>8</v>
      </c>
    </row>
    <row r="135" spans="1:6" x14ac:dyDescent="0.25">
      <c r="A135" t="s">
        <v>257</v>
      </c>
      <c r="B135" s="395" t="s">
        <v>35</v>
      </c>
      <c r="C135">
        <v>1</v>
      </c>
      <c r="D135">
        <v>1</v>
      </c>
      <c r="F135">
        <f t="shared" si="4"/>
        <v>2</v>
      </c>
    </row>
    <row r="136" spans="1:6" x14ac:dyDescent="0.25">
      <c r="A136" t="s">
        <v>257</v>
      </c>
      <c r="B136" s="395" t="s">
        <v>36</v>
      </c>
      <c r="C136">
        <v>1</v>
      </c>
      <c r="D136">
        <v>15</v>
      </c>
      <c r="E136">
        <v>1</v>
      </c>
      <c r="F136">
        <f t="shared" si="4"/>
        <v>17</v>
      </c>
    </row>
    <row r="137" spans="1:6" x14ac:dyDescent="0.25">
      <c r="A137" t="s">
        <v>257</v>
      </c>
      <c r="B137" s="395" t="s">
        <v>37</v>
      </c>
      <c r="C137">
        <v>4</v>
      </c>
      <c r="F137">
        <f t="shared" si="4"/>
        <v>4</v>
      </c>
    </row>
    <row r="138" spans="1:6" x14ac:dyDescent="0.25">
      <c r="A138" t="s">
        <v>257</v>
      </c>
      <c r="B138" s="395" t="s">
        <v>38</v>
      </c>
      <c r="C138">
        <v>1</v>
      </c>
      <c r="D138">
        <v>7</v>
      </c>
      <c r="F138">
        <f t="shared" si="4"/>
        <v>8</v>
      </c>
    </row>
    <row r="139" spans="1:6" x14ac:dyDescent="0.25">
      <c r="A139" t="s">
        <v>257</v>
      </c>
      <c r="B139" s="395" t="s">
        <v>39</v>
      </c>
      <c r="C139">
        <v>3</v>
      </c>
      <c r="F139">
        <f t="shared" si="4"/>
        <v>3</v>
      </c>
    </row>
    <row r="140" spans="1:6" x14ac:dyDescent="0.25">
      <c r="A140" t="s">
        <v>257</v>
      </c>
      <c r="B140" s="395" t="s">
        <v>40</v>
      </c>
      <c r="C140">
        <v>1</v>
      </c>
      <c r="D140">
        <v>5</v>
      </c>
      <c r="F140">
        <f t="shared" si="4"/>
        <v>6</v>
      </c>
    </row>
    <row r="141" spans="1:6" x14ac:dyDescent="0.25">
      <c r="A141" t="s">
        <v>257</v>
      </c>
      <c r="B141" s="395" t="s">
        <v>41</v>
      </c>
      <c r="C141">
        <v>2</v>
      </c>
      <c r="F141">
        <f t="shared" si="4"/>
        <v>2</v>
      </c>
    </row>
    <row r="142" spans="1:6" x14ac:dyDescent="0.25">
      <c r="A142" t="s">
        <v>257</v>
      </c>
      <c r="B142" s="395" t="s">
        <v>42</v>
      </c>
      <c r="C142">
        <v>3</v>
      </c>
      <c r="D142">
        <v>2</v>
      </c>
      <c r="F142">
        <f t="shared" si="4"/>
        <v>5</v>
      </c>
    </row>
    <row r="143" spans="1:6" x14ac:dyDescent="0.25">
      <c r="A143" t="s">
        <v>257</v>
      </c>
      <c r="B143" s="395" t="s">
        <v>43</v>
      </c>
      <c r="C143">
        <v>5</v>
      </c>
      <c r="D143">
        <v>8</v>
      </c>
      <c r="F143">
        <f t="shared" si="4"/>
        <v>13</v>
      </c>
    </row>
    <row r="144" spans="1:6" x14ac:dyDescent="0.25">
      <c r="A144" t="s">
        <v>257</v>
      </c>
      <c r="B144" s="395" t="s">
        <v>117</v>
      </c>
      <c r="C144">
        <v>11</v>
      </c>
      <c r="F144">
        <f t="shared" si="4"/>
        <v>11</v>
      </c>
    </row>
    <row r="145" spans="1:6" x14ac:dyDescent="0.25">
      <c r="A145" t="s">
        <v>257</v>
      </c>
      <c r="B145" s="395" t="s">
        <v>44</v>
      </c>
      <c r="C145">
        <v>1</v>
      </c>
      <c r="D145">
        <v>51</v>
      </c>
      <c r="E145">
        <v>9</v>
      </c>
      <c r="F145">
        <f t="shared" si="4"/>
        <v>61</v>
      </c>
    </row>
    <row r="146" spans="1:6" x14ac:dyDescent="0.25">
      <c r="A146" t="s">
        <v>257</v>
      </c>
      <c r="B146" s="395" t="s">
        <v>45</v>
      </c>
      <c r="C146">
        <v>2</v>
      </c>
      <c r="D146">
        <v>1</v>
      </c>
      <c r="F146">
        <f t="shared" si="4"/>
        <v>3</v>
      </c>
    </row>
    <row r="147" spans="1:6" x14ac:dyDescent="0.25">
      <c r="A147" t="s">
        <v>257</v>
      </c>
      <c r="B147" s="395" t="s">
        <v>46</v>
      </c>
      <c r="C147">
        <v>1</v>
      </c>
      <c r="D147">
        <v>1</v>
      </c>
      <c r="F147">
        <f t="shared" si="4"/>
        <v>2</v>
      </c>
    </row>
    <row r="148" spans="1:6" x14ac:dyDescent="0.25">
      <c r="A148" t="s">
        <v>257</v>
      </c>
      <c r="B148" s="395" t="s">
        <v>47</v>
      </c>
      <c r="C148">
        <v>1</v>
      </c>
      <c r="D148">
        <v>10</v>
      </c>
      <c r="E148">
        <v>1</v>
      </c>
      <c r="F148">
        <f t="shared" si="4"/>
        <v>12</v>
      </c>
    </row>
    <row r="149" spans="1:6" x14ac:dyDescent="0.25">
      <c r="A149" t="s">
        <v>257</v>
      </c>
      <c r="B149" s="395" t="s">
        <v>48</v>
      </c>
      <c r="D149">
        <v>14</v>
      </c>
      <c r="F149">
        <f t="shared" si="4"/>
        <v>14</v>
      </c>
    </row>
    <row r="150" spans="1:6" x14ac:dyDescent="0.25">
      <c r="A150" t="s">
        <v>257</v>
      </c>
      <c r="B150" s="395" t="s">
        <v>49</v>
      </c>
      <c r="C150">
        <v>3</v>
      </c>
      <c r="D150">
        <v>8</v>
      </c>
      <c r="E150">
        <v>3</v>
      </c>
      <c r="F150">
        <f t="shared" si="4"/>
        <v>14</v>
      </c>
    </row>
    <row r="151" spans="1:6" x14ac:dyDescent="0.25">
      <c r="A151" t="s">
        <v>257</v>
      </c>
      <c r="B151" s="395" t="s">
        <v>50</v>
      </c>
      <c r="C151">
        <v>4</v>
      </c>
      <c r="D151">
        <v>3</v>
      </c>
      <c r="F151">
        <f t="shared" si="4"/>
        <v>7</v>
      </c>
    </row>
    <row r="152" spans="1:6" x14ac:dyDescent="0.25">
      <c r="A152" t="s">
        <v>257</v>
      </c>
      <c r="B152" s="395" t="s">
        <v>51</v>
      </c>
      <c r="D152">
        <v>12</v>
      </c>
      <c r="F152">
        <f t="shared" si="4"/>
        <v>12</v>
      </c>
    </row>
    <row r="153" spans="1:6" x14ac:dyDescent="0.25">
      <c r="A153" t="s">
        <v>257</v>
      </c>
      <c r="B153" s="395" t="s">
        <v>52</v>
      </c>
      <c r="C153">
        <v>1</v>
      </c>
      <c r="D153">
        <v>10</v>
      </c>
      <c r="E153">
        <v>3</v>
      </c>
      <c r="F153">
        <f t="shared" si="4"/>
        <v>14</v>
      </c>
    </row>
    <row r="154" spans="1:6" x14ac:dyDescent="0.25">
      <c r="A154" t="s">
        <v>257</v>
      </c>
      <c r="B154" s="395" t="s">
        <v>53</v>
      </c>
      <c r="C154">
        <v>3</v>
      </c>
      <c r="F154">
        <f t="shared" si="4"/>
        <v>3</v>
      </c>
    </row>
    <row r="155" spans="1:6" x14ac:dyDescent="0.25">
      <c r="A155" t="s">
        <v>257</v>
      </c>
      <c r="B155" s="395" t="s">
        <v>54</v>
      </c>
      <c r="C155">
        <v>2</v>
      </c>
      <c r="D155">
        <v>11</v>
      </c>
      <c r="F155">
        <f t="shared" si="4"/>
        <v>13</v>
      </c>
    </row>
    <row r="156" spans="1:6" x14ac:dyDescent="0.25">
      <c r="A156" t="s">
        <v>257</v>
      </c>
      <c r="B156" s="395" t="s">
        <v>55</v>
      </c>
      <c r="D156">
        <v>14</v>
      </c>
      <c r="F156">
        <f t="shared" si="4"/>
        <v>14</v>
      </c>
    </row>
    <row r="157" spans="1:6" x14ac:dyDescent="0.25">
      <c r="A157" t="s">
        <v>257</v>
      </c>
      <c r="B157" s="395" t="s">
        <v>56</v>
      </c>
      <c r="C157">
        <v>1</v>
      </c>
      <c r="D157">
        <v>4</v>
      </c>
      <c r="F157">
        <f t="shared" si="4"/>
        <v>5</v>
      </c>
    </row>
    <row r="158" spans="1:6" x14ac:dyDescent="0.25">
      <c r="A158" t="s">
        <v>257</v>
      </c>
      <c r="B158" s="395" t="s">
        <v>57</v>
      </c>
      <c r="C158">
        <v>4</v>
      </c>
      <c r="D158">
        <v>7</v>
      </c>
      <c r="E158">
        <v>1</v>
      </c>
      <c r="F158">
        <f t="shared" si="4"/>
        <v>12</v>
      </c>
    </row>
    <row r="159" spans="1:6" x14ac:dyDescent="0.25">
      <c r="A159" t="s">
        <v>257</v>
      </c>
      <c r="B159" s="395" t="s">
        <v>58</v>
      </c>
      <c r="C159">
        <v>1</v>
      </c>
      <c r="D159">
        <v>9</v>
      </c>
      <c r="F159">
        <f t="shared" si="4"/>
        <v>10</v>
      </c>
    </row>
    <row r="160" spans="1:6" x14ac:dyDescent="0.25">
      <c r="A160" t="s">
        <v>257</v>
      </c>
      <c r="B160" s="395" t="s">
        <v>59</v>
      </c>
      <c r="C160">
        <v>2</v>
      </c>
      <c r="D160">
        <v>1</v>
      </c>
      <c r="F160">
        <f t="shared" si="4"/>
        <v>3</v>
      </c>
    </row>
    <row r="161" spans="1:6" x14ac:dyDescent="0.25">
      <c r="A161" t="s">
        <v>257</v>
      </c>
      <c r="B161" s="395" t="s">
        <v>60</v>
      </c>
      <c r="C161">
        <v>2</v>
      </c>
      <c r="D161">
        <v>4</v>
      </c>
      <c r="F161">
        <f t="shared" si="4"/>
        <v>6</v>
      </c>
    </row>
    <row r="162" spans="1:6" x14ac:dyDescent="0.25">
      <c r="A162" t="s">
        <v>190</v>
      </c>
      <c r="B162" s="395" t="s">
        <v>31</v>
      </c>
      <c r="C162">
        <v>3</v>
      </c>
      <c r="D162">
        <v>1</v>
      </c>
      <c r="F162">
        <f>SUM(C162:E162)</f>
        <v>4</v>
      </c>
    </row>
    <row r="163" spans="1:6" x14ac:dyDescent="0.25">
      <c r="A163" t="s">
        <v>190</v>
      </c>
      <c r="B163" s="395" t="s">
        <v>32</v>
      </c>
      <c r="C163">
        <v>1</v>
      </c>
      <c r="D163">
        <v>23</v>
      </c>
      <c r="F163">
        <f t="shared" ref="F163:F193" si="5">SUM(C163:E163)</f>
        <v>24</v>
      </c>
    </row>
    <row r="164" spans="1:6" x14ac:dyDescent="0.25">
      <c r="A164" t="s">
        <v>190</v>
      </c>
      <c r="B164" s="395" t="s">
        <v>33</v>
      </c>
      <c r="C164">
        <v>1</v>
      </c>
      <c r="D164">
        <v>5</v>
      </c>
      <c r="F164">
        <f t="shared" si="5"/>
        <v>6</v>
      </c>
    </row>
    <row r="165" spans="1:6" x14ac:dyDescent="0.25">
      <c r="A165" t="s">
        <v>190</v>
      </c>
      <c r="B165" s="395" t="s">
        <v>34</v>
      </c>
      <c r="C165">
        <v>2</v>
      </c>
      <c r="D165">
        <v>12</v>
      </c>
      <c r="E165">
        <v>25</v>
      </c>
      <c r="F165">
        <f t="shared" si="5"/>
        <v>39</v>
      </c>
    </row>
    <row r="166" spans="1:6" x14ac:dyDescent="0.25">
      <c r="A166" t="s">
        <v>190</v>
      </c>
      <c r="B166" s="395" t="s">
        <v>243</v>
      </c>
      <c r="C166">
        <v>7</v>
      </c>
      <c r="D166">
        <v>1</v>
      </c>
      <c r="F166">
        <f t="shared" si="5"/>
        <v>8</v>
      </c>
    </row>
    <row r="167" spans="1:6" x14ac:dyDescent="0.25">
      <c r="A167" t="s">
        <v>190</v>
      </c>
      <c r="B167" s="395" t="s">
        <v>35</v>
      </c>
      <c r="C167">
        <v>1</v>
      </c>
      <c r="D167">
        <v>1</v>
      </c>
      <c r="F167">
        <f t="shared" si="5"/>
        <v>2</v>
      </c>
    </row>
    <row r="168" spans="1:6" x14ac:dyDescent="0.25">
      <c r="A168" t="s">
        <v>190</v>
      </c>
      <c r="B168" s="395" t="s">
        <v>36</v>
      </c>
      <c r="C168">
        <v>1</v>
      </c>
      <c r="D168">
        <v>15</v>
      </c>
      <c r="E168">
        <v>1</v>
      </c>
      <c r="F168">
        <f t="shared" si="5"/>
        <v>17</v>
      </c>
    </row>
    <row r="169" spans="1:6" x14ac:dyDescent="0.25">
      <c r="A169" t="s">
        <v>190</v>
      </c>
      <c r="B169" s="395" t="s">
        <v>37</v>
      </c>
      <c r="C169">
        <v>4</v>
      </c>
      <c r="F169">
        <f t="shared" si="5"/>
        <v>4</v>
      </c>
    </row>
    <row r="170" spans="1:6" x14ac:dyDescent="0.25">
      <c r="A170" t="s">
        <v>190</v>
      </c>
      <c r="B170" s="395" t="s">
        <v>38</v>
      </c>
      <c r="C170">
        <v>1</v>
      </c>
      <c r="D170">
        <v>7</v>
      </c>
      <c r="F170">
        <f t="shared" si="5"/>
        <v>8</v>
      </c>
    </row>
    <row r="171" spans="1:6" x14ac:dyDescent="0.25">
      <c r="A171" t="s">
        <v>190</v>
      </c>
      <c r="B171" s="395" t="s">
        <v>39</v>
      </c>
      <c r="C171">
        <v>3</v>
      </c>
      <c r="F171">
        <f t="shared" si="5"/>
        <v>3</v>
      </c>
    </row>
    <row r="172" spans="1:6" x14ac:dyDescent="0.25">
      <c r="A172" t="s">
        <v>190</v>
      </c>
      <c r="B172" s="395" t="s">
        <v>40</v>
      </c>
      <c r="C172">
        <v>1</v>
      </c>
      <c r="D172">
        <v>5</v>
      </c>
      <c r="F172">
        <f t="shared" si="5"/>
        <v>6</v>
      </c>
    </row>
    <row r="173" spans="1:6" x14ac:dyDescent="0.25">
      <c r="A173" t="s">
        <v>190</v>
      </c>
      <c r="B173" s="395" t="s">
        <v>41</v>
      </c>
      <c r="C173">
        <v>2</v>
      </c>
      <c r="F173">
        <f t="shared" si="5"/>
        <v>2</v>
      </c>
    </row>
    <row r="174" spans="1:6" x14ac:dyDescent="0.25">
      <c r="A174" t="s">
        <v>190</v>
      </c>
      <c r="B174" s="395" t="s">
        <v>42</v>
      </c>
      <c r="C174">
        <v>3</v>
      </c>
      <c r="D174">
        <v>2</v>
      </c>
      <c r="F174">
        <f t="shared" si="5"/>
        <v>5</v>
      </c>
    </row>
    <row r="175" spans="1:6" x14ac:dyDescent="0.25">
      <c r="A175" t="s">
        <v>190</v>
      </c>
      <c r="B175" s="395" t="s">
        <v>43</v>
      </c>
      <c r="C175">
        <v>5</v>
      </c>
      <c r="D175">
        <v>8</v>
      </c>
      <c r="F175">
        <f t="shared" si="5"/>
        <v>13</v>
      </c>
    </row>
    <row r="176" spans="1:6" x14ac:dyDescent="0.25">
      <c r="A176" t="s">
        <v>190</v>
      </c>
      <c r="B176" s="395" t="s">
        <v>117</v>
      </c>
      <c r="C176">
        <v>11</v>
      </c>
      <c r="F176">
        <f t="shared" si="5"/>
        <v>11</v>
      </c>
    </row>
    <row r="177" spans="1:6" x14ac:dyDescent="0.25">
      <c r="A177" t="s">
        <v>190</v>
      </c>
      <c r="B177" s="395" t="s">
        <v>44</v>
      </c>
      <c r="C177">
        <v>1</v>
      </c>
      <c r="D177">
        <v>51</v>
      </c>
      <c r="E177">
        <v>9</v>
      </c>
      <c r="F177">
        <f t="shared" si="5"/>
        <v>61</v>
      </c>
    </row>
    <row r="178" spans="1:6" x14ac:dyDescent="0.25">
      <c r="A178" t="s">
        <v>190</v>
      </c>
      <c r="B178" s="395" t="s">
        <v>45</v>
      </c>
      <c r="C178">
        <v>2</v>
      </c>
      <c r="D178">
        <v>1</v>
      </c>
      <c r="F178">
        <f t="shared" si="5"/>
        <v>3</v>
      </c>
    </row>
    <row r="179" spans="1:6" x14ac:dyDescent="0.25">
      <c r="A179" t="s">
        <v>190</v>
      </c>
      <c r="B179" s="395" t="s">
        <v>46</v>
      </c>
      <c r="C179">
        <v>1</v>
      </c>
      <c r="D179">
        <v>1</v>
      </c>
      <c r="F179">
        <f t="shared" si="5"/>
        <v>2</v>
      </c>
    </row>
    <row r="180" spans="1:6" x14ac:dyDescent="0.25">
      <c r="A180" t="s">
        <v>190</v>
      </c>
      <c r="B180" s="395" t="s">
        <v>47</v>
      </c>
      <c r="C180">
        <v>1</v>
      </c>
      <c r="D180">
        <v>10</v>
      </c>
      <c r="E180">
        <v>1</v>
      </c>
      <c r="F180">
        <f t="shared" si="5"/>
        <v>12</v>
      </c>
    </row>
    <row r="181" spans="1:6" x14ac:dyDescent="0.25">
      <c r="A181" t="s">
        <v>190</v>
      </c>
      <c r="B181" s="395" t="s">
        <v>48</v>
      </c>
      <c r="D181">
        <v>14</v>
      </c>
      <c r="F181">
        <f t="shared" si="5"/>
        <v>14</v>
      </c>
    </row>
    <row r="182" spans="1:6" x14ac:dyDescent="0.25">
      <c r="A182" t="s">
        <v>190</v>
      </c>
      <c r="B182" s="395" t="s">
        <v>49</v>
      </c>
      <c r="C182">
        <v>3</v>
      </c>
      <c r="D182">
        <v>8</v>
      </c>
      <c r="E182">
        <v>3</v>
      </c>
      <c r="F182">
        <f t="shared" si="5"/>
        <v>14</v>
      </c>
    </row>
    <row r="183" spans="1:6" x14ac:dyDescent="0.25">
      <c r="A183" t="s">
        <v>190</v>
      </c>
      <c r="B183" s="395" t="s">
        <v>50</v>
      </c>
      <c r="C183">
        <v>4</v>
      </c>
      <c r="D183">
        <v>3</v>
      </c>
      <c r="F183">
        <f t="shared" si="5"/>
        <v>7</v>
      </c>
    </row>
    <row r="184" spans="1:6" x14ac:dyDescent="0.25">
      <c r="A184" t="s">
        <v>190</v>
      </c>
      <c r="B184" s="395" t="s">
        <v>51</v>
      </c>
      <c r="D184">
        <v>12</v>
      </c>
      <c r="F184">
        <f t="shared" si="5"/>
        <v>12</v>
      </c>
    </row>
    <row r="185" spans="1:6" x14ac:dyDescent="0.25">
      <c r="A185" t="s">
        <v>190</v>
      </c>
      <c r="B185" s="395" t="s">
        <v>52</v>
      </c>
      <c r="C185">
        <v>1</v>
      </c>
      <c r="D185">
        <v>10</v>
      </c>
      <c r="E185">
        <v>3</v>
      </c>
      <c r="F185">
        <f t="shared" si="5"/>
        <v>14</v>
      </c>
    </row>
    <row r="186" spans="1:6" x14ac:dyDescent="0.25">
      <c r="A186" t="s">
        <v>190</v>
      </c>
      <c r="B186" s="395" t="s">
        <v>53</v>
      </c>
      <c r="C186">
        <v>3</v>
      </c>
      <c r="F186">
        <f t="shared" si="5"/>
        <v>3</v>
      </c>
    </row>
    <row r="187" spans="1:6" x14ac:dyDescent="0.25">
      <c r="A187" t="s">
        <v>190</v>
      </c>
      <c r="B187" s="395" t="s">
        <v>54</v>
      </c>
      <c r="C187">
        <v>2</v>
      </c>
      <c r="D187">
        <v>11</v>
      </c>
      <c r="F187">
        <f t="shared" si="5"/>
        <v>13</v>
      </c>
    </row>
    <row r="188" spans="1:6" x14ac:dyDescent="0.25">
      <c r="A188" t="s">
        <v>190</v>
      </c>
      <c r="B188" s="395" t="s">
        <v>55</v>
      </c>
      <c r="D188">
        <v>14</v>
      </c>
      <c r="F188">
        <f t="shared" si="5"/>
        <v>14</v>
      </c>
    </row>
    <row r="189" spans="1:6" x14ac:dyDescent="0.25">
      <c r="A189" t="s">
        <v>190</v>
      </c>
      <c r="B189" s="395" t="s">
        <v>56</v>
      </c>
      <c r="C189">
        <v>1</v>
      </c>
      <c r="D189">
        <v>4</v>
      </c>
      <c r="F189">
        <f t="shared" si="5"/>
        <v>5</v>
      </c>
    </row>
    <row r="190" spans="1:6" x14ac:dyDescent="0.25">
      <c r="A190" t="s">
        <v>190</v>
      </c>
      <c r="B190" s="395" t="s">
        <v>57</v>
      </c>
      <c r="C190">
        <v>4</v>
      </c>
      <c r="D190">
        <v>7</v>
      </c>
      <c r="E190">
        <v>1</v>
      </c>
      <c r="F190">
        <f t="shared" si="5"/>
        <v>12</v>
      </c>
    </row>
    <row r="191" spans="1:6" x14ac:dyDescent="0.25">
      <c r="A191" t="s">
        <v>190</v>
      </c>
      <c r="B191" s="395" t="s">
        <v>58</v>
      </c>
      <c r="C191">
        <v>1</v>
      </c>
      <c r="D191">
        <v>9</v>
      </c>
      <c r="F191">
        <f t="shared" si="5"/>
        <v>10</v>
      </c>
    </row>
    <row r="192" spans="1:6" x14ac:dyDescent="0.25">
      <c r="A192" t="s">
        <v>190</v>
      </c>
      <c r="B192" s="395" t="s">
        <v>59</v>
      </c>
      <c r="C192">
        <v>2</v>
      </c>
      <c r="D192">
        <v>1</v>
      </c>
      <c r="F192">
        <f t="shared" si="5"/>
        <v>3</v>
      </c>
    </row>
    <row r="193" spans="1:6" x14ac:dyDescent="0.25">
      <c r="A193" t="s">
        <v>190</v>
      </c>
      <c r="B193" s="395" t="s">
        <v>60</v>
      </c>
      <c r="C193">
        <v>2</v>
      </c>
      <c r="D193">
        <v>4</v>
      </c>
      <c r="F193">
        <f t="shared" si="5"/>
        <v>6</v>
      </c>
    </row>
    <row r="194" spans="1:6" x14ac:dyDescent="0.25">
      <c r="A194" t="s">
        <v>191</v>
      </c>
      <c r="B194" s="395" t="s">
        <v>31</v>
      </c>
      <c r="C194">
        <v>3</v>
      </c>
      <c r="D194">
        <v>1</v>
      </c>
      <c r="F194">
        <f>SUM(C194:E194)</f>
        <v>4</v>
      </c>
    </row>
    <row r="195" spans="1:6" x14ac:dyDescent="0.25">
      <c r="A195" t="s">
        <v>191</v>
      </c>
      <c r="B195" s="395" t="s">
        <v>32</v>
      </c>
      <c r="C195">
        <v>1</v>
      </c>
      <c r="D195">
        <v>23</v>
      </c>
      <c r="F195">
        <f t="shared" ref="F195:F225" si="6">SUM(C195:E195)</f>
        <v>24</v>
      </c>
    </row>
    <row r="196" spans="1:6" x14ac:dyDescent="0.25">
      <c r="A196" t="s">
        <v>191</v>
      </c>
      <c r="B196" s="395" t="s">
        <v>33</v>
      </c>
      <c r="C196">
        <v>1</v>
      </c>
      <c r="D196">
        <v>5</v>
      </c>
      <c r="F196">
        <f t="shared" si="6"/>
        <v>6</v>
      </c>
    </row>
    <row r="197" spans="1:6" x14ac:dyDescent="0.25">
      <c r="A197" t="s">
        <v>191</v>
      </c>
      <c r="B197" s="395" t="s">
        <v>34</v>
      </c>
      <c r="C197">
        <v>2</v>
      </c>
      <c r="D197">
        <v>12</v>
      </c>
      <c r="E197">
        <v>25</v>
      </c>
      <c r="F197">
        <f t="shared" si="6"/>
        <v>39</v>
      </c>
    </row>
    <row r="198" spans="1:6" x14ac:dyDescent="0.25">
      <c r="A198" t="s">
        <v>191</v>
      </c>
      <c r="B198" s="395" t="s">
        <v>243</v>
      </c>
      <c r="C198">
        <v>7</v>
      </c>
      <c r="D198">
        <v>1</v>
      </c>
      <c r="F198">
        <f t="shared" si="6"/>
        <v>8</v>
      </c>
    </row>
    <row r="199" spans="1:6" x14ac:dyDescent="0.25">
      <c r="A199" t="s">
        <v>191</v>
      </c>
      <c r="B199" s="395" t="s">
        <v>35</v>
      </c>
      <c r="C199">
        <v>1</v>
      </c>
      <c r="D199">
        <v>1</v>
      </c>
      <c r="F199">
        <f t="shared" si="6"/>
        <v>2</v>
      </c>
    </row>
    <row r="200" spans="1:6" x14ac:dyDescent="0.25">
      <c r="A200" t="s">
        <v>191</v>
      </c>
      <c r="B200" s="395" t="s">
        <v>36</v>
      </c>
      <c r="C200">
        <v>1</v>
      </c>
      <c r="D200">
        <v>15</v>
      </c>
      <c r="E200">
        <v>1</v>
      </c>
      <c r="F200">
        <f t="shared" si="6"/>
        <v>17</v>
      </c>
    </row>
    <row r="201" spans="1:6" x14ac:dyDescent="0.25">
      <c r="A201" t="s">
        <v>191</v>
      </c>
      <c r="B201" s="395" t="s">
        <v>37</v>
      </c>
      <c r="C201">
        <v>4</v>
      </c>
      <c r="F201">
        <f t="shared" si="6"/>
        <v>4</v>
      </c>
    </row>
    <row r="202" spans="1:6" x14ac:dyDescent="0.25">
      <c r="A202" t="s">
        <v>191</v>
      </c>
      <c r="B202" s="395" t="s">
        <v>38</v>
      </c>
      <c r="C202">
        <v>1</v>
      </c>
      <c r="D202">
        <v>7</v>
      </c>
      <c r="F202">
        <f t="shared" si="6"/>
        <v>8</v>
      </c>
    </row>
    <row r="203" spans="1:6" x14ac:dyDescent="0.25">
      <c r="A203" t="s">
        <v>191</v>
      </c>
      <c r="B203" s="395" t="s">
        <v>39</v>
      </c>
      <c r="C203">
        <v>3</v>
      </c>
      <c r="F203">
        <f t="shared" si="6"/>
        <v>3</v>
      </c>
    </row>
    <row r="204" spans="1:6" x14ac:dyDescent="0.25">
      <c r="A204" t="s">
        <v>191</v>
      </c>
      <c r="B204" s="395" t="s">
        <v>40</v>
      </c>
      <c r="C204">
        <v>1</v>
      </c>
      <c r="D204">
        <v>5</v>
      </c>
      <c r="F204">
        <f t="shared" si="6"/>
        <v>6</v>
      </c>
    </row>
    <row r="205" spans="1:6" x14ac:dyDescent="0.25">
      <c r="A205" t="s">
        <v>191</v>
      </c>
      <c r="B205" s="395" t="s">
        <v>41</v>
      </c>
      <c r="C205">
        <v>2</v>
      </c>
      <c r="F205">
        <f t="shared" si="6"/>
        <v>2</v>
      </c>
    </row>
    <row r="206" spans="1:6" x14ac:dyDescent="0.25">
      <c r="A206" t="s">
        <v>191</v>
      </c>
      <c r="B206" s="395" t="s">
        <v>42</v>
      </c>
      <c r="C206">
        <v>3</v>
      </c>
      <c r="D206">
        <v>2</v>
      </c>
      <c r="F206">
        <f t="shared" si="6"/>
        <v>5</v>
      </c>
    </row>
    <row r="207" spans="1:6" x14ac:dyDescent="0.25">
      <c r="A207" t="s">
        <v>191</v>
      </c>
      <c r="B207" s="395" t="s">
        <v>43</v>
      </c>
      <c r="C207">
        <v>5</v>
      </c>
      <c r="D207">
        <v>8</v>
      </c>
      <c r="F207">
        <f t="shared" si="6"/>
        <v>13</v>
      </c>
    </row>
    <row r="208" spans="1:6" x14ac:dyDescent="0.25">
      <c r="A208" t="s">
        <v>191</v>
      </c>
      <c r="B208" s="395" t="s">
        <v>117</v>
      </c>
      <c r="C208">
        <v>11</v>
      </c>
      <c r="F208">
        <f t="shared" si="6"/>
        <v>11</v>
      </c>
    </row>
    <row r="209" spans="1:6" x14ac:dyDescent="0.25">
      <c r="A209" t="s">
        <v>191</v>
      </c>
      <c r="B209" s="395" t="s">
        <v>44</v>
      </c>
      <c r="C209">
        <v>1</v>
      </c>
      <c r="D209">
        <v>51</v>
      </c>
      <c r="E209">
        <v>9</v>
      </c>
      <c r="F209">
        <f t="shared" si="6"/>
        <v>61</v>
      </c>
    </row>
    <row r="210" spans="1:6" x14ac:dyDescent="0.25">
      <c r="A210" t="s">
        <v>191</v>
      </c>
      <c r="B210" s="395" t="s">
        <v>45</v>
      </c>
      <c r="C210">
        <v>2</v>
      </c>
      <c r="D210">
        <v>1</v>
      </c>
      <c r="F210">
        <f t="shared" si="6"/>
        <v>3</v>
      </c>
    </row>
    <row r="211" spans="1:6" x14ac:dyDescent="0.25">
      <c r="A211" t="s">
        <v>191</v>
      </c>
      <c r="B211" s="395" t="s">
        <v>46</v>
      </c>
      <c r="C211">
        <v>1</v>
      </c>
      <c r="D211">
        <v>1</v>
      </c>
      <c r="F211">
        <f t="shared" si="6"/>
        <v>2</v>
      </c>
    </row>
    <row r="212" spans="1:6" x14ac:dyDescent="0.25">
      <c r="A212" t="s">
        <v>191</v>
      </c>
      <c r="B212" s="395" t="s">
        <v>47</v>
      </c>
      <c r="C212">
        <v>1</v>
      </c>
      <c r="D212">
        <v>10</v>
      </c>
      <c r="E212">
        <v>1</v>
      </c>
      <c r="F212">
        <f t="shared" si="6"/>
        <v>12</v>
      </c>
    </row>
    <row r="213" spans="1:6" x14ac:dyDescent="0.25">
      <c r="A213" t="s">
        <v>191</v>
      </c>
      <c r="B213" s="395" t="s">
        <v>48</v>
      </c>
      <c r="D213">
        <v>14</v>
      </c>
      <c r="F213">
        <f t="shared" si="6"/>
        <v>14</v>
      </c>
    </row>
    <row r="214" spans="1:6" x14ac:dyDescent="0.25">
      <c r="A214" t="s">
        <v>191</v>
      </c>
      <c r="B214" s="395" t="s">
        <v>49</v>
      </c>
      <c r="C214">
        <v>3</v>
      </c>
      <c r="D214">
        <v>8</v>
      </c>
      <c r="E214">
        <v>3</v>
      </c>
      <c r="F214">
        <f t="shared" si="6"/>
        <v>14</v>
      </c>
    </row>
    <row r="215" spans="1:6" x14ac:dyDescent="0.25">
      <c r="A215" t="s">
        <v>191</v>
      </c>
      <c r="B215" s="395" t="s">
        <v>50</v>
      </c>
      <c r="C215">
        <v>4</v>
      </c>
      <c r="D215">
        <v>3</v>
      </c>
      <c r="F215">
        <f t="shared" si="6"/>
        <v>7</v>
      </c>
    </row>
    <row r="216" spans="1:6" x14ac:dyDescent="0.25">
      <c r="A216" t="s">
        <v>191</v>
      </c>
      <c r="B216" s="395" t="s">
        <v>51</v>
      </c>
      <c r="D216">
        <v>12</v>
      </c>
      <c r="F216">
        <f t="shared" si="6"/>
        <v>12</v>
      </c>
    </row>
    <row r="217" spans="1:6" x14ac:dyDescent="0.25">
      <c r="A217" t="s">
        <v>191</v>
      </c>
      <c r="B217" s="395" t="s">
        <v>52</v>
      </c>
      <c r="C217">
        <v>1</v>
      </c>
      <c r="D217">
        <v>10</v>
      </c>
      <c r="E217">
        <v>3</v>
      </c>
      <c r="F217">
        <f t="shared" si="6"/>
        <v>14</v>
      </c>
    </row>
    <row r="218" spans="1:6" x14ac:dyDescent="0.25">
      <c r="A218" t="s">
        <v>191</v>
      </c>
      <c r="B218" s="395" t="s">
        <v>53</v>
      </c>
      <c r="C218">
        <v>3</v>
      </c>
      <c r="F218">
        <f t="shared" si="6"/>
        <v>3</v>
      </c>
    </row>
    <row r="219" spans="1:6" x14ac:dyDescent="0.25">
      <c r="A219" t="s">
        <v>191</v>
      </c>
      <c r="B219" s="395" t="s">
        <v>54</v>
      </c>
      <c r="C219">
        <v>2</v>
      </c>
      <c r="D219">
        <v>11</v>
      </c>
      <c r="F219">
        <f t="shared" si="6"/>
        <v>13</v>
      </c>
    </row>
    <row r="220" spans="1:6" x14ac:dyDescent="0.25">
      <c r="A220" t="s">
        <v>191</v>
      </c>
      <c r="B220" s="395" t="s">
        <v>55</v>
      </c>
      <c r="D220">
        <v>14</v>
      </c>
      <c r="F220">
        <f t="shared" si="6"/>
        <v>14</v>
      </c>
    </row>
    <row r="221" spans="1:6" x14ac:dyDescent="0.25">
      <c r="A221" t="s">
        <v>191</v>
      </c>
      <c r="B221" s="395" t="s">
        <v>56</v>
      </c>
      <c r="C221">
        <v>1</v>
      </c>
      <c r="D221">
        <v>4</v>
      </c>
      <c r="F221">
        <f t="shared" si="6"/>
        <v>5</v>
      </c>
    </row>
    <row r="222" spans="1:6" x14ac:dyDescent="0.25">
      <c r="A222" t="s">
        <v>191</v>
      </c>
      <c r="B222" s="395" t="s">
        <v>57</v>
      </c>
      <c r="C222">
        <v>4</v>
      </c>
      <c r="D222">
        <v>7</v>
      </c>
      <c r="E222">
        <v>1</v>
      </c>
      <c r="F222">
        <f t="shared" si="6"/>
        <v>12</v>
      </c>
    </row>
    <row r="223" spans="1:6" x14ac:dyDescent="0.25">
      <c r="A223" t="s">
        <v>191</v>
      </c>
      <c r="B223" s="395" t="s">
        <v>58</v>
      </c>
      <c r="C223">
        <v>1</v>
      </c>
      <c r="D223">
        <v>9</v>
      </c>
      <c r="F223">
        <f t="shared" si="6"/>
        <v>10</v>
      </c>
    </row>
    <row r="224" spans="1:6" x14ac:dyDescent="0.25">
      <c r="A224" t="s">
        <v>191</v>
      </c>
      <c r="B224" s="395" t="s">
        <v>59</v>
      </c>
      <c r="C224">
        <v>2</v>
      </c>
      <c r="D224">
        <v>1</v>
      </c>
      <c r="F224">
        <f t="shared" si="6"/>
        <v>3</v>
      </c>
    </row>
    <row r="225" spans="1:6" x14ac:dyDescent="0.25">
      <c r="A225" t="s">
        <v>191</v>
      </c>
      <c r="B225" s="395" t="s">
        <v>60</v>
      </c>
      <c r="C225">
        <v>2</v>
      </c>
      <c r="D225">
        <v>4</v>
      </c>
      <c r="F225">
        <f t="shared" si="6"/>
        <v>6</v>
      </c>
    </row>
    <row r="226" spans="1:6" x14ac:dyDescent="0.25">
      <c r="A226" t="s">
        <v>1010</v>
      </c>
      <c r="B226" s="395" t="s">
        <v>31</v>
      </c>
      <c r="C226">
        <v>3</v>
      </c>
      <c r="D226">
        <v>1</v>
      </c>
      <c r="F226">
        <f>SUM(C226:E226)</f>
        <v>4</v>
      </c>
    </row>
    <row r="227" spans="1:6" x14ac:dyDescent="0.25">
      <c r="A227" t="s">
        <v>1010</v>
      </c>
      <c r="B227" s="395" t="s">
        <v>32</v>
      </c>
      <c r="C227">
        <v>1</v>
      </c>
      <c r="D227">
        <v>23</v>
      </c>
      <c r="F227">
        <f t="shared" ref="F227:F257" si="7">SUM(C227:E227)</f>
        <v>24</v>
      </c>
    </row>
    <row r="228" spans="1:6" x14ac:dyDescent="0.25">
      <c r="A228" t="s">
        <v>1010</v>
      </c>
      <c r="B228" s="395" t="s">
        <v>33</v>
      </c>
      <c r="C228">
        <v>1</v>
      </c>
      <c r="D228">
        <v>5</v>
      </c>
      <c r="F228">
        <f t="shared" si="7"/>
        <v>6</v>
      </c>
    </row>
    <row r="229" spans="1:6" x14ac:dyDescent="0.25">
      <c r="A229" t="s">
        <v>1010</v>
      </c>
      <c r="B229" s="395" t="s">
        <v>34</v>
      </c>
      <c r="C229">
        <v>2</v>
      </c>
      <c r="D229">
        <v>12</v>
      </c>
      <c r="E229">
        <v>25</v>
      </c>
      <c r="F229">
        <f t="shared" si="7"/>
        <v>39</v>
      </c>
    </row>
    <row r="230" spans="1:6" x14ac:dyDescent="0.25">
      <c r="A230" t="s">
        <v>1010</v>
      </c>
      <c r="B230" s="395" t="s">
        <v>243</v>
      </c>
      <c r="C230">
        <v>7</v>
      </c>
      <c r="D230">
        <v>1</v>
      </c>
      <c r="F230">
        <f t="shared" si="7"/>
        <v>8</v>
      </c>
    </row>
    <row r="231" spans="1:6" x14ac:dyDescent="0.25">
      <c r="A231" t="s">
        <v>1010</v>
      </c>
      <c r="B231" s="395" t="s">
        <v>35</v>
      </c>
      <c r="C231">
        <v>1</v>
      </c>
      <c r="D231">
        <v>1</v>
      </c>
      <c r="F231">
        <f t="shared" si="7"/>
        <v>2</v>
      </c>
    </row>
    <row r="232" spans="1:6" x14ac:dyDescent="0.25">
      <c r="A232" t="s">
        <v>1010</v>
      </c>
      <c r="B232" s="395" t="s">
        <v>36</v>
      </c>
      <c r="C232">
        <v>1</v>
      </c>
      <c r="D232">
        <v>15</v>
      </c>
      <c r="E232">
        <v>1</v>
      </c>
      <c r="F232">
        <f t="shared" si="7"/>
        <v>17</v>
      </c>
    </row>
    <row r="233" spans="1:6" x14ac:dyDescent="0.25">
      <c r="A233" t="s">
        <v>1010</v>
      </c>
      <c r="B233" s="395" t="s">
        <v>37</v>
      </c>
      <c r="C233">
        <v>4</v>
      </c>
      <c r="F233">
        <f t="shared" si="7"/>
        <v>4</v>
      </c>
    </row>
    <row r="234" spans="1:6" x14ac:dyDescent="0.25">
      <c r="A234" t="s">
        <v>1010</v>
      </c>
      <c r="B234" s="395" t="s">
        <v>38</v>
      </c>
      <c r="C234">
        <v>1</v>
      </c>
      <c r="D234">
        <v>7</v>
      </c>
      <c r="F234">
        <f t="shared" si="7"/>
        <v>8</v>
      </c>
    </row>
    <row r="235" spans="1:6" x14ac:dyDescent="0.25">
      <c r="A235" t="s">
        <v>1010</v>
      </c>
      <c r="B235" s="395" t="s">
        <v>39</v>
      </c>
      <c r="C235">
        <v>3</v>
      </c>
      <c r="F235">
        <f t="shared" si="7"/>
        <v>3</v>
      </c>
    </row>
    <row r="236" spans="1:6" x14ac:dyDescent="0.25">
      <c r="A236" t="s">
        <v>1010</v>
      </c>
      <c r="B236" s="395" t="s">
        <v>40</v>
      </c>
      <c r="C236">
        <v>1</v>
      </c>
      <c r="D236">
        <v>5</v>
      </c>
      <c r="F236">
        <f t="shared" si="7"/>
        <v>6</v>
      </c>
    </row>
    <row r="237" spans="1:6" x14ac:dyDescent="0.25">
      <c r="A237" t="s">
        <v>1010</v>
      </c>
      <c r="B237" s="395" t="s">
        <v>41</v>
      </c>
      <c r="C237">
        <v>2</v>
      </c>
      <c r="F237">
        <f t="shared" si="7"/>
        <v>2</v>
      </c>
    </row>
    <row r="238" spans="1:6" x14ac:dyDescent="0.25">
      <c r="A238" t="s">
        <v>1010</v>
      </c>
      <c r="B238" s="395" t="s">
        <v>42</v>
      </c>
      <c r="C238">
        <v>3</v>
      </c>
      <c r="D238">
        <v>2</v>
      </c>
      <c r="F238">
        <f t="shared" si="7"/>
        <v>5</v>
      </c>
    </row>
    <row r="239" spans="1:6" x14ac:dyDescent="0.25">
      <c r="A239" t="s">
        <v>1010</v>
      </c>
      <c r="B239" s="395" t="s">
        <v>43</v>
      </c>
      <c r="C239">
        <v>5</v>
      </c>
      <c r="D239">
        <v>8</v>
      </c>
      <c r="F239">
        <f t="shared" si="7"/>
        <v>13</v>
      </c>
    </row>
    <row r="240" spans="1:6" x14ac:dyDescent="0.25">
      <c r="A240" t="s">
        <v>1010</v>
      </c>
      <c r="B240" s="395" t="s">
        <v>117</v>
      </c>
      <c r="C240">
        <v>11</v>
      </c>
      <c r="F240">
        <f t="shared" si="7"/>
        <v>11</v>
      </c>
    </row>
    <row r="241" spans="1:6" x14ac:dyDescent="0.25">
      <c r="A241" t="s">
        <v>1010</v>
      </c>
      <c r="B241" s="395" t="s">
        <v>44</v>
      </c>
      <c r="C241">
        <v>1</v>
      </c>
      <c r="D241">
        <v>51</v>
      </c>
      <c r="E241">
        <v>9</v>
      </c>
      <c r="F241">
        <f t="shared" si="7"/>
        <v>61</v>
      </c>
    </row>
    <row r="242" spans="1:6" x14ac:dyDescent="0.25">
      <c r="A242" t="s">
        <v>1010</v>
      </c>
      <c r="B242" s="395" t="s">
        <v>45</v>
      </c>
      <c r="C242">
        <v>2</v>
      </c>
      <c r="D242">
        <v>1</v>
      </c>
      <c r="F242">
        <f t="shared" si="7"/>
        <v>3</v>
      </c>
    </row>
    <row r="243" spans="1:6" x14ac:dyDescent="0.25">
      <c r="A243" t="s">
        <v>1010</v>
      </c>
      <c r="B243" s="395" t="s">
        <v>46</v>
      </c>
      <c r="C243">
        <v>1</v>
      </c>
      <c r="D243">
        <v>1</v>
      </c>
      <c r="F243">
        <f t="shared" si="7"/>
        <v>2</v>
      </c>
    </row>
    <row r="244" spans="1:6" x14ac:dyDescent="0.25">
      <c r="A244" t="s">
        <v>1010</v>
      </c>
      <c r="B244" s="395" t="s">
        <v>47</v>
      </c>
      <c r="C244">
        <v>1</v>
      </c>
      <c r="D244">
        <v>10</v>
      </c>
      <c r="E244">
        <v>1</v>
      </c>
      <c r="F244">
        <f t="shared" si="7"/>
        <v>12</v>
      </c>
    </row>
    <row r="245" spans="1:6" x14ac:dyDescent="0.25">
      <c r="A245" t="s">
        <v>1010</v>
      </c>
      <c r="B245" s="395" t="s">
        <v>48</v>
      </c>
      <c r="D245">
        <v>14</v>
      </c>
      <c r="F245">
        <f t="shared" si="7"/>
        <v>14</v>
      </c>
    </row>
    <row r="246" spans="1:6" x14ac:dyDescent="0.25">
      <c r="A246" t="s">
        <v>1010</v>
      </c>
      <c r="B246" s="395" t="s">
        <v>49</v>
      </c>
      <c r="C246">
        <v>3</v>
      </c>
      <c r="D246">
        <v>8</v>
      </c>
      <c r="E246">
        <v>3</v>
      </c>
      <c r="F246">
        <f t="shared" si="7"/>
        <v>14</v>
      </c>
    </row>
    <row r="247" spans="1:6" x14ac:dyDescent="0.25">
      <c r="A247" t="s">
        <v>1010</v>
      </c>
      <c r="B247" s="395" t="s">
        <v>50</v>
      </c>
      <c r="C247">
        <v>4</v>
      </c>
      <c r="D247">
        <v>3</v>
      </c>
      <c r="F247">
        <f t="shared" si="7"/>
        <v>7</v>
      </c>
    </row>
    <row r="248" spans="1:6" x14ac:dyDescent="0.25">
      <c r="A248" t="s">
        <v>1010</v>
      </c>
      <c r="B248" s="395" t="s">
        <v>51</v>
      </c>
      <c r="D248">
        <v>12</v>
      </c>
      <c r="F248">
        <f t="shared" si="7"/>
        <v>12</v>
      </c>
    </row>
    <row r="249" spans="1:6" x14ac:dyDescent="0.25">
      <c r="A249" t="s">
        <v>1010</v>
      </c>
      <c r="B249" s="395" t="s">
        <v>52</v>
      </c>
      <c r="C249">
        <v>1</v>
      </c>
      <c r="D249">
        <v>10</v>
      </c>
      <c r="E249">
        <v>3</v>
      </c>
      <c r="F249">
        <f t="shared" si="7"/>
        <v>14</v>
      </c>
    </row>
    <row r="250" spans="1:6" x14ac:dyDescent="0.25">
      <c r="A250" t="s">
        <v>1010</v>
      </c>
      <c r="B250" s="395" t="s">
        <v>53</v>
      </c>
      <c r="C250">
        <v>3</v>
      </c>
      <c r="F250">
        <f t="shared" si="7"/>
        <v>3</v>
      </c>
    </row>
    <row r="251" spans="1:6" x14ac:dyDescent="0.25">
      <c r="A251" t="s">
        <v>1010</v>
      </c>
      <c r="B251" s="395" t="s">
        <v>54</v>
      </c>
      <c r="C251">
        <v>2</v>
      </c>
      <c r="D251">
        <v>11</v>
      </c>
      <c r="F251">
        <f t="shared" si="7"/>
        <v>13</v>
      </c>
    </row>
    <row r="252" spans="1:6" x14ac:dyDescent="0.25">
      <c r="A252" t="s">
        <v>1010</v>
      </c>
      <c r="B252" s="395" t="s">
        <v>55</v>
      </c>
      <c r="D252">
        <v>14</v>
      </c>
      <c r="F252">
        <f t="shared" si="7"/>
        <v>14</v>
      </c>
    </row>
    <row r="253" spans="1:6" x14ac:dyDescent="0.25">
      <c r="A253" t="s">
        <v>1010</v>
      </c>
      <c r="B253" s="395" t="s">
        <v>56</v>
      </c>
      <c r="C253">
        <v>1</v>
      </c>
      <c r="D253">
        <v>4</v>
      </c>
      <c r="F253">
        <f t="shared" si="7"/>
        <v>5</v>
      </c>
    </row>
    <row r="254" spans="1:6" x14ac:dyDescent="0.25">
      <c r="A254" t="s">
        <v>1010</v>
      </c>
      <c r="B254" s="395" t="s">
        <v>57</v>
      </c>
      <c r="C254">
        <v>4</v>
      </c>
      <c r="D254">
        <v>7</v>
      </c>
      <c r="E254">
        <v>1</v>
      </c>
      <c r="F254">
        <f t="shared" si="7"/>
        <v>12</v>
      </c>
    </row>
    <row r="255" spans="1:6" x14ac:dyDescent="0.25">
      <c r="A255" t="s">
        <v>1010</v>
      </c>
      <c r="B255" s="395" t="s">
        <v>58</v>
      </c>
      <c r="C255">
        <v>1</v>
      </c>
      <c r="D255">
        <v>9</v>
      </c>
      <c r="F255">
        <f t="shared" si="7"/>
        <v>10</v>
      </c>
    </row>
    <row r="256" spans="1:6" x14ac:dyDescent="0.25">
      <c r="A256" t="s">
        <v>1010</v>
      </c>
      <c r="B256" s="395" t="s">
        <v>59</v>
      </c>
      <c r="C256">
        <v>2</v>
      </c>
      <c r="D256">
        <v>1</v>
      </c>
      <c r="F256">
        <f t="shared" si="7"/>
        <v>3</v>
      </c>
    </row>
    <row r="257" spans="1:6" x14ac:dyDescent="0.25">
      <c r="A257" t="s">
        <v>1010</v>
      </c>
      <c r="B257" s="395" t="s">
        <v>60</v>
      </c>
      <c r="C257">
        <v>2</v>
      </c>
      <c r="D257">
        <v>4</v>
      </c>
      <c r="F257">
        <f t="shared" si="7"/>
        <v>6</v>
      </c>
    </row>
    <row r="258" spans="1:6" x14ac:dyDescent="0.25">
      <c r="A258" t="s">
        <v>1061</v>
      </c>
      <c r="B258" s="395" t="s">
        <v>31</v>
      </c>
      <c r="C258">
        <v>3</v>
      </c>
      <c r="D258">
        <v>1</v>
      </c>
      <c r="F258">
        <f>SUM(C258:E258)</f>
        <v>4</v>
      </c>
    </row>
    <row r="259" spans="1:6" x14ac:dyDescent="0.25">
      <c r="A259" t="s">
        <v>1061</v>
      </c>
      <c r="B259" s="395" t="s">
        <v>32</v>
      </c>
      <c r="C259">
        <v>1</v>
      </c>
      <c r="D259">
        <v>23</v>
      </c>
      <c r="F259">
        <f t="shared" ref="F259:F289" si="8">SUM(C259:E259)</f>
        <v>24</v>
      </c>
    </row>
    <row r="260" spans="1:6" x14ac:dyDescent="0.25">
      <c r="A260" t="s">
        <v>1061</v>
      </c>
      <c r="B260" s="395" t="s">
        <v>33</v>
      </c>
      <c r="C260">
        <v>1</v>
      </c>
      <c r="D260">
        <v>5</v>
      </c>
      <c r="F260">
        <f t="shared" si="8"/>
        <v>6</v>
      </c>
    </row>
    <row r="261" spans="1:6" x14ac:dyDescent="0.25">
      <c r="A261" t="s">
        <v>1061</v>
      </c>
      <c r="B261" s="395" t="s">
        <v>34</v>
      </c>
      <c r="C261">
        <v>2</v>
      </c>
      <c r="D261">
        <v>12</v>
      </c>
      <c r="E261">
        <v>25</v>
      </c>
      <c r="F261">
        <f t="shared" si="8"/>
        <v>39</v>
      </c>
    </row>
    <row r="262" spans="1:6" x14ac:dyDescent="0.25">
      <c r="A262" t="s">
        <v>1061</v>
      </c>
      <c r="B262" s="395" t="s">
        <v>243</v>
      </c>
      <c r="C262">
        <v>7</v>
      </c>
      <c r="D262">
        <v>1</v>
      </c>
      <c r="F262">
        <f t="shared" si="8"/>
        <v>8</v>
      </c>
    </row>
    <row r="263" spans="1:6" x14ac:dyDescent="0.25">
      <c r="A263" t="s">
        <v>1061</v>
      </c>
      <c r="B263" s="395" t="s">
        <v>35</v>
      </c>
      <c r="C263">
        <v>1</v>
      </c>
      <c r="D263">
        <v>1</v>
      </c>
      <c r="F263">
        <f t="shared" si="8"/>
        <v>2</v>
      </c>
    </row>
    <row r="264" spans="1:6" x14ac:dyDescent="0.25">
      <c r="A264" t="s">
        <v>1061</v>
      </c>
      <c r="B264" s="395" t="s">
        <v>36</v>
      </c>
      <c r="C264">
        <v>1</v>
      </c>
      <c r="D264">
        <v>15</v>
      </c>
      <c r="E264">
        <v>1</v>
      </c>
      <c r="F264">
        <f t="shared" si="8"/>
        <v>17</v>
      </c>
    </row>
    <row r="265" spans="1:6" x14ac:dyDescent="0.25">
      <c r="A265" t="s">
        <v>1061</v>
      </c>
      <c r="B265" s="395" t="s">
        <v>37</v>
      </c>
      <c r="C265">
        <v>4</v>
      </c>
      <c r="F265">
        <f t="shared" si="8"/>
        <v>4</v>
      </c>
    </row>
    <row r="266" spans="1:6" x14ac:dyDescent="0.25">
      <c r="A266" t="s">
        <v>1061</v>
      </c>
      <c r="B266" s="395" t="s">
        <v>38</v>
      </c>
      <c r="C266">
        <v>1</v>
      </c>
      <c r="D266">
        <v>7</v>
      </c>
      <c r="F266">
        <f t="shared" si="8"/>
        <v>8</v>
      </c>
    </row>
    <row r="267" spans="1:6" x14ac:dyDescent="0.25">
      <c r="A267" t="s">
        <v>1061</v>
      </c>
      <c r="B267" s="395" t="s">
        <v>39</v>
      </c>
      <c r="C267">
        <v>3</v>
      </c>
      <c r="F267">
        <f t="shared" si="8"/>
        <v>3</v>
      </c>
    </row>
    <row r="268" spans="1:6" x14ac:dyDescent="0.25">
      <c r="A268" t="s">
        <v>1061</v>
      </c>
      <c r="B268" s="395" t="s">
        <v>40</v>
      </c>
      <c r="C268">
        <v>1</v>
      </c>
      <c r="D268">
        <v>5</v>
      </c>
      <c r="F268">
        <f t="shared" si="8"/>
        <v>6</v>
      </c>
    </row>
    <row r="269" spans="1:6" x14ac:dyDescent="0.25">
      <c r="A269" t="s">
        <v>1061</v>
      </c>
      <c r="B269" s="395" t="s">
        <v>41</v>
      </c>
      <c r="C269">
        <v>2</v>
      </c>
      <c r="F269">
        <f t="shared" si="8"/>
        <v>2</v>
      </c>
    </row>
    <row r="270" spans="1:6" x14ac:dyDescent="0.25">
      <c r="A270" t="s">
        <v>1061</v>
      </c>
      <c r="B270" s="395" t="s">
        <v>42</v>
      </c>
      <c r="C270">
        <v>3</v>
      </c>
      <c r="D270">
        <v>2</v>
      </c>
      <c r="F270">
        <f t="shared" si="8"/>
        <v>5</v>
      </c>
    </row>
    <row r="271" spans="1:6" x14ac:dyDescent="0.25">
      <c r="A271" t="s">
        <v>1061</v>
      </c>
      <c r="B271" s="395" t="s">
        <v>43</v>
      </c>
      <c r="C271">
        <v>5</v>
      </c>
      <c r="D271">
        <v>8</v>
      </c>
      <c r="F271">
        <f t="shared" si="8"/>
        <v>13</v>
      </c>
    </row>
    <row r="272" spans="1:6" x14ac:dyDescent="0.25">
      <c r="A272" t="s">
        <v>1061</v>
      </c>
      <c r="B272" s="395" t="s">
        <v>117</v>
      </c>
      <c r="C272">
        <v>11</v>
      </c>
      <c r="F272">
        <f t="shared" si="8"/>
        <v>11</v>
      </c>
    </row>
    <row r="273" spans="1:6" x14ac:dyDescent="0.25">
      <c r="A273" t="s">
        <v>1061</v>
      </c>
      <c r="B273" s="395" t="s">
        <v>44</v>
      </c>
      <c r="C273">
        <v>1</v>
      </c>
      <c r="D273">
        <v>51</v>
      </c>
      <c r="E273">
        <v>9</v>
      </c>
      <c r="F273">
        <f t="shared" si="8"/>
        <v>61</v>
      </c>
    </row>
    <row r="274" spans="1:6" x14ac:dyDescent="0.25">
      <c r="A274" t="s">
        <v>1061</v>
      </c>
      <c r="B274" s="395" t="s">
        <v>45</v>
      </c>
      <c r="C274">
        <v>2</v>
      </c>
      <c r="D274">
        <v>1</v>
      </c>
      <c r="F274">
        <f t="shared" si="8"/>
        <v>3</v>
      </c>
    </row>
    <row r="275" spans="1:6" x14ac:dyDescent="0.25">
      <c r="A275" t="s">
        <v>1061</v>
      </c>
      <c r="B275" s="395" t="s">
        <v>46</v>
      </c>
      <c r="C275">
        <v>1</v>
      </c>
      <c r="D275">
        <v>1</v>
      </c>
      <c r="F275">
        <f t="shared" si="8"/>
        <v>2</v>
      </c>
    </row>
    <row r="276" spans="1:6" x14ac:dyDescent="0.25">
      <c r="A276" t="s">
        <v>1061</v>
      </c>
      <c r="B276" s="395" t="s">
        <v>47</v>
      </c>
      <c r="C276">
        <v>1</v>
      </c>
      <c r="D276">
        <v>10</v>
      </c>
      <c r="E276">
        <v>1</v>
      </c>
      <c r="F276">
        <f t="shared" si="8"/>
        <v>12</v>
      </c>
    </row>
    <row r="277" spans="1:6" x14ac:dyDescent="0.25">
      <c r="A277" t="s">
        <v>1061</v>
      </c>
      <c r="B277" s="395" t="s">
        <v>48</v>
      </c>
      <c r="D277">
        <v>14</v>
      </c>
      <c r="F277">
        <f t="shared" si="8"/>
        <v>14</v>
      </c>
    </row>
    <row r="278" spans="1:6" x14ac:dyDescent="0.25">
      <c r="A278" t="s">
        <v>1061</v>
      </c>
      <c r="B278" s="395" t="s">
        <v>49</v>
      </c>
      <c r="C278">
        <v>3</v>
      </c>
      <c r="D278">
        <v>8</v>
      </c>
      <c r="E278">
        <v>3</v>
      </c>
      <c r="F278">
        <f t="shared" si="8"/>
        <v>14</v>
      </c>
    </row>
    <row r="279" spans="1:6" x14ac:dyDescent="0.25">
      <c r="A279" t="s">
        <v>1061</v>
      </c>
      <c r="B279" s="395" t="s">
        <v>50</v>
      </c>
      <c r="C279">
        <v>4</v>
      </c>
      <c r="D279">
        <v>3</v>
      </c>
      <c r="F279">
        <f t="shared" si="8"/>
        <v>7</v>
      </c>
    </row>
    <row r="280" spans="1:6" x14ac:dyDescent="0.25">
      <c r="A280" t="s">
        <v>1061</v>
      </c>
      <c r="B280" s="395" t="s">
        <v>51</v>
      </c>
      <c r="D280">
        <v>12</v>
      </c>
      <c r="F280">
        <f t="shared" si="8"/>
        <v>12</v>
      </c>
    </row>
    <row r="281" spans="1:6" x14ac:dyDescent="0.25">
      <c r="A281" t="s">
        <v>1061</v>
      </c>
      <c r="B281" s="395" t="s">
        <v>52</v>
      </c>
      <c r="C281">
        <v>1</v>
      </c>
      <c r="D281">
        <v>10</v>
      </c>
      <c r="E281">
        <v>3</v>
      </c>
      <c r="F281">
        <f t="shared" si="8"/>
        <v>14</v>
      </c>
    </row>
    <row r="282" spans="1:6" x14ac:dyDescent="0.25">
      <c r="A282" t="s">
        <v>1061</v>
      </c>
      <c r="B282" s="395" t="s">
        <v>53</v>
      </c>
      <c r="C282">
        <v>3</v>
      </c>
      <c r="F282">
        <f t="shared" si="8"/>
        <v>3</v>
      </c>
    </row>
    <row r="283" spans="1:6" x14ac:dyDescent="0.25">
      <c r="A283" t="s">
        <v>1061</v>
      </c>
      <c r="B283" s="395" t="s">
        <v>54</v>
      </c>
      <c r="C283">
        <v>2</v>
      </c>
      <c r="D283">
        <v>11</v>
      </c>
      <c r="F283">
        <f t="shared" si="8"/>
        <v>13</v>
      </c>
    </row>
    <row r="284" spans="1:6" x14ac:dyDescent="0.25">
      <c r="A284" t="s">
        <v>1061</v>
      </c>
      <c r="B284" s="395" t="s">
        <v>55</v>
      </c>
      <c r="D284">
        <v>14</v>
      </c>
      <c r="F284">
        <f t="shared" si="8"/>
        <v>14</v>
      </c>
    </row>
    <row r="285" spans="1:6" x14ac:dyDescent="0.25">
      <c r="A285" t="s">
        <v>1061</v>
      </c>
      <c r="B285" s="395" t="s">
        <v>56</v>
      </c>
      <c r="C285">
        <v>1</v>
      </c>
      <c r="D285">
        <v>4</v>
      </c>
      <c r="F285">
        <f t="shared" si="8"/>
        <v>5</v>
      </c>
    </row>
    <row r="286" spans="1:6" x14ac:dyDescent="0.25">
      <c r="A286" t="s">
        <v>1061</v>
      </c>
      <c r="B286" s="395" t="s">
        <v>57</v>
      </c>
      <c r="C286">
        <v>4</v>
      </c>
      <c r="D286">
        <v>7</v>
      </c>
      <c r="E286">
        <v>1</v>
      </c>
      <c r="F286">
        <f t="shared" si="8"/>
        <v>12</v>
      </c>
    </row>
    <row r="287" spans="1:6" x14ac:dyDescent="0.25">
      <c r="A287" t="s">
        <v>1061</v>
      </c>
      <c r="B287" s="395" t="s">
        <v>58</v>
      </c>
      <c r="C287">
        <v>1</v>
      </c>
      <c r="D287">
        <v>9</v>
      </c>
      <c r="F287">
        <f t="shared" si="8"/>
        <v>10</v>
      </c>
    </row>
    <row r="288" spans="1:6" x14ac:dyDescent="0.25">
      <c r="A288" t="s">
        <v>1061</v>
      </c>
      <c r="B288" s="395" t="s">
        <v>59</v>
      </c>
      <c r="C288">
        <v>2</v>
      </c>
      <c r="D288">
        <v>1</v>
      </c>
      <c r="F288">
        <f t="shared" si="8"/>
        <v>3</v>
      </c>
    </row>
    <row r="289" spans="1:6" x14ac:dyDescent="0.25">
      <c r="A289" t="s">
        <v>1061</v>
      </c>
      <c r="B289" s="395" t="s">
        <v>60</v>
      </c>
      <c r="C289">
        <v>2</v>
      </c>
      <c r="D289">
        <v>4</v>
      </c>
      <c r="F289">
        <f t="shared" si="8"/>
        <v>6</v>
      </c>
    </row>
    <row r="290" spans="1:6" x14ac:dyDescent="0.25">
      <c r="A290" t="s">
        <v>1108</v>
      </c>
      <c r="B290" t="s">
        <v>31</v>
      </c>
      <c r="C290">
        <v>3</v>
      </c>
      <c r="D290">
        <v>1</v>
      </c>
      <c r="F290">
        <v>4</v>
      </c>
    </row>
    <row r="291" spans="1:6" x14ac:dyDescent="0.25">
      <c r="A291" t="s">
        <v>1108</v>
      </c>
      <c r="B291" t="s">
        <v>32</v>
      </c>
      <c r="C291">
        <v>1</v>
      </c>
      <c r="D291">
        <v>23</v>
      </c>
      <c r="F291">
        <v>24</v>
      </c>
    </row>
    <row r="292" spans="1:6" x14ac:dyDescent="0.25">
      <c r="A292" t="s">
        <v>1108</v>
      </c>
      <c r="B292" t="s">
        <v>33</v>
      </c>
      <c r="C292">
        <v>1</v>
      </c>
      <c r="D292">
        <v>5</v>
      </c>
      <c r="F292">
        <v>6</v>
      </c>
    </row>
    <row r="293" spans="1:6" x14ac:dyDescent="0.25">
      <c r="A293" t="s">
        <v>1108</v>
      </c>
      <c r="B293" t="s">
        <v>34</v>
      </c>
      <c r="C293">
        <v>2</v>
      </c>
      <c r="D293">
        <v>12</v>
      </c>
      <c r="E293">
        <v>25</v>
      </c>
      <c r="F293">
        <v>39</v>
      </c>
    </row>
    <row r="294" spans="1:6" x14ac:dyDescent="0.25">
      <c r="A294" t="s">
        <v>1108</v>
      </c>
      <c r="B294" t="s">
        <v>243</v>
      </c>
      <c r="C294">
        <v>7</v>
      </c>
      <c r="D294">
        <v>1</v>
      </c>
      <c r="F294">
        <v>8</v>
      </c>
    </row>
    <row r="295" spans="1:6" x14ac:dyDescent="0.25">
      <c r="A295" t="s">
        <v>1108</v>
      </c>
      <c r="B295" t="s">
        <v>35</v>
      </c>
      <c r="C295">
        <v>1</v>
      </c>
      <c r="D295">
        <v>1</v>
      </c>
      <c r="F295">
        <v>2</v>
      </c>
    </row>
    <row r="296" spans="1:6" x14ac:dyDescent="0.25">
      <c r="A296" t="s">
        <v>1108</v>
      </c>
      <c r="B296" t="s">
        <v>36</v>
      </c>
      <c r="C296">
        <v>1</v>
      </c>
      <c r="D296">
        <v>15</v>
      </c>
      <c r="E296">
        <v>1</v>
      </c>
      <c r="F296">
        <v>17</v>
      </c>
    </row>
    <row r="297" spans="1:6" x14ac:dyDescent="0.25">
      <c r="A297" t="s">
        <v>1108</v>
      </c>
      <c r="B297" t="s">
        <v>37</v>
      </c>
      <c r="C297">
        <v>4</v>
      </c>
      <c r="F297">
        <v>4</v>
      </c>
    </row>
    <row r="298" spans="1:6" x14ac:dyDescent="0.25">
      <c r="A298" t="s">
        <v>1108</v>
      </c>
      <c r="B298" t="s">
        <v>38</v>
      </c>
      <c r="C298">
        <v>1</v>
      </c>
      <c r="D298">
        <v>7</v>
      </c>
      <c r="F298">
        <v>8</v>
      </c>
    </row>
    <row r="299" spans="1:6" x14ac:dyDescent="0.25">
      <c r="A299" t="s">
        <v>1108</v>
      </c>
      <c r="B299" t="s">
        <v>39</v>
      </c>
      <c r="C299">
        <v>3</v>
      </c>
      <c r="F299">
        <v>3</v>
      </c>
    </row>
    <row r="300" spans="1:6" x14ac:dyDescent="0.25">
      <c r="A300" t="s">
        <v>1108</v>
      </c>
      <c r="B300" t="s">
        <v>40</v>
      </c>
      <c r="C300">
        <v>1</v>
      </c>
      <c r="D300">
        <v>5</v>
      </c>
      <c r="F300">
        <v>6</v>
      </c>
    </row>
    <row r="301" spans="1:6" x14ac:dyDescent="0.25">
      <c r="A301" t="s">
        <v>1108</v>
      </c>
      <c r="B301" t="s">
        <v>41</v>
      </c>
      <c r="C301">
        <v>2</v>
      </c>
      <c r="F301">
        <v>2</v>
      </c>
    </row>
    <row r="302" spans="1:6" x14ac:dyDescent="0.25">
      <c r="A302" t="s">
        <v>1108</v>
      </c>
      <c r="B302" t="s">
        <v>42</v>
      </c>
      <c r="C302">
        <v>3</v>
      </c>
      <c r="D302">
        <v>2</v>
      </c>
      <c r="F302">
        <v>5</v>
      </c>
    </row>
    <row r="303" spans="1:6" x14ac:dyDescent="0.25">
      <c r="A303" t="s">
        <v>1108</v>
      </c>
      <c r="B303" t="s">
        <v>43</v>
      </c>
      <c r="C303">
        <v>5</v>
      </c>
      <c r="D303">
        <v>8</v>
      </c>
      <c r="F303">
        <v>13</v>
      </c>
    </row>
    <row r="304" spans="1:6" x14ac:dyDescent="0.25">
      <c r="A304" t="s">
        <v>1108</v>
      </c>
      <c r="B304" t="s">
        <v>117</v>
      </c>
      <c r="C304">
        <v>11</v>
      </c>
      <c r="F304">
        <v>11</v>
      </c>
    </row>
    <row r="305" spans="1:6" x14ac:dyDescent="0.25">
      <c r="A305" t="s">
        <v>1108</v>
      </c>
      <c r="B305" t="s">
        <v>44</v>
      </c>
      <c r="C305">
        <v>1</v>
      </c>
      <c r="D305">
        <v>51</v>
      </c>
      <c r="E305">
        <v>9</v>
      </c>
      <c r="F305">
        <v>61</v>
      </c>
    </row>
    <row r="306" spans="1:6" x14ac:dyDescent="0.25">
      <c r="A306" t="s">
        <v>1108</v>
      </c>
      <c r="B306" t="s">
        <v>45</v>
      </c>
      <c r="C306">
        <v>2</v>
      </c>
      <c r="D306">
        <v>1</v>
      </c>
      <c r="F306">
        <v>3</v>
      </c>
    </row>
    <row r="307" spans="1:6" x14ac:dyDescent="0.25">
      <c r="A307" t="s">
        <v>1108</v>
      </c>
      <c r="B307" t="s">
        <v>46</v>
      </c>
      <c r="C307">
        <v>1</v>
      </c>
      <c r="D307">
        <v>1</v>
      </c>
      <c r="F307">
        <v>2</v>
      </c>
    </row>
    <row r="308" spans="1:6" x14ac:dyDescent="0.25">
      <c r="A308" t="s">
        <v>1108</v>
      </c>
      <c r="B308" t="s">
        <v>47</v>
      </c>
      <c r="C308">
        <v>1</v>
      </c>
      <c r="D308">
        <v>10</v>
      </c>
      <c r="E308">
        <v>1</v>
      </c>
      <c r="F308">
        <v>12</v>
      </c>
    </row>
    <row r="309" spans="1:6" x14ac:dyDescent="0.25">
      <c r="A309" t="s">
        <v>1108</v>
      </c>
      <c r="B309" t="s">
        <v>48</v>
      </c>
      <c r="D309">
        <v>14</v>
      </c>
      <c r="F309">
        <v>14</v>
      </c>
    </row>
    <row r="310" spans="1:6" x14ac:dyDescent="0.25">
      <c r="A310" t="s">
        <v>1108</v>
      </c>
      <c r="B310" t="s">
        <v>49</v>
      </c>
      <c r="C310">
        <v>3</v>
      </c>
      <c r="D310">
        <v>8</v>
      </c>
      <c r="E310">
        <v>3</v>
      </c>
      <c r="F310">
        <v>14</v>
      </c>
    </row>
    <row r="311" spans="1:6" x14ac:dyDescent="0.25">
      <c r="A311" t="s">
        <v>1108</v>
      </c>
      <c r="B311" t="s">
        <v>50</v>
      </c>
      <c r="C311">
        <v>4</v>
      </c>
      <c r="D311">
        <v>3</v>
      </c>
      <c r="F311">
        <v>7</v>
      </c>
    </row>
    <row r="312" spans="1:6" x14ac:dyDescent="0.25">
      <c r="A312" t="s">
        <v>1108</v>
      </c>
      <c r="B312" t="s">
        <v>51</v>
      </c>
      <c r="D312">
        <v>12</v>
      </c>
      <c r="F312">
        <v>12</v>
      </c>
    </row>
    <row r="313" spans="1:6" x14ac:dyDescent="0.25">
      <c r="A313" t="s">
        <v>1108</v>
      </c>
      <c r="B313" t="s">
        <v>52</v>
      </c>
      <c r="C313">
        <v>1</v>
      </c>
      <c r="D313">
        <v>10</v>
      </c>
      <c r="E313">
        <v>3</v>
      </c>
      <c r="F313">
        <v>14</v>
      </c>
    </row>
    <row r="314" spans="1:6" x14ac:dyDescent="0.25">
      <c r="A314" t="s">
        <v>1108</v>
      </c>
      <c r="B314" t="s">
        <v>53</v>
      </c>
      <c r="C314">
        <v>3</v>
      </c>
      <c r="F314">
        <v>3</v>
      </c>
    </row>
    <row r="315" spans="1:6" x14ac:dyDescent="0.25">
      <c r="A315" t="s">
        <v>1108</v>
      </c>
      <c r="B315" t="s">
        <v>54</v>
      </c>
      <c r="C315">
        <v>2</v>
      </c>
      <c r="D315">
        <v>11</v>
      </c>
      <c r="F315">
        <v>13</v>
      </c>
    </row>
    <row r="316" spans="1:6" x14ac:dyDescent="0.25">
      <c r="A316" t="s">
        <v>1108</v>
      </c>
      <c r="B316" t="s">
        <v>55</v>
      </c>
      <c r="D316">
        <v>14</v>
      </c>
      <c r="F316">
        <v>14</v>
      </c>
    </row>
    <row r="317" spans="1:6" x14ac:dyDescent="0.25">
      <c r="A317" t="s">
        <v>1108</v>
      </c>
      <c r="B317" t="s">
        <v>56</v>
      </c>
      <c r="C317">
        <v>1</v>
      </c>
      <c r="D317">
        <v>4</v>
      </c>
      <c r="F317">
        <v>5</v>
      </c>
    </row>
    <row r="318" spans="1:6" x14ac:dyDescent="0.25">
      <c r="A318" t="s">
        <v>1108</v>
      </c>
      <c r="B318" t="s">
        <v>57</v>
      </c>
      <c r="C318">
        <v>4</v>
      </c>
      <c r="D318">
        <v>7</v>
      </c>
      <c r="F318">
        <v>12</v>
      </c>
    </row>
    <row r="319" spans="1:6" x14ac:dyDescent="0.25">
      <c r="A319" t="s">
        <v>1108</v>
      </c>
      <c r="B319" t="s">
        <v>58</v>
      </c>
      <c r="C319">
        <v>1</v>
      </c>
      <c r="D319">
        <v>9</v>
      </c>
      <c r="F319">
        <v>10</v>
      </c>
    </row>
    <row r="320" spans="1:6" x14ac:dyDescent="0.25">
      <c r="A320" t="s">
        <v>1108</v>
      </c>
      <c r="B320" t="s">
        <v>59</v>
      </c>
      <c r="C320">
        <v>2</v>
      </c>
      <c r="D320">
        <v>1</v>
      </c>
      <c r="F320">
        <v>3</v>
      </c>
    </row>
    <row r="321" spans="1:6" x14ac:dyDescent="0.25">
      <c r="A321" t="s">
        <v>1108</v>
      </c>
      <c r="B321" t="s">
        <v>60</v>
      </c>
      <c r="C321">
        <v>2</v>
      </c>
      <c r="D321">
        <v>4</v>
      </c>
      <c r="F321">
        <v>6</v>
      </c>
    </row>
  </sheetData>
  <autoFilter ref="A1:F289" xr:uid="{00000000-0009-0000-0000-00000B000000}"/>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G54"/>
  <sheetViews>
    <sheetView topLeftCell="A13" workbookViewId="0">
      <selection activeCell="E51" sqref="E51"/>
    </sheetView>
  </sheetViews>
  <sheetFormatPr defaultRowHeight="15" x14ac:dyDescent="0.25"/>
  <cols>
    <col min="1" max="1" width="12.5703125" bestFit="1" customWidth="1"/>
    <col min="2" max="2" width="27.85546875" bestFit="1" customWidth="1"/>
    <col min="3" max="3" width="26.28515625" bestFit="1" customWidth="1"/>
    <col min="4" max="4" width="13.5703125" bestFit="1" customWidth="1"/>
    <col min="5" max="5" width="14" bestFit="1" customWidth="1"/>
    <col min="6" max="6" width="16.85546875" bestFit="1" customWidth="1"/>
    <col min="7" max="7" width="11.42578125" bestFit="1" customWidth="1"/>
  </cols>
  <sheetData>
    <row r="1" spans="1:7" x14ac:dyDescent="0.25">
      <c r="A1" s="394" t="s">
        <v>1</v>
      </c>
      <c r="B1" t="s">
        <v>1108</v>
      </c>
    </row>
    <row r="3" spans="1:7" x14ac:dyDescent="0.25">
      <c r="A3" s="394" t="s">
        <v>231</v>
      </c>
      <c r="B3" t="s">
        <v>977</v>
      </c>
      <c r="C3" t="s">
        <v>978</v>
      </c>
      <c r="D3" t="s">
        <v>246</v>
      </c>
      <c r="E3" t="s">
        <v>247</v>
      </c>
      <c r="F3" t="s">
        <v>981</v>
      </c>
      <c r="G3" t="s">
        <v>237</v>
      </c>
    </row>
    <row r="4" spans="1:7" x14ac:dyDescent="0.25">
      <c r="A4" s="395" t="s">
        <v>88</v>
      </c>
      <c r="B4">
        <v>13</v>
      </c>
      <c r="C4">
        <v>26</v>
      </c>
      <c r="D4">
        <v>1</v>
      </c>
      <c r="E4">
        <v>32</v>
      </c>
      <c r="F4">
        <v>3</v>
      </c>
      <c r="G4">
        <v>75</v>
      </c>
    </row>
    <row r="5" spans="1:7" x14ac:dyDescent="0.25">
      <c r="A5" s="395" t="s">
        <v>89</v>
      </c>
      <c r="B5">
        <v>79</v>
      </c>
      <c r="C5">
        <v>222</v>
      </c>
      <c r="D5">
        <v>0</v>
      </c>
      <c r="E5">
        <v>41</v>
      </c>
      <c r="F5">
        <v>15</v>
      </c>
      <c r="G5">
        <v>357</v>
      </c>
    </row>
    <row r="6" spans="1:7" x14ac:dyDescent="0.25">
      <c r="A6" s="395" t="s">
        <v>236</v>
      </c>
      <c r="B6">
        <v>92</v>
      </c>
      <c r="C6">
        <v>248</v>
      </c>
      <c r="D6">
        <v>1</v>
      </c>
      <c r="E6">
        <v>73</v>
      </c>
      <c r="F6">
        <v>18</v>
      </c>
      <c r="G6">
        <v>432</v>
      </c>
    </row>
    <row r="15" spans="1:7" x14ac:dyDescent="0.25">
      <c r="A15" s="394" t="s">
        <v>1</v>
      </c>
      <c r="B15" t="s">
        <v>1108</v>
      </c>
    </row>
    <row r="17" spans="1:7" x14ac:dyDescent="0.25">
      <c r="A17" s="394" t="s">
        <v>231</v>
      </c>
      <c r="B17" t="s">
        <v>977</v>
      </c>
      <c r="C17" t="s">
        <v>978</v>
      </c>
      <c r="D17" t="s">
        <v>246</v>
      </c>
      <c r="E17" t="s">
        <v>247</v>
      </c>
      <c r="F17" t="s">
        <v>981</v>
      </c>
      <c r="G17" t="s">
        <v>237</v>
      </c>
    </row>
    <row r="18" spans="1:7" x14ac:dyDescent="0.25">
      <c r="A18" s="395" t="s">
        <v>101</v>
      </c>
      <c r="B18">
        <v>10</v>
      </c>
      <c r="C18">
        <v>58</v>
      </c>
      <c r="D18">
        <v>1</v>
      </c>
      <c r="E18">
        <v>2</v>
      </c>
      <c r="F18">
        <v>1</v>
      </c>
      <c r="G18">
        <v>72</v>
      </c>
    </row>
    <row r="19" spans="1:7" x14ac:dyDescent="0.25">
      <c r="A19" s="395" t="s">
        <v>102</v>
      </c>
      <c r="B19">
        <v>34</v>
      </c>
      <c r="C19">
        <v>51</v>
      </c>
      <c r="D19">
        <v>0</v>
      </c>
      <c r="E19">
        <v>8</v>
      </c>
      <c r="F19">
        <v>4</v>
      </c>
      <c r="G19">
        <v>97</v>
      </c>
    </row>
    <row r="20" spans="1:7" x14ac:dyDescent="0.25">
      <c r="A20" s="395" t="s">
        <v>103</v>
      </c>
      <c r="B20">
        <v>20</v>
      </c>
      <c r="C20">
        <v>44</v>
      </c>
      <c r="D20">
        <v>0</v>
      </c>
      <c r="E20">
        <v>10</v>
      </c>
      <c r="F20">
        <v>1</v>
      </c>
      <c r="G20">
        <v>75</v>
      </c>
    </row>
    <row r="21" spans="1:7" x14ac:dyDescent="0.25">
      <c r="A21" s="395" t="s">
        <v>104</v>
      </c>
      <c r="B21">
        <v>17</v>
      </c>
      <c r="C21">
        <v>34</v>
      </c>
      <c r="D21">
        <v>0</v>
      </c>
      <c r="E21">
        <v>6</v>
      </c>
      <c r="F21">
        <v>2</v>
      </c>
      <c r="G21">
        <v>59</v>
      </c>
    </row>
    <row r="22" spans="1:7" x14ac:dyDescent="0.25">
      <c r="A22" s="395" t="s">
        <v>105</v>
      </c>
      <c r="B22">
        <v>4</v>
      </c>
      <c r="C22">
        <v>23</v>
      </c>
      <c r="D22">
        <v>0</v>
      </c>
      <c r="E22">
        <v>6</v>
      </c>
      <c r="F22">
        <v>2</v>
      </c>
      <c r="G22">
        <v>35</v>
      </c>
    </row>
    <row r="23" spans="1:7" x14ac:dyDescent="0.25">
      <c r="A23" s="395" t="s">
        <v>106</v>
      </c>
      <c r="B23">
        <v>2</v>
      </c>
      <c r="C23">
        <v>16</v>
      </c>
      <c r="D23">
        <v>0</v>
      </c>
      <c r="E23">
        <v>11</v>
      </c>
      <c r="F23">
        <v>4</v>
      </c>
      <c r="G23">
        <v>33</v>
      </c>
    </row>
    <row r="24" spans="1:7" x14ac:dyDescent="0.25">
      <c r="A24" s="395" t="s">
        <v>107</v>
      </c>
      <c r="B24">
        <v>4</v>
      </c>
      <c r="C24">
        <v>6</v>
      </c>
      <c r="D24">
        <v>0</v>
      </c>
      <c r="E24">
        <v>10</v>
      </c>
      <c r="F24">
        <v>2</v>
      </c>
      <c r="G24">
        <v>22</v>
      </c>
    </row>
    <row r="25" spans="1:7" x14ac:dyDescent="0.25">
      <c r="A25" s="395" t="s">
        <v>108</v>
      </c>
      <c r="B25">
        <v>1</v>
      </c>
      <c r="C25">
        <v>4</v>
      </c>
      <c r="D25">
        <v>0</v>
      </c>
      <c r="E25">
        <v>15</v>
      </c>
      <c r="F25">
        <v>2</v>
      </c>
      <c r="G25">
        <v>22</v>
      </c>
    </row>
    <row r="26" spans="1:7" x14ac:dyDescent="0.25">
      <c r="A26" s="395" t="s">
        <v>109</v>
      </c>
      <c r="B26">
        <v>0</v>
      </c>
      <c r="C26">
        <v>1</v>
      </c>
      <c r="D26">
        <v>0</v>
      </c>
      <c r="E26">
        <v>2</v>
      </c>
      <c r="F26">
        <v>0</v>
      </c>
      <c r="G26">
        <v>3</v>
      </c>
    </row>
    <row r="27" spans="1:7" x14ac:dyDescent="0.25">
      <c r="A27" s="395" t="s">
        <v>110</v>
      </c>
      <c r="B27">
        <v>0</v>
      </c>
      <c r="C27">
        <v>1</v>
      </c>
      <c r="D27">
        <v>0</v>
      </c>
      <c r="E27">
        <v>0</v>
      </c>
      <c r="F27">
        <v>0</v>
      </c>
      <c r="G27">
        <v>1</v>
      </c>
    </row>
    <row r="28" spans="1:7" x14ac:dyDescent="0.25">
      <c r="A28" s="395" t="s">
        <v>305</v>
      </c>
      <c r="B28">
        <v>0</v>
      </c>
      <c r="C28">
        <v>9</v>
      </c>
      <c r="D28">
        <v>0</v>
      </c>
      <c r="E28">
        <v>3</v>
      </c>
      <c r="F28">
        <v>0</v>
      </c>
      <c r="G28">
        <v>12</v>
      </c>
    </row>
    <row r="29" spans="1:7" x14ac:dyDescent="0.25">
      <c r="A29" s="395" t="s">
        <v>111</v>
      </c>
      <c r="B29">
        <v>0</v>
      </c>
      <c r="C29">
        <v>1</v>
      </c>
      <c r="D29">
        <v>0</v>
      </c>
      <c r="E29">
        <v>0</v>
      </c>
      <c r="F29">
        <v>0</v>
      </c>
      <c r="G29">
        <v>1</v>
      </c>
    </row>
    <row r="30" spans="1:7" x14ac:dyDescent="0.25">
      <c r="A30" s="395" t="s">
        <v>236</v>
      </c>
      <c r="B30">
        <v>92</v>
      </c>
      <c r="C30">
        <v>248</v>
      </c>
      <c r="D30">
        <v>1</v>
      </c>
      <c r="E30">
        <v>73</v>
      </c>
      <c r="F30">
        <v>18</v>
      </c>
      <c r="G30">
        <v>432</v>
      </c>
    </row>
    <row r="34" spans="1:6" x14ac:dyDescent="0.25">
      <c r="A34" s="394" t="s">
        <v>1115</v>
      </c>
      <c r="B34" t="s">
        <v>1108</v>
      </c>
    </row>
    <row r="36" spans="1:6" x14ac:dyDescent="0.25">
      <c r="A36" s="394" t="s">
        <v>231</v>
      </c>
      <c r="B36" t="s">
        <v>245</v>
      </c>
      <c r="C36" t="s">
        <v>238</v>
      </c>
      <c r="D36" t="s">
        <v>246</v>
      </c>
      <c r="E36" t="s">
        <v>247</v>
      </c>
      <c r="F36" t="s">
        <v>248</v>
      </c>
    </row>
    <row r="37" spans="1:6" x14ac:dyDescent="0.25">
      <c r="A37" s="395" t="s">
        <v>114</v>
      </c>
      <c r="E37">
        <v>2.7397260273972601</v>
      </c>
    </row>
    <row r="38" spans="1:6" x14ac:dyDescent="0.25">
      <c r="A38" s="395" t="s">
        <v>348</v>
      </c>
      <c r="B38">
        <v>94.354838709677423</v>
      </c>
      <c r="C38">
        <v>95.061728395061735</v>
      </c>
      <c r="D38">
        <v>100</v>
      </c>
      <c r="E38">
        <v>69.863013698630141</v>
      </c>
      <c r="F38">
        <v>100</v>
      </c>
    </row>
    <row r="39" spans="1:6" x14ac:dyDescent="0.25">
      <c r="A39" s="395" t="s">
        <v>113</v>
      </c>
      <c r="B39">
        <v>5.6451612903225801</v>
      </c>
      <c r="C39">
        <v>4.9382716049382713</v>
      </c>
      <c r="E39">
        <v>27.397260273972602</v>
      </c>
    </row>
    <row r="40" spans="1:6" x14ac:dyDescent="0.25">
      <c r="A40" s="395" t="s">
        <v>236</v>
      </c>
      <c r="B40">
        <v>100</v>
      </c>
      <c r="C40">
        <v>100</v>
      </c>
      <c r="D40">
        <v>100</v>
      </c>
      <c r="E40">
        <v>100</v>
      </c>
      <c r="F40">
        <v>100</v>
      </c>
    </row>
    <row r="48" spans="1:6" x14ac:dyDescent="0.25">
      <c r="A48" s="394" t="s">
        <v>1115</v>
      </c>
      <c r="B48" t="s">
        <v>1108</v>
      </c>
    </row>
    <row r="50" spans="1:6" x14ac:dyDescent="0.25">
      <c r="A50" s="394" t="s">
        <v>231</v>
      </c>
      <c r="B50" t="s">
        <v>247</v>
      </c>
      <c r="C50" t="s">
        <v>238</v>
      </c>
      <c r="D50" t="s">
        <v>245</v>
      </c>
      <c r="E50" t="s">
        <v>246</v>
      </c>
      <c r="F50" t="s">
        <v>248</v>
      </c>
    </row>
    <row r="51" spans="1:6" x14ac:dyDescent="0.25">
      <c r="A51" s="395" t="s">
        <v>854</v>
      </c>
      <c r="B51">
        <v>2.7397260273972601</v>
      </c>
    </row>
    <row r="52" spans="1:6" x14ac:dyDescent="0.25">
      <c r="A52" s="395" t="s">
        <v>855</v>
      </c>
      <c r="B52">
        <v>16.43835616438356</v>
      </c>
      <c r="C52">
        <v>4.9382716049382713</v>
      </c>
      <c r="D52">
        <v>3.225806451612903</v>
      </c>
    </row>
    <row r="53" spans="1:6" x14ac:dyDescent="0.25">
      <c r="A53" s="395" t="s">
        <v>783</v>
      </c>
      <c r="B53">
        <v>80.821917808219183</v>
      </c>
      <c r="C53">
        <v>95.061728395061735</v>
      </c>
      <c r="D53">
        <v>96.774193548387103</v>
      </c>
      <c r="E53">
        <v>100</v>
      </c>
      <c r="F53">
        <v>100</v>
      </c>
    </row>
    <row r="54" spans="1:6" x14ac:dyDescent="0.25">
      <c r="A54" s="395" t="s">
        <v>236</v>
      </c>
      <c r="B54">
        <v>100</v>
      </c>
      <c r="C54">
        <v>100</v>
      </c>
      <c r="D54">
        <v>100</v>
      </c>
      <c r="E54">
        <v>100</v>
      </c>
      <c r="F54">
        <v>100</v>
      </c>
    </row>
  </sheetData>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Q87"/>
  <sheetViews>
    <sheetView zoomScale="80" zoomScaleNormal="80" workbookViewId="0">
      <selection activeCell="L30" sqref="L30"/>
    </sheetView>
  </sheetViews>
  <sheetFormatPr defaultRowHeight="15" x14ac:dyDescent="0.25"/>
  <cols>
    <col min="1" max="1" width="10.140625" bestFit="1" customWidth="1"/>
    <col min="2" max="2" width="11.85546875" bestFit="1" customWidth="1"/>
    <col min="3" max="6" width="12.42578125" bestFit="1" customWidth="1"/>
    <col min="7" max="7" width="6.7109375" bestFit="1" customWidth="1"/>
    <col min="10" max="10" width="7.85546875" bestFit="1" customWidth="1"/>
    <col min="11" max="11" width="12.85546875" bestFit="1" customWidth="1"/>
    <col min="12" max="12" width="24.140625" bestFit="1" customWidth="1"/>
    <col min="13" max="13" width="22.85546875" bestFit="1" customWidth="1"/>
    <col min="14" max="14" width="10.140625" bestFit="1" customWidth="1"/>
    <col min="15" max="15" width="10.85546875" bestFit="1" customWidth="1"/>
    <col min="16" max="16" width="13.140625" bestFit="1" customWidth="1"/>
    <col min="17" max="17" width="8.140625" bestFit="1" customWidth="1"/>
  </cols>
  <sheetData>
    <row r="1" spans="1:17" x14ac:dyDescent="0.25">
      <c r="A1" t="s">
        <v>1115</v>
      </c>
      <c r="B1" t="s">
        <v>1051</v>
      </c>
      <c r="C1" t="s">
        <v>300</v>
      </c>
      <c r="D1" t="s">
        <v>9</v>
      </c>
      <c r="E1" t="s">
        <v>2</v>
      </c>
      <c r="F1" t="s">
        <v>3</v>
      </c>
      <c r="G1" t="s">
        <v>299</v>
      </c>
      <c r="J1" t="s">
        <v>1</v>
      </c>
      <c r="K1" t="s">
        <v>504</v>
      </c>
      <c r="L1" t="s">
        <v>27</v>
      </c>
      <c r="M1" t="s">
        <v>28</v>
      </c>
      <c r="N1" t="s">
        <v>2</v>
      </c>
      <c r="O1" t="s">
        <v>3</v>
      </c>
      <c r="P1" t="s">
        <v>485</v>
      </c>
      <c r="Q1" t="s">
        <v>26</v>
      </c>
    </row>
    <row r="2" spans="1:17" x14ac:dyDescent="0.25">
      <c r="A2" t="s">
        <v>239</v>
      </c>
      <c r="B2" t="s">
        <v>114</v>
      </c>
      <c r="D2">
        <v>1.6194331983805668</v>
      </c>
      <c r="F2">
        <v>2.1739130434782608</v>
      </c>
      <c r="J2" t="s">
        <v>239</v>
      </c>
      <c r="K2" t="s">
        <v>88</v>
      </c>
      <c r="L2">
        <v>14</v>
      </c>
      <c r="M2">
        <v>38</v>
      </c>
      <c r="N2">
        <v>24</v>
      </c>
      <c r="O2">
        <v>38</v>
      </c>
      <c r="P2">
        <v>8</v>
      </c>
      <c r="Q2">
        <v>122</v>
      </c>
    </row>
    <row r="3" spans="1:17" x14ac:dyDescent="0.25">
      <c r="A3" t="s">
        <v>760</v>
      </c>
      <c r="B3" t="s">
        <v>114</v>
      </c>
      <c r="D3">
        <v>0.89686098654708524</v>
      </c>
      <c r="J3" t="s">
        <v>239</v>
      </c>
      <c r="K3" t="s">
        <v>89</v>
      </c>
      <c r="L3">
        <v>180</v>
      </c>
      <c r="M3">
        <v>209</v>
      </c>
      <c r="N3">
        <v>5</v>
      </c>
      <c r="O3">
        <v>54</v>
      </c>
      <c r="P3">
        <v>16</v>
      </c>
      <c r="Q3">
        <v>464</v>
      </c>
    </row>
    <row r="4" spans="1:17" x14ac:dyDescent="0.25">
      <c r="A4" t="s">
        <v>917</v>
      </c>
      <c r="B4" t="s">
        <v>114</v>
      </c>
      <c r="C4">
        <v>0.92592592592592582</v>
      </c>
      <c r="D4">
        <v>0.75187969924812026</v>
      </c>
      <c r="F4">
        <v>5.3571428571428568</v>
      </c>
      <c r="J4" t="s">
        <v>760</v>
      </c>
      <c r="K4" t="s">
        <v>88</v>
      </c>
      <c r="L4">
        <v>21</v>
      </c>
      <c r="M4">
        <v>23</v>
      </c>
      <c r="N4">
        <v>0</v>
      </c>
      <c r="O4">
        <v>38</v>
      </c>
      <c r="P4">
        <v>6</v>
      </c>
      <c r="Q4">
        <v>88</v>
      </c>
    </row>
    <row r="5" spans="1:17" x14ac:dyDescent="0.25">
      <c r="A5" t="s">
        <v>1010</v>
      </c>
      <c r="B5" t="s">
        <v>114</v>
      </c>
      <c r="C5">
        <v>1.4705882352941175</v>
      </c>
      <c r="D5">
        <v>0.6211180124223602</v>
      </c>
      <c r="F5">
        <v>6.0150375939849621</v>
      </c>
      <c r="J5" t="s">
        <v>760</v>
      </c>
      <c r="K5" t="s">
        <v>89</v>
      </c>
      <c r="L5">
        <v>98</v>
      </c>
      <c r="M5">
        <v>200</v>
      </c>
      <c r="N5">
        <v>0</v>
      </c>
      <c r="O5">
        <v>29</v>
      </c>
      <c r="P5">
        <v>15</v>
      </c>
      <c r="Q5">
        <v>342</v>
      </c>
    </row>
    <row r="6" spans="1:17" x14ac:dyDescent="0.25">
      <c r="A6" t="s">
        <v>1108</v>
      </c>
      <c r="B6" t="s">
        <v>114</v>
      </c>
      <c r="F6">
        <v>2.7397260273972601</v>
      </c>
      <c r="J6" t="s">
        <v>917</v>
      </c>
      <c r="K6" t="s">
        <v>88</v>
      </c>
      <c r="L6">
        <v>3</v>
      </c>
      <c r="M6">
        <v>7</v>
      </c>
      <c r="N6">
        <v>4</v>
      </c>
      <c r="O6">
        <v>33</v>
      </c>
      <c r="P6">
        <v>1</v>
      </c>
      <c r="Q6">
        <v>48</v>
      </c>
    </row>
    <row r="7" spans="1:17" x14ac:dyDescent="0.25">
      <c r="A7" t="s">
        <v>239</v>
      </c>
      <c r="B7" t="s">
        <v>348</v>
      </c>
      <c r="C7">
        <v>59.27835051546392</v>
      </c>
      <c r="D7">
        <v>44.534412955465584</v>
      </c>
      <c r="E7">
        <v>62.068965517241381</v>
      </c>
      <c r="F7">
        <v>43.478260869565219</v>
      </c>
      <c r="G7">
        <v>100</v>
      </c>
      <c r="J7" t="s">
        <v>917</v>
      </c>
      <c r="K7" t="s">
        <v>89</v>
      </c>
      <c r="L7">
        <v>106</v>
      </c>
      <c r="M7">
        <v>126</v>
      </c>
      <c r="N7">
        <v>0</v>
      </c>
      <c r="O7">
        <v>23</v>
      </c>
      <c r="P7">
        <v>7</v>
      </c>
      <c r="Q7">
        <v>262</v>
      </c>
    </row>
    <row r="8" spans="1:17" x14ac:dyDescent="0.25">
      <c r="A8" t="s">
        <v>760</v>
      </c>
      <c r="B8" t="s">
        <v>348</v>
      </c>
      <c r="C8">
        <v>85.714285714285708</v>
      </c>
      <c r="D8">
        <v>88.340807174887885</v>
      </c>
      <c r="F8">
        <v>62.68656716417911</v>
      </c>
      <c r="G8">
        <v>95.238095238095227</v>
      </c>
      <c r="J8" t="s">
        <v>1010</v>
      </c>
      <c r="K8" t="s">
        <v>88</v>
      </c>
      <c r="L8">
        <v>10</v>
      </c>
      <c r="M8">
        <v>21</v>
      </c>
      <c r="N8">
        <v>7</v>
      </c>
      <c r="O8">
        <v>69</v>
      </c>
      <c r="P8">
        <v>2</v>
      </c>
      <c r="Q8">
        <v>109</v>
      </c>
    </row>
    <row r="9" spans="1:17" x14ac:dyDescent="0.25">
      <c r="A9" t="s">
        <v>917</v>
      </c>
      <c r="B9" t="s">
        <v>348</v>
      </c>
      <c r="C9">
        <v>77.777777777777786</v>
      </c>
      <c r="D9">
        <v>90.977443609022558</v>
      </c>
      <c r="E9">
        <v>40</v>
      </c>
      <c r="F9">
        <v>55.357142857142854</v>
      </c>
      <c r="G9">
        <v>100</v>
      </c>
      <c r="J9" t="s">
        <v>1010</v>
      </c>
      <c r="K9" t="s">
        <v>89</v>
      </c>
      <c r="L9">
        <v>124</v>
      </c>
      <c r="M9">
        <v>140</v>
      </c>
      <c r="N9">
        <v>2</v>
      </c>
      <c r="O9">
        <v>66</v>
      </c>
      <c r="P9">
        <v>8</v>
      </c>
      <c r="Q9">
        <v>340</v>
      </c>
    </row>
    <row r="10" spans="1:17" x14ac:dyDescent="0.25">
      <c r="A10" t="s">
        <v>1010</v>
      </c>
      <c r="B10" t="s">
        <v>348</v>
      </c>
      <c r="C10">
        <v>81.617647058823522</v>
      </c>
      <c r="D10">
        <v>94.409937888198755</v>
      </c>
      <c r="E10">
        <v>77.777777777777786</v>
      </c>
      <c r="F10">
        <v>58.646616541353382</v>
      </c>
      <c r="G10">
        <v>100</v>
      </c>
      <c r="J10" t="s">
        <v>1061</v>
      </c>
      <c r="K10" t="s">
        <v>88</v>
      </c>
      <c r="L10">
        <v>14</v>
      </c>
      <c r="M10">
        <v>16</v>
      </c>
      <c r="N10">
        <v>12</v>
      </c>
      <c r="O10">
        <v>29</v>
      </c>
      <c r="P10">
        <v>0</v>
      </c>
      <c r="Q10">
        <v>71</v>
      </c>
    </row>
    <row r="11" spans="1:17" x14ac:dyDescent="0.25">
      <c r="A11" t="s">
        <v>1061</v>
      </c>
      <c r="B11" t="s">
        <v>348</v>
      </c>
      <c r="C11">
        <v>82.222222222222214</v>
      </c>
      <c r="D11">
        <v>92.964824120603012</v>
      </c>
      <c r="E11">
        <v>90</v>
      </c>
      <c r="F11">
        <v>73.015873015873012</v>
      </c>
      <c r="G11">
        <v>93.333333333333329</v>
      </c>
      <c r="J11" t="s">
        <v>1061</v>
      </c>
      <c r="K11" t="s">
        <v>89</v>
      </c>
      <c r="L11">
        <v>212</v>
      </c>
      <c r="M11">
        <v>183</v>
      </c>
      <c r="N11">
        <v>6</v>
      </c>
      <c r="O11">
        <v>35</v>
      </c>
      <c r="P11">
        <v>15</v>
      </c>
      <c r="Q11">
        <v>451</v>
      </c>
    </row>
    <row r="12" spans="1:17" x14ac:dyDescent="0.25">
      <c r="A12" t="s">
        <v>1108</v>
      </c>
      <c r="B12" t="s">
        <v>348</v>
      </c>
      <c r="C12">
        <v>95.061728395061735</v>
      </c>
      <c r="D12">
        <v>94.354838709677423</v>
      </c>
      <c r="E12">
        <v>100</v>
      </c>
      <c r="F12">
        <v>69.863013698630141</v>
      </c>
      <c r="G12">
        <v>100</v>
      </c>
      <c r="J12" t="s">
        <v>1108</v>
      </c>
      <c r="K12" t="s">
        <v>88</v>
      </c>
      <c r="L12">
        <v>13</v>
      </c>
      <c r="M12">
        <v>26</v>
      </c>
      <c r="N12">
        <v>1</v>
      </c>
      <c r="O12">
        <v>32</v>
      </c>
      <c r="P12">
        <v>3</v>
      </c>
      <c r="Q12">
        <v>75</v>
      </c>
    </row>
    <row r="13" spans="1:17" x14ac:dyDescent="0.25">
      <c r="A13" t="s">
        <v>239</v>
      </c>
      <c r="B13" t="s">
        <v>113</v>
      </c>
      <c r="C13">
        <v>40.72164948453608</v>
      </c>
      <c r="D13">
        <v>53.846153846153847</v>
      </c>
      <c r="E13">
        <v>37.931034482758619</v>
      </c>
      <c r="F13">
        <v>54.347826086956516</v>
      </c>
      <c r="J13" t="s">
        <v>1108</v>
      </c>
      <c r="K13" t="s">
        <v>89</v>
      </c>
      <c r="L13">
        <v>79</v>
      </c>
      <c r="M13">
        <v>222</v>
      </c>
      <c r="N13">
        <v>0</v>
      </c>
      <c r="O13">
        <v>41</v>
      </c>
      <c r="P13">
        <v>15</v>
      </c>
      <c r="Q13">
        <v>357</v>
      </c>
    </row>
    <row r="14" spans="1:17" x14ac:dyDescent="0.25">
      <c r="A14" t="s">
        <v>760</v>
      </c>
      <c r="B14" t="s">
        <v>113</v>
      </c>
      <c r="C14">
        <v>14.285714285714285</v>
      </c>
      <c r="D14">
        <v>10.762331838565023</v>
      </c>
      <c r="F14">
        <v>37.313432835820898</v>
      </c>
      <c r="G14">
        <v>4.7619047619047619</v>
      </c>
    </row>
    <row r="15" spans="1:17" x14ac:dyDescent="0.25">
      <c r="A15" t="s">
        <v>917</v>
      </c>
      <c r="B15" t="s">
        <v>113</v>
      </c>
      <c r="C15">
        <v>21.296296296296298</v>
      </c>
      <c r="D15">
        <v>8.2706766917293226</v>
      </c>
      <c r="E15">
        <v>60</v>
      </c>
      <c r="F15">
        <v>39.285714285714285</v>
      </c>
    </row>
    <row r="16" spans="1:17" x14ac:dyDescent="0.25">
      <c r="A16" t="s">
        <v>1010</v>
      </c>
      <c r="B16" t="s">
        <v>113</v>
      </c>
      <c r="C16">
        <v>16.911764705882355</v>
      </c>
      <c r="D16">
        <v>4.9689440993788816</v>
      </c>
      <c r="E16">
        <v>22.222222222222221</v>
      </c>
      <c r="F16">
        <v>35.338345864661655</v>
      </c>
    </row>
    <row r="17" spans="1:17" x14ac:dyDescent="0.25">
      <c r="A17" t="s">
        <v>1061</v>
      </c>
      <c r="B17" t="s">
        <v>113</v>
      </c>
      <c r="C17">
        <v>17.777777777777779</v>
      </c>
      <c r="D17">
        <v>7.0351758793969852</v>
      </c>
      <c r="E17">
        <v>10</v>
      </c>
      <c r="F17">
        <v>26.984126984126984</v>
      </c>
      <c r="G17">
        <v>6.666666666666667</v>
      </c>
    </row>
    <row r="18" spans="1:17" x14ac:dyDescent="0.25">
      <c r="A18" t="s">
        <v>1108</v>
      </c>
      <c r="B18" t="s">
        <v>113</v>
      </c>
      <c r="C18">
        <v>4.9382716049382713</v>
      </c>
      <c r="D18">
        <v>5.6451612903225801</v>
      </c>
      <c r="F18">
        <v>27.397260273972602</v>
      </c>
    </row>
    <row r="22" spans="1:17" x14ac:dyDescent="0.25">
      <c r="J22" t="s">
        <v>1</v>
      </c>
      <c r="K22" t="s">
        <v>198</v>
      </c>
      <c r="L22" t="s">
        <v>27</v>
      </c>
      <c r="M22" t="s">
        <v>28</v>
      </c>
      <c r="N22" t="s">
        <v>2</v>
      </c>
      <c r="O22" t="s">
        <v>3</v>
      </c>
      <c r="P22" t="s">
        <v>485</v>
      </c>
      <c r="Q22" t="s">
        <v>26</v>
      </c>
    </row>
    <row r="23" spans="1:17" x14ac:dyDescent="0.25">
      <c r="J23" t="s">
        <v>239</v>
      </c>
      <c r="K23" t="s">
        <v>101</v>
      </c>
      <c r="L23">
        <v>26</v>
      </c>
      <c r="M23">
        <v>56</v>
      </c>
      <c r="N23">
        <v>8</v>
      </c>
      <c r="O23">
        <v>11</v>
      </c>
      <c r="P23">
        <v>4</v>
      </c>
      <c r="Q23">
        <v>105</v>
      </c>
    </row>
    <row r="24" spans="1:17" x14ac:dyDescent="0.25">
      <c r="A24" t="s">
        <v>1115</v>
      </c>
      <c r="B24" t="s">
        <v>1052</v>
      </c>
      <c r="C24" t="s">
        <v>300</v>
      </c>
      <c r="D24" t="s">
        <v>9</v>
      </c>
      <c r="E24" t="s">
        <v>2</v>
      </c>
      <c r="F24" t="s">
        <v>3</v>
      </c>
      <c r="G24" t="s">
        <v>299</v>
      </c>
      <c r="J24" t="s">
        <v>239</v>
      </c>
      <c r="K24" t="s">
        <v>102</v>
      </c>
      <c r="L24">
        <v>61</v>
      </c>
      <c r="M24">
        <v>50</v>
      </c>
      <c r="N24">
        <v>9</v>
      </c>
      <c r="O24">
        <v>12</v>
      </c>
      <c r="P24">
        <v>5</v>
      </c>
      <c r="Q24">
        <v>137</v>
      </c>
    </row>
    <row r="25" spans="1:17" x14ac:dyDescent="0.25">
      <c r="A25" t="s">
        <v>239</v>
      </c>
      <c r="B25" t="s">
        <v>854</v>
      </c>
      <c r="C25">
        <v>3.608247422680412</v>
      </c>
      <c r="D25">
        <v>1.214574898785425</v>
      </c>
      <c r="F25">
        <v>2.1739130434782608</v>
      </c>
      <c r="J25" t="s">
        <v>239</v>
      </c>
      <c r="K25" t="s">
        <v>103</v>
      </c>
      <c r="L25">
        <v>61</v>
      </c>
      <c r="M25">
        <v>50</v>
      </c>
      <c r="N25">
        <v>7</v>
      </c>
      <c r="O25">
        <v>8</v>
      </c>
      <c r="P25">
        <v>3</v>
      </c>
      <c r="Q25">
        <v>129</v>
      </c>
    </row>
    <row r="26" spans="1:17" x14ac:dyDescent="0.25">
      <c r="A26" t="s">
        <v>760</v>
      </c>
      <c r="B26" t="s">
        <v>854</v>
      </c>
      <c r="C26">
        <v>0.84033613445378152</v>
      </c>
      <c r="D26">
        <v>0.44843049327354262</v>
      </c>
      <c r="F26">
        <v>4.4776119402985071</v>
      </c>
      <c r="J26" t="s">
        <v>239</v>
      </c>
      <c r="K26" t="s">
        <v>104</v>
      </c>
      <c r="L26">
        <v>25</v>
      </c>
      <c r="M26">
        <v>30</v>
      </c>
      <c r="N26">
        <v>5</v>
      </c>
      <c r="O26">
        <v>7</v>
      </c>
      <c r="P26">
        <v>3</v>
      </c>
      <c r="Q26">
        <v>70</v>
      </c>
    </row>
    <row r="27" spans="1:17" x14ac:dyDescent="0.25">
      <c r="A27" t="s">
        <v>917</v>
      </c>
      <c r="B27" t="s">
        <v>854</v>
      </c>
      <c r="F27">
        <v>3.5714285714285712</v>
      </c>
      <c r="J27" t="s">
        <v>239</v>
      </c>
      <c r="K27" t="s">
        <v>105</v>
      </c>
      <c r="L27">
        <v>13</v>
      </c>
      <c r="M27">
        <v>28</v>
      </c>
      <c r="N27">
        <v>0</v>
      </c>
      <c r="O27">
        <v>12</v>
      </c>
      <c r="P27">
        <v>2</v>
      </c>
      <c r="Q27">
        <v>55</v>
      </c>
    </row>
    <row r="28" spans="1:17" x14ac:dyDescent="0.25">
      <c r="A28" t="s">
        <v>1061</v>
      </c>
      <c r="B28" t="s">
        <v>854</v>
      </c>
      <c r="C28">
        <v>1.3333333333333335</v>
      </c>
      <c r="J28" t="s">
        <v>239</v>
      </c>
      <c r="K28" t="s">
        <v>106</v>
      </c>
      <c r="L28">
        <v>7</v>
      </c>
      <c r="M28">
        <v>16</v>
      </c>
      <c r="N28">
        <v>0</v>
      </c>
      <c r="O28">
        <v>13</v>
      </c>
      <c r="P28">
        <v>3</v>
      </c>
      <c r="Q28">
        <v>39</v>
      </c>
    </row>
    <row r="29" spans="1:17" x14ac:dyDescent="0.25">
      <c r="A29" t="s">
        <v>1108</v>
      </c>
      <c r="B29" t="s">
        <v>854</v>
      </c>
      <c r="F29">
        <v>2.7397260273972601</v>
      </c>
      <c r="J29" t="s">
        <v>239</v>
      </c>
      <c r="K29" t="s">
        <v>107</v>
      </c>
      <c r="L29">
        <v>1</v>
      </c>
      <c r="M29">
        <v>11</v>
      </c>
      <c r="N29">
        <v>0</v>
      </c>
      <c r="O29">
        <v>9</v>
      </c>
      <c r="P29">
        <v>3</v>
      </c>
      <c r="Q29">
        <v>24</v>
      </c>
    </row>
    <row r="30" spans="1:17" x14ac:dyDescent="0.25">
      <c r="A30" t="s">
        <v>239</v>
      </c>
      <c r="B30" t="s">
        <v>855</v>
      </c>
      <c r="C30">
        <v>38.144329896907216</v>
      </c>
      <c r="D30">
        <v>54.251012145748987</v>
      </c>
      <c r="E30">
        <v>34.482758620689658</v>
      </c>
      <c r="F30">
        <v>48.913043478260867</v>
      </c>
      <c r="J30" t="s">
        <v>239</v>
      </c>
      <c r="K30" t="s">
        <v>108</v>
      </c>
      <c r="L30">
        <v>0</v>
      </c>
      <c r="M30">
        <v>2</v>
      </c>
      <c r="N30">
        <v>0</v>
      </c>
      <c r="O30">
        <v>11</v>
      </c>
      <c r="P30">
        <v>0</v>
      </c>
      <c r="Q30">
        <v>13</v>
      </c>
    </row>
    <row r="31" spans="1:17" x14ac:dyDescent="0.25">
      <c r="A31" t="s">
        <v>760</v>
      </c>
      <c r="B31" t="s">
        <v>855</v>
      </c>
      <c r="C31">
        <v>9.2436974789915975</v>
      </c>
      <c r="D31">
        <v>8.5201793721973083</v>
      </c>
      <c r="F31">
        <v>23.880597014925371</v>
      </c>
      <c r="J31" t="s">
        <v>239</v>
      </c>
      <c r="K31" t="s">
        <v>109</v>
      </c>
      <c r="L31">
        <v>0</v>
      </c>
      <c r="M31">
        <v>0</v>
      </c>
      <c r="N31">
        <v>0</v>
      </c>
      <c r="O31">
        <v>6</v>
      </c>
      <c r="P31">
        <v>0</v>
      </c>
      <c r="Q31">
        <v>6</v>
      </c>
    </row>
    <row r="32" spans="1:17" x14ac:dyDescent="0.25">
      <c r="A32" t="s">
        <v>917</v>
      </c>
      <c r="B32" t="s">
        <v>855</v>
      </c>
      <c r="C32">
        <v>15.74074074074074</v>
      </c>
      <c r="D32">
        <v>7.518796992481203</v>
      </c>
      <c r="E32">
        <v>60</v>
      </c>
      <c r="F32">
        <v>30.357142857142854</v>
      </c>
      <c r="J32" t="s">
        <v>239</v>
      </c>
      <c r="K32" t="s">
        <v>110</v>
      </c>
      <c r="L32">
        <v>0</v>
      </c>
      <c r="M32">
        <v>0</v>
      </c>
      <c r="N32">
        <v>0</v>
      </c>
      <c r="O32">
        <v>1</v>
      </c>
      <c r="P32">
        <v>1</v>
      </c>
      <c r="Q32">
        <v>2</v>
      </c>
    </row>
    <row r="33" spans="1:17" x14ac:dyDescent="0.25">
      <c r="A33" t="s">
        <v>1010</v>
      </c>
      <c r="B33" t="s">
        <v>855</v>
      </c>
      <c r="C33">
        <v>16.911764705882355</v>
      </c>
      <c r="D33">
        <v>3.7267080745341614</v>
      </c>
      <c r="E33">
        <v>22.222222222222221</v>
      </c>
      <c r="F33">
        <v>31.578947368421051</v>
      </c>
      <c r="J33" t="s">
        <v>239</v>
      </c>
      <c r="K33" t="s">
        <v>305</v>
      </c>
      <c r="L33">
        <v>0</v>
      </c>
      <c r="M33">
        <v>4</v>
      </c>
      <c r="N33">
        <v>0</v>
      </c>
      <c r="O33">
        <v>2</v>
      </c>
      <c r="P33">
        <v>0</v>
      </c>
      <c r="Q33">
        <v>6</v>
      </c>
    </row>
    <row r="34" spans="1:17" x14ac:dyDescent="0.25">
      <c r="A34" t="s">
        <v>1061</v>
      </c>
      <c r="B34" t="s">
        <v>855</v>
      </c>
      <c r="C34">
        <v>16</v>
      </c>
      <c r="D34">
        <v>4.5226130653266337</v>
      </c>
      <c r="E34">
        <v>10</v>
      </c>
      <c r="F34">
        <v>20.634920634920633</v>
      </c>
      <c r="J34" t="s">
        <v>760</v>
      </c>
      <c r="K34" t="s">
        <v>101</v>
      </c>
      <c r="L34">
        <v>7</v>
      </c>
      <c r="M34">
        <v>52</v>
      </c>
      <c r="N34">
        <v>0</v>
      </c>
      <c r="O34">
        <v>6</v>
      </c>
      <c r="P34">
        <v>4</v>
      </c>
      <c r="Q34">
        <v>69</v>
      </c>
    </row>
    <row r="35" spans="1:17" x14ac:dyDescent="0.25">
      <c r="A35" t="s">
        <v>1108</v>
      </c>
      <c r="B35" t="s">
        <v>855</v>
      </c>
      <c r="C35">
        <v>4.9382716049382713</v>
      </c>
      <c r="D35">
        <v>3.225806451612903</v>
      </c>
      <c r="F35">
        <v>16.43835616438356</v>
      </c>
      <c r="J35" t="s">
        <v>760</v>
      </c>
      <c r="K35" t="s">
        <v>102</v>
      </c>
      <c r="L35">
        <v>41</v>
      </c>
      <c r="M35">
        <v>43</v>
      </c>
      <c r="N35">
        <v>0</v>
      </c>
      <c r="O35">
        <v>14</v>
      </c>
      <c r="P35">
        <v>2</v>
      </c>
      <c r="Q35">
        <v>100</v>
      </c>
    </row>
    <row r="36" spans="1:17" x14ac:dyDescent="0.25">
      <c r="A36" t="s">
        <v>239</v>
      </c>
      <c r="B36" t="s">
        <v>783</v>
      </c>
      <c r="C36">
        <v>58.247422680412377</v>
      </c>
      <c r="D36">
        <v>44.534412955465584</v>
      </c>
      <c r="E36">
        <v>65.517241379310349</v>
      </c>
      <c r="F36">
        <v>48.913043478260867</v>
      </c>
      <c r="G36">
        <v>100</v>
      </c>
      <c r="J36" t="s">
        <v>760</v>
      </c>
      <c r="K36" t="s">
        <v>103</v>
      </c>
      <c r="L36">
        <v>43</v>
      </c>
      <c r="M36">
        <v>42</v>
      </c>
      <c r="N36">
        <v>0</v>
      </c>
      <c r="O36">
        <v>5</v>
      </c>
      <c r="P36">
        <v>6</v>
      </c>
      <c r="Q36">
        <v>96</v>
      </c>
    </row>
    <row r="37" spans="1:17" x14ac:dyDescent="0.25">
      <c r="A37" t="s">
        <v>760</v>
      </c>
      <c r="B37" t="s">
        <v>783</v>
      </c>
      <c r="C37">
        <v>89.915966386554629</v>
      </c>
      <c r="D37">
        <v>91.031390134529147</v>
      </c>
      <c r="F37">
        <v>71.641791044776113</v>
      </c>
      <c r="G37">
        <v>100</v>
      </c>
      <c r="J37" t="s">
        <v>760</v>
      </c>
      <c r="K37" t="s">
        <v>104</v>
      </c>
      <c r="L37">
        <v>14</v>
      </c>
      <c r="M37">
        <v>40</v>
      </c>
      <c r="N37">
        <v>0</v>
      </c>
      <c r="O37">
        <v>10</v>
      </c>
      <c r="P37">
        <v>2</v>
      </c>
      <c r="Q37">
        <v>66</v>
      </c>
    </row>
    <row r="38" spans="1:17" x14ac:dyDescent="0.25">
      <c r="A38" t="s">
        <v>917</v>
      </c>
      <c r="B38" t="s">
        <v>783</v>
      </c>
      <c r="C38">
        <v>84.259259259259252</v>
      </c>
      <c r="D38">
        <v>92.481203007518801</v>
      </c>
      <c r="E38">
        <v>40</v>
      </c>
      <c r="F38">
        <v>66.071428571428569</v>
      </c>
      <c r="G38">
        <v>100</v>
      </c>
      <c r="J38" t="s">
        <v>760</v>
      </c>
      <c r="K38" t="s">
        <v>105</v>
      </c>
      <c r="L38">
        <v>9</v>
      </c>
      <c r="M38">
        <v>11</v>
      </c>
      <c r="N38">
        <v>0</v>
      </c>
      <c r="O38">
        <v>10</v>
      </c>
      <c r="P38">
        <v>1</v>
      </c>
      <c r="Q38">
        <v>31</v>
      </c>
    </row>
    <row r="39" spans="1:17" x14ac:dyDescent="0.25">
      <c r="A39" t="s">
        <v>1010</v>
      </c>
      <c r="B39" t="s">
        <v>783</v>
      </c>
      <c r="C39">
        <v>83.088235294117652</v>
      </c>
      <c r="D39">
        <v>96.273291925465841</v>
      </c>
      <c r="E39">
        <v>77.777777777777786</v>
      </c>
      <c r="F39">
        <v>68.421052631578945</v>
      </c>
      <c r="G39">
        <v>100</v>
      </c>
      <c r="J39" t="s">
        <v>760</v>
      </c>
      <c r="K39" t="s">
        <v>106</v>
      </c>
      <c r="L39">
        <v>3</v>
      </c>
      <c r="M39">
        <v>16</v>
      </c>
      <c r="N39">
        <v>0</v>
      </c>
      <c r="O39">
        <v>5</v>
      </c>
      <c r="P39">
        <v>3</v>
      </c>
      <c r="Q39">
        <v>27</v>
      </c>
    </row>
    <row r="40" spans="1:17" x14ac:dyDescent="0.25">
      <c r="A40" t="s">
        <v>1061</v>
      </c>
      <c r="B40" t="s">
        <v>783</v>
      </c>
      <c r="C40">
        <v>82.666666666666671</v>
      </c>
      <c r="D40">
        <v>95.477386934673376</v>
      </c>
      <c r="E40">
        <v>90</v>
      </c>
      <c r="F40">
        <v>79.365079365079367</v>
      </c>
      <c r="G40">
        <v>100</v>
      </c>
      <c r="J40" t="s">
        <v>760</v>
      </c>
      <c r="K40" t="s">
        <v>107</v>
      </c>
      <c r="L40">
        <v>1</v>
      </c>
      <c r="M40">
        <v>8</v>
      </c>
      <c r="N40">
        <v>0</v>
      </c>
      <c r="O40">
        <v>7</v>
      </c>
      <c r="P40">
        <v>3</v>
      </c>
      <c r="Q40">
        <v>19</v>
      </c>
    </row>
    <row r="41" spans="1:17" x14ac:dyDescent="0.25">
      <c r="A41" t="s">
        <v>1108</v>
      </c>
      <c r="B41" t="s">
        <v>783</v>
      </c>
      <c r="C41">
        <v>95.061728395061735</v>
      </c>
      <c r="D41">
        <v>96.774193548387103</v>
      </c>
      <c r="E41">
        <v>100</v>
      </c>
      <c r="F41">
        <v>80.821917808219183</v>
      </c>
      <c r="G41">
        <v>100</v>
      </c>
      <c r="J41" t="s">
        <v>760</v>
      </c>
      <c r="K41" t="s">
        <v>108</v>
      </c>
      <c r="L41">
        <v>1</v>
      </c>
      <c r="M41">
        <v>3</v>
      </c>
      <c r="N41">
        <v>0</v>
      </c>
      <c r="O41">
        <v>6</v>
      </c>
      <c r="P41">
        <v>0</v>
      </c>
      <c r="Q41">
        <v>10</v>
      </c>
    </row>
    <row r="42" spans="1:17" x14ac:dyDescent="0.25">
      <c r="J42" t="s">
        <v>760</v>
      </c>
      <c r="K42" t="s">
        <v>109</v>
      </c>
      <c r="L42">
        <v>0</v>
      </c>
      <c r="M42">
        <v>0</v>
      </c>
      <c r="N42">
        <v>0</v>
      </c>
      <c r="O42">
        <v>1</v>
      </c>
      <c r="P42">
        <v>0</v>
      </c>
      <c r="Q42">
        <v>1</v>
      </c>
    </row>
    <row r="43" spans="1:17" x14ac:dyDescent="0.25">
      <c r="J43" t="s">
        <v>760</v>
      </c>
      <c r="K43" t="s">
        <v>305</v>
      </c>
      <c r="L43">
        <v>0</v>
      </c>
      <c r="M43">
        <v>8</v>
      </c>
      <c r="N43">
        <v>0</v>
      </c>
      <c r="O43">
        <v>3</v>
      </c>
      <c r="P43">
        <v>0</v>
      </c>
      <c r="Q43">
        <v>11</v>
      </c>
    </row>
    <row r="44" spans="1:17" x14ac:dyDescent="0.25">
      <c r="J44" t="s">
        <v>917</v>
      </c>
      <c r="K44" t="s">
        <v>101</v>
      </c>
      <c r="L44">
        <v>11</v>
      </c>
      <c r="M44">
        <v>26</v>
      </c>
      <c r="N44">
        <v>1</v>
      </c>
      <c r="O44">
        <v>4</v>
      </c>
      <c r="P44">
        <v>0</v>
      </c>
      <c r="Q44">
        <v>42</v>
      </c>
    </row>
    <row r="45" spans="1:17" x14ac:dyDescent="0.25">
      <c r="J45" t="s">
        <v>917</v>
      </c>
      <c r="K45" t="s">
        <v>102</v>
      </c>
      <c r="L45">
        <v>37</v>
      </c>
      <c r="M45">
        <v>33</v>
      </c>
      <c r="N45">
        <v>0</v>
      </c>
      <c r="O45">
        <v>8</v>
      </c>
      <c r="P45">
        <v>2</v>
      </c>
      <c r="Q45">
        <v>80</v>
      </c>
    </row>
    <row r="46" spans="1:17" x14ac:dyDescent="0.25">
      <c r="J46" t="s">
        <v>917</v>
      </c>
      <c r="K46" t="s">
        <v>103</v>
      </c>
      <c r="L46">
        <v>35</v>
      </c>
      <c r="M46">
        <v>31</v>
      </c>
      <c r="N46">
        <v>1</v>
      </c>
      <c r="O46">
        <v>13</v>
      </c>
      <c r="P46">
        <v>2</v>
      </c>
      <c r="Q46">
        <v>82</v>
      </c>
    </row>
    <row r="47" spans="1:17" x14ac:dyDescent="0.25">
      <c r="J47" t="s">
        <v>917</v>
      </c>
      <c r="K47" t="s">
        <v>104</v>
      </c>
      <c r="L47">
        <v>17</v>
      </c>
      <c r="M47">
        <v>22</v>
      </c>
      <c r="N47">
        <v>0</v>
      </c>
      <c r="O47">
        <v>6</v>
      </c>
      <c r="P47">
        <v>1</v>
      </c>
      <c r="Q47">
        <v>46</v>
      </c>
    </row>
    <row r="48" spans="1:17" x14ac:dyDescent="0.25">
      <c r="J48" t="s">
        <v>917</v>
      </c>
      <c r="K48" t="s">
        <v>105</v>
      </c>
      <c r="L48">
        <v>6</v>
      </c>
      <c r="M48">
        <v>5</v>
      </c>
      <c r="N48">
        <v>1</v>
      </c>
      <c r="O48">
        <v>3</v>
      </c>
      <c r="P48">
        <v>0</v>
      </c>
      <c r="Q48">
        <v>15</v>
      </c>
    </row>
    <row r="49" spans="10:17" x14ac:dyDescent="0.25">
      <c r="J49" t="s">
        <v>917</v>
      </c>
      <c r="K49" t="s">
        <v>106</v>
      </c>
      <c r="L49">
        <v>2</v>
      </c>
      <c r="M49">
        <v>6</v>
      </c>
      <c r="N49">
        <v>0</v>
      </c>
      <c r="O49">
        <v>3</v>
      </c>
      <c r="P49">
        <v>2</v>
      </c>
      <c r="Q49">
        <v>13</v>
      </c>
    </row>
    <row r="50" spans="10:17" x14ac:dyDescent="0.25">
      <c r="J50" t="s">
        <v>917</v>
      </c>
      <c r="K50" t="s">
        <v>107</v>
      </c>
      <c r="L50">
        <v>0</v>
      </c>
      <c r="M50">
        <v>6</v>
      </c>
      <c r="N50">
        <v>0</v>
      </c>
      <c r="O50">
        <v>8</v>
      </c>
      <c r="P50">
        <v>0</v>
      </c>
      <c r="Q50">
        <v>14</v>
      </c>
    </row>
    <row r="51" spans="10:17" x14ac:dyDescent="0.25">
      <c r="J51" t="s">
        <v>917</v>
      </c>
      <c r="K51" t="s">
        <v>108</v>
      </c>
      <c r="L51">
        <v>1</v>
      </c>
      <c r="M51">
        <v>3</v>
      </c>
      <c r="N51">
        <v>0</v>
      </c>
      <c r="O51">
        <v>6</v>
      </c>
      <c r="P51">
        <v>1</v>
      </c>
      <c r="Q51">
        <v>11</v>
      </c>
    </row>
    <row r="52" spans="10:17" x14ac:dyDescent="0.25">
      <c r="J52" t="s">
        <v>917</v>
      </c>
      <c r="K52" t="s">
        <v>109</v>
      </c>
      <c r="L52">
        <v>0</v>
      </c>
      <c r="M52">
        <v>0</v>
      </c>
      <c r="N52">
        <v>1</v>
      </c>
      <c r="O52">
        <v>4</v>
      </c>
      <c r="P52">
        <v>0</v>
      </c>
      <c r="Q52">
        <v>5</v>
      </c>
    </row>
    <row r="53" spans="10:17" x14ac:dyDescent="0.25">
      <c r="J53" t="s">
        <v>917</v>
      </c>
      <c r="K53" t="s">
        <v>305</v>
      </c>
      <c r="L53">
        <v>0</v>
      </c>
      <c r="M53">
        <v>1</v>
      </c>
      <c r="N53">
        <v>0</v>
      </c>
      <c r="O53">
        <v>1</v>
      </c>
      <c r="P53">
        <v>0</v>
      </c>
      <c r="Q53">
        <v>2</v>
      </c>
    </row>
    <row r="54" spans="10:17" x14ac:dyDescent="0.25">
      <c r="J54" t="s">
        <v>1010</v>
      </c>
      <c r="K54" t="s">
        <v>101</v>
      </c>
      <c r="L54">
        <v>17</v>
      </c>
      <c r="M54">
        <v>39</v>
      </c>
      <c r="N54">
        <v>3</v>
      </c>
      <c r="O54">
        <v>14</v>
      </c>
      <c r="P54">
        <v>0</v>
      </c>
      <c r="Q54">
        <v>73</v>
      </c>
    </row>
    <row r="55" spans="10:17" x14ac:dyDescent="0.25">
      <c r="J55" t="s">
        <v>1010</v>
      </c>
      <c r="K55" t="s">
        <v>102</v>
      </c>
      <c r="L55">
        <v>44</v>
      </c>
      <c r="M55">
        <v>38</v>
      </c>
      <c r="N55">
        <v>2</v>
      </c>
      <c r="O55">
        <v>18</v>
      </c>
      <c r="P55">
        <v>1</v>
      </c>
      <c r="Q55">
        <v>103</v>
      </c>
    </row>
    <row r="56" spans="10:17" x14ac:dyDescent="0.25">
      <c r="J56" t="s">
        <v>1010</v>
      </c>
      <c r="K56" t="s">
        <v>103</v>
      </c>
      <c r="L56">
        <v>44</v>
      </c>
      <c r="M56">
        <v>35</v>
      </c>
      <c r="N56">
        <v>2</v>
      </c>
      <c r="O56">
        <v>16</v>
      </c>
      <c r="P56">
        <v>2</v>
      </c>
      <c r="Q56">
        <v>99</v>
      </c>
    </row>
    <row r="57" spans="10:17" x14ac:dyDescent="0.25">
      <c r="J57" t="s">
        <v>1010</v>
      </c>
      <c r="K57" t="s">
        <v>104</v>
      </c>
      <c r="L57">
        <v>17</v>
      </c>
      <c r="M57">
        <v>16</v>
      </c>
      <c r="N57">
        <v>2</v>
      </c>
      <c r="O57">
        <v>9</v>
      </c>
      <c r="P57">
        <v>2</v>
      </c>
      <c r="Q57">
        <v>46</v>
      </c>
    </row>
    <row r="58" spans="10:17" x14ac:dyDescent="0.25">
      <c r="J58" t="s">
        <v>1010</v>
      </c>
      <c r="K58" t="s">
        <v>105</v>
      </c>
      <c r="L58">
        <v>8</v>
      </c>
      <c r="M58">
        <v>14</v>
      </c>
      <c r="N58">
        <v>0</v>
      </c>
      <c r="O58">
        <v>15</v>
      </c>
      <c r="P58">
        <v>3</v>
      </c>
      <c r="Q58">
        <v>40</v>
      </c>
    </row>
    <row r="59" spans="10:17" x14ac:dyDescent="0.25">
      <c r="J59" t="s">
        <v>1010</v>
      </c>
      <c r="K59" t="s">
        <v>106</v>
      </c>
      <c r="L59">
        <v>3</v>
      </c>
      <c r="M59">
        <v>9</v>
      </c>
      <c r="N59">
        <v>0</v>
      </c>
      <c r="O59">
        <v>12</v>
      </c>
      <c r="P59">
        <v>0</v>
      </c>
      <c r="Q59">
        <v>24</v>
      </c>
    </row>
    <row r="60" spans="10:17" x14ac:dyDescent="0.25">
      <c r="J60" t="s">
        <v>1010</v>
      </c>
      <c r="K60" t="s">
        <v>107</v>
      </c>
      <c r="L60">
        <v>1</v>
      </c>
      <c r="M60">
        <v>5</v>
      </c>
      <c r="N60">
        <v>0</v>
      </c>
      <c r="O60">
        <v>14</v>
      </c>
      <c r="P60">
        <v>2</v>
      </c>
      <c r="Q60">
        <v>22</v>
      </c>
    </row>
    <row r="61" spans="10:17" x14ac:dyDescent="0.25">
      <c r="J61" t="s">
        <v>1010</v>
      </c>
      <c r="K61" t="s">
        <v>108</v>
      </c>
      <c r="L61">
        <v>0</v>
      </c>
      <c r="M61">
        <v>1</v>
      </c>
      <c r="N61">
        <v>0</v>
      </c>
      <c r="O61">
        <v>21</v>
      </c>
      <c r="P61">
        <v>0</v>
      </c>
      <c r="Q61">
        <v>22</v>
      </c>
    </row>
    <row r="62" spans="10:17" x14ac:dyDescent="0.25">
      <c r="J62" t="s">
        <v>1010</v>
      </c>
      <c r="K62" t="s">
        <v>109</v>
      </c>
      <c r="L62">
        <v>0</v>
      </c>
      <c r="M62">
        <v>1</v>
      </c>
      <c r="N62">
        <v>0</v>
      </c>
      <c r="O62">
        <v>14</v>
      </c>
      <c r="P62">
        <v>0</v>
      </c>
      <c r="Q62">
        <v>15</v>
      </c>
    </row>
    <row r="63" spans="10:17" x14ac:dyDescent="0.25">
      <c r="J63" t="s">
        <v>1010</v>
      </c>
      <c r="K63" t="s">
        <v>110</v>
      </c>
      <c r="L63">
        <v>0</v>
      </c>
      <c r="M63">
        <v>0</v>
      </c>
      <c r="N63">
        <v>0</v>
      </c>
      <c r="O63">
        <v>2</v>
      </c>
      <c r="P63">
        <v>0</v>
      </c>
      <c r="Q63">
        <v>2</v>
      </c>
    </row>
    <row r="64" spans="10:17" x14ac:dyDescent="0.25">
      <c r="J64" t="s">
        <v>1010</v>
      </c>
      <c r="K64" t="s">
        <v>305</v>
      </c>
      <c r="L64">
        <v>0</v>
      </c>
      <c r="M64">
        <v>3</v>
      </c>
      <c r="N64">
        <v>0</v>
      </c>
      <c r="O64">
        <v>0</v>
      </c>
      <c r="P64">
        <v>0</v>
      </c>
      <c r="Q64">
        <v>3</v>
      </c>
    </row>
    <row r="65" spans="10:17" x14ac:dyDescent="0.25">
      <c r="J65" t="s">
        <v>1061</v>
      </c>
      <c r="K65" t="s">
        <v>101</v>
      </c>
      <c r="L65">
        <v>27</v>
      </c>
      <c r="M65">
        <v>39</v>
      </c>
      <c r="N65">
        <v>1</v>
      </c>
      <c r="O65">
        <v>3</v>
      </c>
      <c r="P65">
        <v>3</v>
      </c>
      <c r="Q65">
        <v>73</v>
      </c>
    </row>
    <row r="66" spans="10:17" x14ac:dyDescent="0.25">
      <c r="J66" t="s">
        <v>1061</v>
      </c>
      <c r="K66" t="s">
        <v>102</v>
      </c>
      <c r="L66">
        <v>67</v>
      </c>
      <c r="M66">
        <v>39</v>
      </c>
      <c r="N66">
        <v>6</v>
      </c>
      <c r="O66">
        <v>8</v>
      </c>
      <c r="P66">
        <v>1</v>
      </c>
      <c r="Q66">
        <v>121</v>
      </c>
    </row>
    <row r="67" spans="10:17" x14ac:dyDescent="0.25">
      <c r="J67" t="s">
        <v>1061</v>
      </c>
      <c r="K67" t="s">
        <v>103</v>
      </c>
      <c r="L67">
        <v>68</v>
      </c>
      <c r="M67">
        <v>44</v>
      </c>
      <c r="N67">
        <v>5</v>
      </c>
      <c r="O67">
        <v>16</v>
      </c>
      <c r="P67">
        <v>2</v>
      </c>
      <c r="Q67">
        <v>135</v>
      </c>
    </row>
    <row r="68" spans="10:17" x14ac:dyDescent="0.25">
      <c r="J68" t="s">
        <v>1061</v>
      </c>
      <c r="K68" t="s">
        <v>104</v>
      </c>
      <c r="L68">
        <v>41</v>
      </c>
      <c r="M68">
        <v>29</v>
      </c>
      <c r="N68">
        <v>2</v>
      </c>
      <c r="O68">
        <v>7</v>
      </c>
      <c r="P68">
        <v>2</v>
      </c>
      <c r="Q68">
        <v>81</v>
      </c>
    </row>
    <row r="69" spans="10:17" x14ac:dyDescent="0.25">
      <c r="J69" t="s">
        <v>1061</v>
      </c>
      <c r="K69" t="s">
        <v>105</v>
      </c>
      <c r="L69">
        <v>16</v>
      </c>
      <c r="M69">
        <v>21</v>
      </c>
      <c r="N69">
        <v>2</v>
      </c>
      <c r="O69">
        <v>4</v>
      </c>
      <c r="P69">
        <v>2</v>
      </c>
      <c r="Q69">
        <v>45</v>
      </c>
    </row>
    <row r="70" spans="10:17" x14ac:dyDescent="0.25">
      <c r="J70" t="s">
        <v>1061</v>
      </c>
      <c r="K70" t="s">
        <v>106</v>
      </c>
      <c r="L70">
        <v>3</v>
      </c>
      <c r="M70">
        <v>5</v>
      </c>
      <c r="N70">
        <v>1</v>
      </c>
      <c r="O70">
        <v>3</v>
      </c>
      <c r="P70">
        <v>1</v>
      </c>
      <c r="Q70">
        <v>13</v>
      </c>
    </row>
    <row r="71" spans="10:17" x14ac:dyDescent="0.25">
      <c r="J71" t="s">
        <v>1061</v>
      </c>
      <c r="K71" t="s">
        <v>107</v>
      </c>
      <c r="L71">
        <v>3</v>
      </c>
      <c r="M71">
        <v>6</v>
      </c>
      <c r="N71">
        <v>1</v>
      </c>
      <c r="O71">
        <v>11</v>
      </c>
      <c r="P71">
        <v>1</v>
      </c>
      <c r="Q71">
        <v>22</v>
      </c>
    </row>
    <row r="72" spans="10:17" x14ac:dyDescent="0.25">
      <c r="J72" t="s">
        <v>1061</v>
      </c>
      <c r="K72" t="s">
        <v>108</v>
      </c>
      <c r="L72">
        <v>1</v>
      </c>
      <c r="M72">
        <v>11</v>
      </c>
      <c r="N72">
        <v>0</v>
      </c>
      <c r="O72">
        <v>10</v>
      </c>
      <c r="P72">
        <v>3</v>
      </c>
      <c r="Q72">
        <v>25</v>
      </c>
    </row>
    <row r="73" spans="10:17" x14ac:dyDescent="0.25">
      <c r="J73" t="s">
        <v>1061</v>
      </c>
      <c r="K73" t="s">
        <v>109</v>
      </c>
      <c r="L73">
        <v>0</v>
      </c>
      <c r="M73">
        <v>2</v>
      </c>
      <c r="N73">
        <v>0</v>
      </c>
      <c r="O73">
        <v>1</v>
      </c>
      <c r="P73">
        <v>0</v>
      </c>
      <c r="Q73">
        <v>3</v>
      </c>
    </row>
    <row r="74" spans="10:17" x14ac:dyDescent="0.25">
      <c r="J74" t="s">
        <v>1061</v>
      </c>
      <c r="K74" t="s">
        <v>110</v>
      </c>
      <c r="L74">
        <v>0</v>
      </c>
      <c r="M74">
        <v>0</v>
      </c>
      <c r="N74">
        <v>0</v>
      </c>
      <c r="O74">
        <v>1</v>
      </c>
      <c r="P74">
        <v>0</v>
      </c>
      <c r="Q74">
        <v>1</v>
      </c>
    </row>
    <row r="75" spans="10:17" x14ac:dyDescent="0.25">
      <c r="J75" t="s">
        <v>1061</v>
      </c>
      <c r="K75" t="s">
        <v>305</v>
      </c>
      <c r="L75">
        <v>0</v>
      </c>
      <c r="M75">
        <v>3</v>
      </c>
      <c r="N75">
        <v>0</v>
      </c>
      <c r="O75">
        <v>0</v>
      </c>
      <c r="P75">
        <v>0</v>
      </c>
      <c r="Q75">
        <v>3</v>
      </c>
    </row>
    <row r="76" spans="10:17" x14ac:dyDescent="0.25">
      <c r="J76" t="s">
        <v>1108</v>
      </c>
      <c r="K76" t="s">
        <v>101</v>
      </c>
      <c r="L76">
        <v>10</v>
      </c>
      <c r="M76">
        <v>58</v>
      </c>
      <c r="N76">
        <v>1</v>
      </c>
      <c r="O76">
        <v>2</v>
      </c>
      <c r="P76">
        <v>1</v>
      </c>
      <c r="Q76">
        <v>72</v>
      </c>
    </row>
    <row r="77" spans="10:17" x14ac:dyDescent="0.25">
      <c r="J77" t="s">
        <v>1108</v>
      </c>
      <c r="K77" t="s">
        <v>102</v>
      </c>
      <c r="L77">
        <v>34</v>
      </c>
      <c r="M77">
        <v>51</v>
      </c>
      <c r="N77">
        <v>0</v>
      </c>
      <c r="O77">
        <v>8</v>
      </c>
      <c r="P77">
        <v>4</v>
      </c>
      <c r="Q77">
        <v>97</v>
      </c>
    </row>
    <row r="78" spans="10:17" x14ac:dyDescent="0.25">
      <c r="J78" t="s">
        <v>1108</v>
      </c>
      <c r="K78" t="s">
        <v>103</v>
      </c>
      <c r="L78">
        <v>20</v>
      </c>
      <c r="M78">
        <v>44</v>
      </c>
      <c r="N78">
        <v>0</v>
      </c>
      <c r="O78">
        <v>10</v>
      </c>
      <c r="P78">
        <v>1</v>
      </c>
      <c r="Q78">
        <v>75</v>
      </c>
    </row>
    <row r="79" spans="10:17" x14ac:dyDescent="0.25">
      <c r="J79" t="s">
        <v>1108</v>
      </c>
      <c r="K79" t="s">
        <v>104</v>
      </c>
      <c r="L79">
        <v>17</v>
      </c>
      <c r="M79">
        <v>34</v>
      </c>
      <c r="N79">
        <v>0</v>
      </c>
      <c r="O79">
        <v>6</v>
      </c>
      <c r="P79">
        <v>2</v>
      </c>
      <c r="Q79">
        <v>59</v>
      </c>
    </row>
    <row r="80" spans="10:17" x14ac:dyDescent="0.25">
      <c r="J80" t="s">
        <v>1108</v>
      </c>
      <c r="K80" t="s">
        <v>105</v>
      </c>
      <c r="L80">
        <v>4</v>
      </c>
      <c r="M80">
        <v>23</v>
      </c>
      <c r="N80">
        <v>0</v>
      </c>
      <c r="O80">
        <v>6</v>
      </c>
      <c r="P80">
        <v>2</v>
      </c>
      <c r="Q80">
        <v>35</v>
      </c>
    </row>
    <row r="81" spans="10:17" x14ac:dyDescent="0.25">
      <c r="J81" t="s">
        <v>1108</v>
      </c>
      <c r="K81" t="s">
        <v>106</v>
      </c>
      <c r="L81">
        <v>2</v>
      </c>
      <c r="M81">
        <v>16</v>
      </c>
      <c r="N81">
        <v>0</v>
      </c>
      <c r="O81">
        <v>11</v>
      </c>
      <c r="P81">
        <v>4</v>
      </c>
      <c r="Q81">
        <v>33</v>
      </c>
    </row>
    <row r="82" spans="10:17" x14ac:dyDescent="0.25">
      <c r="J82" t="s">
        <v>1108</v>
      </c>
      <c r="K82" t="s">
        <v>107</v>
      </c>
      <c r="L82">
        <v>4</v>
      </c>
      <c r="M82">
        <v>6</v>
      </c>
      <c r="N82">
        <v>0</v>
      </c>
      <c r="O82">
        <v>10</v>
      </c>
      <c r="P82">
        <v>2</v>
      </c>
      <c r="Q82">
        <v>22</v>
      </c>
    </row>
    <row r="83" spans="10:17" x14ac:dyDescent="0.25">
      <c r="J83" t="s">
        <v>1108</v>
      </c>
      <c r="K83" t="s">
        <v>108</v>
      </c>
      <c r="L83">
        <v>1</v>
      </c>
      <c r="M83">
        <v>4</v>
      </c>
      <c r="N83">
        <v>0</v>
      </c>
      <c r="O83">
        <v>15</v>
      </c>
      <c r="P83">
        <v>2</v>
      </c>
      <c r="Q83">
        <v>22</v>
      </c>
    </row>
    <row r="84" spans="10:17" x14ac:dyDescent="0.25">
      <c r="J84" t="s">
        <v>1108</v>
      </c>
      <c r="K84" t="s">
        <v>109</v>
      </c>
      <c r="L84">
        <v>0</v>
      </c>
      <c r="M84">
        <v>1</v>
      </c>
      <c r="N84">
        <v>0</v>
      </c>
      <c r="O84">
        <v>2</v>
      </c>
      <c r="P84">
        <v>0</v>
      </c>
      <c r="Q84">
        <v>3</v>
      </c>
    </row>
    <row r="85" spans="10:17" x14ac:dyDescent="0.25">
      <c r="J85" t="s">
        <v>1108</v>
      </c>
      <c r="K85" t="s">
        <v>110</v>
      </c>
      <c r="L85">
        <v>0</v>
      </c>
      <c r="M85">
        <v>1</v>
      </c>
      <c r="N85">
        <v>0</v>
      </c>
      <c r="O85">
        <v>0</v>
      </c>
      <c r="P85">
        <v>0</v>
      </c>
      <c r="Q85">
        <v>1</v>
      </c>
    </row>
    <row r="86" spans="10:17" x14ac:dyDescent="0.25">
      <c r="J86" t="s">
        <v>1108</v>
      </c>
      <c r="K86" t="s">
        <v>111</v>
      </c>
      <c r="L86">
        <v>0</v>
      </c>
      <c r="M86">
        <v>1</v>
      </c>
      <c r="N86">
        <v>0</v>
      </c>
      <c r="O86">
        <v>0</v>
      </c>
      <c r="P86">
        <v>0</v>
      </c>
      <c r="Q86">
        <v>1</v>
      </c>
    </row>
    <row r="87" spans="10:17" x14ac:dyDescent="0.25">
      <c r="J87" t="s">
        <v>1108</v>
      </c>
      <c r="K87" t="s">
        <v>305</v>
      </c>
      <c r="L87">
        <v>0</v>
      </c>
      <c r="M87">
        <v>9</v>
      </c>
      <c r="N87">
        <v>0</v>
      </c>
      <c r="O87">
        <v>3</v>
      </c>
      <c r="P87">
        <v>0</v>
      </c>
      <c r="Q87">
        <v>12</v>
      </c>
    </row>
  </sheetData>
  <pageMargins left="0.7" right="0.7" top="0.75" bottom="0.75" header="0.3" footer="0.3"/>
  <tableParts count="4">
    <tablePart r:id="rId1"/>
    <tablePart r:id="rId2"/>
    <tablePart r:id="rId3"/>
    <tablePart r:id="rId4"/>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B12E3-0CA8-4E9A-A64A-99921B0B4B0C}">
  <sheetPr>
    <tabColor theme="9" tint="0.39997558519241921"/>
  </sheetPr>
  <dimension ref="A1:I50"/>
  <sheetViews>
    <sheetView workbookViewId="0">
      <selection activeCell="C11" sqref="C11"/>
    </sheetView>
  </sheetViews>
  <sheetFormatPr defaultRowHeight="15" x14ac:dyDescent="0.25"/>
  <cols>
    <col min="1" max="1" width="7.42578125" bestFit="1" customWidth="1"/>
    <col min="2" max="2" width="29.5703125" bestFit="1" customWidth="1"/>
    <col min="3" max="3" width="23.85546875" bestFit="1" customWidth="1"/>
    <col min="4" max="4" width="22.140625" bestFit="1" customWidth="1"/>
    <col min="5" max="5" width="19.42578125" bestFit="1" customWidth="1"/>
    <col min="6" max="6" width="9.5703125" bestFit="1" customWidth="1"/>
    <col min="7" max="7" width="9.85546875" bestFit="1" customWidth="1"/>
    <col min="8" max="8" width="12.5703125" bestFit="1" customWidth="1"/>
    <col min="9" max="9" width="7.42578125" bestFit="1" customWidth="1"/>
  </cols>
  <sheetData>
    <row r="1" spans="1:9" x14ac:dyDescent="0.25">
      <c r="A1" t="s">
        <v>1</v>
      </c>
      <c r="B1" t="s">
        <v>486</v>
      </c>
      <c r="C1" t="s">
        <v>27</v>
      </c>
      <c r="D1" t="s">
        <v>28</v>
      </c>
      <c r="E1" t="s">
        <v>831</v>
      </c>
      <c r="F1" t="s">
        <v>2</v>
      </c>
      <c r="G1" t="s">
        <v>3</v>
      </c>
      <c r="H1" t="s">
        <v>485</v>
      </c>
      <c r="I1" t="s">
        <v>26</v>
      </c>
    </row>
    <row r="2" spans="1:9" x14ac:dyDescent="0.25">
      <c r="A2" t="s">
        <v>239</v>
      </c>
      <c r="B2" t="s">
        <v>856</v>
      </c>
      <c r="C2">
        <v>3</v>
      </c>
      <c r="D2">
        <v>8</v>
      </c>
      <c r="E2">
        <v>0</v>
      </c>
      <c r="F2">
        <v>0</v>
      </c>
      <c r="G2">
        <v>2</v>
      </c>
      <c r="H2">
        <v>0</v>
      </c>
      <c r="I2">
        <v>13</v>
      </c>
    </row>
    <row r="3" spans="1:9" x14ac:dyDescent="0.25">
      <c r="A3" t="s">
        <v>239</v>
      </c>
      <c r="B3" t="s">
        <v>857</v>
      </c>
      <c r="C3">
        <v>0</v>
      </c>
      <c r="D3">
        <v>0</v>
      </c>
      <c r="E3">
        <v>0</v>
      </c>
      <c r="F3">
        <v>0</v>
      </c>
      <c r="G3">
        <v>4</v>
      </c>
      <c r="H3">
        <v>0</v>
      </c>
      <c r="I3">
        <v>4</v>
      </c>
    </row>
    <row r="4" spans="1:9" x14ac:dyDescent="0.25">
      <c r="A4" t="s">
        <v>239</v>
      </c>
      <c r="B4" t="s">
        <v>188</v>
      </c>
      <c r="C4">
        <v>4</v>
      </c>
      <c r="D4">
        <v>2</v>
      </c>
      <c r="E4">
        <v>0</v>
      </c>
      <c r="F4">
        <v>0</v>
      </c>
      <c r="G4">
        <v>1</v>
      </c>
      <c r="H4">
        <v>0</v>
      </c>
      <c r="I4">
        <v>7</v>
      </c>
    </row>
    <row r="5" spans="1:9" x14ac:dyDescent="0.25">
      <c r="A5" t="s">
        <v>239</v>
      </c>
      <c r="B5" t="s">
        <v>858</v>
      </c>
      <c r="C5">
        <v>13</v>
      </c>
      <c r="D5">
        <v>144</v>
      </c>
      <c r="E5">
        <v>0</v>
      </c>
      <c r="F5">
        <v>9</v>
      </c>
      <c r="G5">
        <v>49</v>
      </c>
      <c r="H5">
        <v>32</v>
      </c>
      <c r="I5">
        <v>247</v>
      </c>
    </row>
    <row r="6" spans="1:9" x14ac:dyDescent="0.25">
      <c r="A6" t="s">
        <v>239</v>
      </c>
      <c r="B6" t="s">
        <v>859</v>
      </c>
      <c r="C6">
        <v>46</v>
      </c>
      <c r="D6">
        <v>12</v>
      </c>
      <c r="E6">
        <v>0</v>
      </c>
      <c r="F6">
        <v>1</v>
      </c>
      <c r="G6">
        <v>3</v>
      </c>
      <c r="H6">
        <v>3</v>
      </c>
      <c r="I6">
        <v>65</v>
      </c>
    </row>
    <row r="7" spans="1:9" x14ac:dyDescent="0.25">
      <c r="A7" t="s">
        <v>239</v>
      </c>
      <c r="B7" t="s">
        <v>860</v>
      </c>
      <c r="C7">
        <v>110</v>
      </c>
      <c r="D7">
        <v>18</v>
      </c>
      <c r="E7">
        <v>0</v>
      </c>
      <c r="F7">
        <v>4</v>
      </c>
      <c r="G7">
        <v>12</v>
      </c>
      <c r="H7">
        <v>3</v>
      </c>
      <c r="I7">
        <v>147</v>
      </c>
    </row>
    <row r="8" spans="1:9" x14ac:dyDescent="0.25">
      <c r="A8" t="s">
        <v>239</v>
      </c>
      <c r="B8" t="s">
        <v>861</v>
      </c>
      <c r="C8">
        <v>0</v>
      </c>
      <c r="D8">
        <v>0</v>
      </c>
      <c r="E8">
        <v>0</v>
      </c>
      <c r="F8">
        <v>0</v>
      </c>
      <c r="G8">
        <v>12</v>
      </c>
      <c r="H8">
        <v>0</v>
      </c>
      <c r="I8">
        <v>12</v>
      </c>
    </row>
    <row r="9" spans="1:9" x14ac:dyDescent="0.25">
      <c r="A9" t="s">
        <v>239</v>
      </c>
      <c r="B9" t="s">
        <v>862</v>
      </c>
      <c r="C9">
        <v>8</v>
      </c>
      <c r="D9">
        <v>4</v>
      </c>
      <c r="E9">
        <v>0</v>
      </c>
      <c r="F9">
        <v>0</v>
      </c>
      <c r="G9">
        <v>1</v>
      </c>
      <c r="H9">
        <v>0</v>
      </c>
      <c r="I9">
        <v>13</v>
      </c>
    </row>
    <row r="10" spans="1:9" x14ac:dyDescent="0.25">
      <c r="A10" t="s">
        <v>239</v>
      </c>
      <c r="B10" t="s">
        <v>863</v>
      </c>
      <c r="C10">
        <v>2</v>
      </c>
      <c r="D10">
        <v>0</v>
      </c>
      <c r="E10">
        <v>0</v>
      </c>
      <c r="F10">
        <v>0</v>
      </c>
      <c r="G10">
        <v>0</v>
      </c>
      <c r="H10">
        <v>0</v>
      </c>
      <c r="I10">
        <v>2</v>
      </c>
    </row>
    <row r="11" spans="1:9" x14ac:dyDescent="0.25">
      <c r="A11" t="s">
        <v>239</v>
      </c>
      <c r="B11" t="s">
        <v>864</v>
      </c>
      <c r="C11">
        <v>0</v>
      </c>
      <c r="D11">
        <v>0</v>
      </c>
      <c r="E11">
        <v>0</v>
      </c>
      <c r="F11">
        <v>0</v>
      </c>
      <c r="G11">
        <v>47</v>
      </c>
      <c r="H11">
        <v>0</v>
      </c>
      <c r="I11">
        <v>47</v>
      </c>
    </row>
    <row r="12" spans="1:9" x14ac:dyDescent="0.25">
      <c r="A12" t="s">
        <v>239</v>
      </c>
      <c r="B12" t="s">
        <v>865</v>
      </c>
      <c r="C12">
        <v>0</v>
      </c>
      <c r="D12">
        <v>0</v>
      </c>
      <c r="E12">
        <v>0</v>
      </c>
      <c r="F12">
        <v>0</v>
      </c>
      <c r="G12">
        <v>17</v>
      </c>
      <c r="H12">
        <v>0</v>
      </c>
      <c r="I12">
        <v>17</v>
      </c>
    </row>
    <row r="13" spans="1:9" x14ac:dyDescent="0.25">
      <c r="A13" t="s">
        <v>760</v>
      </c>
      <c r="B13" t="s">
        <v>856</v>
      </c>
      <c r="C13">
        <v>4</v>
      </c>
      <c r="D13">
        <v>2</v>
      </c>
      <c r="E13">
        <v>0</v>
      </c>
      <c r="F13">
        <v>0</v>
      </c>
      <c r="G13">
        <v>1</v>
      </c>
      <c r="H13">
        <v>0</v>
      </c>
      <c r="I13">
        <v>7</v>
      </c>
    </row>
    <row r="14" spans="1:9" x14ac:dyDescent="0.25">
      <c r="A14" t="s">
        <v>760</v>
      </c>
      <c r="B14" t="s">
        <v>857</v>
      </c>
      <c r="C14">
        <v>0</v>
      </c>
      <c r="D14">
        <v>0</v>
      </c>
      <c r="E14">
        <v>0</v>
      </c>
      <c r="F14">
        <v>0</v>
      </c>
      <c r="G14">
        <v>7</v>
      </c>
      <c r="H14">
        <v>0</v>
      </c>
      <c r="I14">
        <v>7</v>
      </c>
    </row>
    <row r="15" spans="1:9" x14ac:dyDescent="0.25">
      <c r="A15" t="s">
        <v>760</v>
      </c>
      <c r="B15" t="s">
        <v>188</v>
      </c>
      <c r="C15">
        <v>2</v>
      </c>
      <c r="D15">
        <v>4</v>
      </c>
      <c r="E15">
        <v>0</v>
      </c>
      <c r="F15">
        <v>1</v>
      </c>
      <c r="G15">
        <v>0</v>
      </c>
      <c r="H15">
        <v>2</v>
      </c>
      <c r="I15">
        <v>9</v>
      </c>
    </row>
    <row r="16" spans="1:9" x14ac:dyDescent="0.25">
      <c r="A16" t="s">
        <v>760</v>
      </c>
      <c r="B16" t="s">
        <v>858</v>
      </c>
      <c r="C16">
        <v>21</v>
      </c>
      <c r="D16">
        <v>163</v>
      </c>
      <c r="E16">
        <v>0</v>
      </c>
      <c r="F16">
        <v>5</v>
      </c>
      <c r="G16">
        <v>29</v>
      </c>
      <c r="H16">
        <v>18</v>
      </c>
      <c r="I16">
        <v>236</v>
      </c>
    </row>
    <row r="17" spans="1:9" x14ac:dyDescent="0.25">
      <c r="A17" t="s">
        <v>760</v>
      </c>
      <c r="B17" t="s">
        <v>859</v>
      </c>
      <c r="C17">
        <v>16</v>
      </c>
      <c r="D17">
        <v>3</v>
      </c>
      <c r="E17">
        <v>0</v>
      </c>
      <c r="F17">
        <v>0</v>
      </c>
      <c r="G17">
        <v>1</v>
      </c>
      <c r="H17">
        <v>1</v>
      </c>
      <c r="I17">
        <v>21</v>
      </c>
    </row>
    <row r="18" spans="1:9" x14ac:dyDescent="0.25">
      <c r="A18" t="s">
        <v>760</v>
      </c>
      <c r="B18" t="s">
        <v>860</v>
      </c>
      <c r="C18">
        <v>152</v>
      </c>
      <c r="D18">
        <v>41</v>
      </c>
      <c r="E18">
        <v>0</v>
      </c>
      <c r="F18">
        <v>6</v>
      </c>
      <c r="G18">
        <v>14</v>
      </c>
      <c r="H18">
        <v>4</v>
      </c>
      <c r="I18">
        <v>217</v>
      </c>
    </row>
    <row r="19" spans="1:9" x14ac:dyDescent="0.25">
      <c r="A19" t="s">
        <v>760</v>
      </c>
      <c r="B19" t="s">
        <v>862</v>
      </c>
      <c r="C19">
        <v>7</v>
      </c>
      <c r="D19">
        <v>5</v>
      </c>
      <c r="E19">
        <v>0</v>
      </c>
      <c r="F19">
        <v>1</v>
      </c>
      <c r="G19">
        <v>1</v>
      </c>
      <c r="H19">
        <v>0</v>
      </c>
      <c r="I19">
        <v>14</v>
      </c>
    </row>
    <row r="20" spans="1:9" x14ac:dyDescent="0.25">
      <c r="A20" t="s">
        <v>917</v>
      </c>
      <c r="B20" t="s">
        <v>856</v>
      </c>
      <c r="C20">
        <v>3</v>
      </c>
      <c r="D20">
        <v>6</v>
      </c>
      <c r="E20">
        <v>0</v>
      </c>
      <c r="F20">
        <v>2</v>
      </c>
      <c r="G20">
        <v>1</v>
      </c>
      <c r="H20">
        <v>0</v>
      </c>
      <c r="I20">
        <v>12</v>
      </c>
    </row>
    <row r="21" spans="1:9" x14ac:dyDescent="0.25">
      <c r="A21" t="s">
        <v>917</v>
      </c>
      <c r="B21" t="s">
        <v>857</v>
      </c>
      <c r="C21">
        <v>0</v>
      </c>
      <c r="D21">
        <v>0</v>
      </c>
      <c r="E21">
        <v>0</v>
      </c>
      <c r="F21">
        <v>2</v>
      </c>
      <c r="G21">
        <v>7</v>
      </c>
      <c r="H21">
        <v>0</v>
      </c>
      <c r="I21">
        <v>9</v>
      </c>
    </row>
    <row r="22" spans="1:9" x14ac:dyDescent="0.25">
      <c r="A22" t="s">
        <v>917</v>
      </c>
      <c r="B22" t="s">
        <v>188</v>
      </c>
      <c r="C22">
        <v>2</v>
      </c>
      <c r="D22">
        <v>3</v>
      </c>
      <c r="E22">
        <v>0</v>
      </c>
      <c r="F22">
        <v>0</v>
      </c>
      <c r="G22">
        <v>2</v>
      </c>
      <c r="H22">
        <v>0</v>
      </c>
      <c r="I22">
        <v>7</v>
      </c>
    </row>
    <row r="23" spans="1:9" x14ac:dyDescent="0.25">
      <c r="A23" t="s">
        <v>917</v>
      </c>
      <c r="B23" t="s">
        <v>858</v>
      </c>
      <c r="C23">
        <v>8</v>
      </c>
      <c r="D23">
        <v>130</v>
      </c>
      <c r="E23">
        <v>0</v>
      </c>
      <c r="F23">
        <v>0</v>
      </c>
      <c r="G23">
        <v>20</v>
      </c>
      <c r="H23">
        <v>17</v>
      </c>
      <c r="I23">
        <v>175</v>
      </c>
    </row>
    <row r="24" spans="1:9" x14ac:dyDescent="0.25">
      <c r="A24" t="s">
        <v>917</v>
      </c>
      <c r="B24" t="s">
        <v>860</v>
      </c>
      <c r="C24">
        <v>175</v>
      </c>
      <c r="D24">
        <v>44</v>
      </c>
      <c r="E24">
        <v>0</v>
      </c>
      <c r="F24">
        <v>5</v>
      </c>
      <c r="G24">
        <v>13</v>
      </c>
      <c r="H24">
        <v>2</v>
      </c>
      <c r="I24">
        <v>239</v>
      </c>
    </row>
    <row r="25" spans="1:9" x14ac:dyDescent="0.25">
      <c r="A25" t="s">
        <v>917</v>
      </c>
      <c r="B25" t="s">
        <v>861</v>
      </c>
      <c r="C25">
        <v>0</v>
      </c>
      <c r="D25">
        <v>1</v>
      </c>
      <c r="E25">
        <v>0</v>
      </c>
      <c r="F25">
        <v>0</v>
      </c>
      <c r="G25">
        <v>0</v>
      </c>
      <c r="H25">
        <v>1</v>
      </c>
      <c r="I25">
        <v>2</v>
      </c>
    </row>
    <row r="26" spans="1:9" x14ac:dyDescent="0.25">
      <c r="A26" t="s">
        <v>917</v>
      </c>
      <c r="B26" t="s">
        <v>862</v>
      </c>
      <c r="C26">
        <v>5</v>
      </c>
      <c r="D26">
        <v>5</v>
      </c>
      <c r="E26">
        <v>0</v>
      </c>
      <c r="F26">
        <v>1</v>
      </c>
      <c r="G26">
        <v>1</v>
      </c>
      <c r="H26">
        <v>0</v>
      </c>
      <c r="I26">
        <v>12</v>
      </c>
    </row>
    <row r="27" spans="1:9" x14ac:dyDescent="0.25">
      <c r="A27" t="s">
        <v>1010</v>
      </c>
      <c r="B27" t="s">
        <v>856</v>
      </c>
      <c r="C27">
        <v>1</v>
      </c>
      <c r="D27">
        <v>9</v>
      </c>
      <c r="E27">
        <v>0</v>
      </c>
      <c r="F27">
        <v>0</v>
      </c>
      <c r="G27">
        <v>1</v>
      </c>
      <c r="H27">
        <v>0</v>
      </c>
      <c r="I27">
        <v>11</v>
      </c>
    </row>
    <row r="28" spans="1:9" x14ac:dyDescent="0.25">
      <c r="A28" t="s">
        <v>1010</v>
      </c>
      <c r="B28" t="s">
        <v>857</v>
      </c>
      <c r="C28">
        <v>1</v>
      </c>
      <c r="D28">
        <v>0</v>
      </c>
      <c r="E28">
        <v>0</v>
      </c>
      <c r="F28">
        <v>1</v>
      </c>
      <c r="G28">
        <v>12</v>
      </c>
      <c r="H28">
        <v>0</v>
      </c>
      <c r="I28">
        <v>14</v>
      </c>
    </row>
    <row r="29" spans="1:9" x14ac:dyDescent="0.25">
      <c r="A29" t="s">
        <v>1010</v>
      </c>
      <c r="B29" t="s">
        <v>188</v>
      </c>
      <c r="C29">
        <v>2</v>
      </c>
      <c r="D29">
        <v>2</v>
      </c>
      <c r="E29">
        <v>0</v>
      </c>
      <c r="F29">
        <v>0</v>
      </c>
      <c r="G29">
        <v>2</v>
      </c>
      <c r="H29">
        <v>0</v>
      </c>
      <c r="I29">
        <v>6</v>
      </c>
    </row>
    <row r="30" spans="1:9" x14ac:dyDescent="0.25">
      <c r="A30" t="s">
        <v>1010</v>
      </c>
      <c r="B30" t="s">
        <v>858</v>
      </c>
      <c r="C30">
        <v>19</v>
      </c>
      <c r="D30">
        <v>174</v>
      </c>
      <c r="E30">
        <v>0</v>
      </c>
      <c r="F30">
        <v>10</v>
      </c>
      <c r="G30">
        <v>42</v>
      </c>
      <c r="H30">
        <v>26</v>
      </c>
      <c r="I30">
        <v>271</v>
      </c>
    </row>
    <row r="31" spans="1:9" x14ac:dyDescent="0.25">
      <c r="A31" t="s">
        <v>1010</v>
      </c>
      <c r="B31" t="s">
        <v>860</v>
      </c>
      <c r="C31">
        <v>173</v>
      </c>
      <c r="D31">
        <v>61</v>
      </c>
      <c r="E31">
        <v>0</v>
      </c>
      <c r="F31">
        <v>8</v>
      </c>
      <c r="G31">
        <v>15</v>
      </c>
      <c r="H31">
        <v>6</v>
      </c>
      <c r="I31">
        <v>263</v>
      </c>
    </row>
    <row r="32" spans="1:9" x14ac:dyDescent="0.25">
      <c r="A32" t="s">
        <v>1010</v>
      </c>
      <c r="B32" t="s">
        <v>862</v>
      </c>
      <c r="C32">
        <v>3</v>
      </c>
      <c r="D32">
        <v>2</v>
      </c>
      <c r="E32">
        <v>0</v>
      </c>
      <c r="F32">
        <v>1</v>
      </c>
      <c r="G32">
        <v>4</v>
      </c>
      <c r="H32">
        <v>0</v>
      </c>
      <c r="I32">
        <v>10</v>
      </c>
    </row>
    <row r="33" spans="1:9" x14ac:dyDescent="0.25">
      <c r="A33" t="s">
        <v>1010</v>
      </c>
      <c r="B33" t="s">
        <v>863</v>
      </c>
      <c r="C33">
        <v>2</v>
      </c>
      <c r="D33">
        <v>0</v>
      </c>
      <c r="E33">
        <v>0</v>
      </c>
      <c r="F33">
        <v>0</v>
      </c>
      <c r="G33">
        <v>0</v>
      </c>
      <c r="H33">
        <v>0</v>
      </c>
      <c r="I33">
        <v>2</v>
      </c>
    </row>
    <row r="34" spans="1:9" x14ac:dyDescent="0.25">
      <c r="A34" t="s">
        <v>1061</v>
      </c>
      <c r="B34" t="s">
        <v>856</v>
      </c>
      <c r="C34">
        <v>2</v>
      </c>
      <c r="D34">
        <v>5</v>
      </c>
      <c r="E34">
        <v>0</v>
      </c>
      <c r="F34">
        <v>1</v>
      </c>
      <c r="G34">
        <v>3</v>
      </c>
      <c r="H34">
        <v>0</v>
      </c>
      <c r="I34">
        <v>11</v>
      </c>
    </row>
    <row r="35" spans="1:9" x14ac:dyDescent="0.25">
      <c r="A35" t="s">
        <v>1061</v>
      </c>
      <c r="B35" t="s">
        <v>857</v>
      </c>
      <c r="C35">
        <v>0</v>
      </c>
      <c r="D35">
        <v>0</v>
      </c>
      <c r="E35">
        <v>0</v>
      </c>
      <c r="F35">
        <v>1</v>
      </c>
      <c r="G35">
        <v>3</v>
      </c>
      <c r="H35">
        <v>0</v>
      </c>
      <c r="I35">
        <v>4</v>
      </c>
    </row>
    <row r="36" spans="1:9" x14ac:dyDescent="0.25">
      <c r="A36" t="s">
        <v>1061</v>
      </c>
      <c r="B36" t="s">
        <v>188</v>
      </c>
      <c r="C36">
        <v>3</v>
      </c>
      <c r="D36">
        <v>3</v>
      </c>
      <c r="E36">
        <v>0</v>
      </c>
      <c r="F36">
        <v>1</v>
      </c>
      <c r="G36">
        <v>2</v>
      </c>
      <c r="H36">
        <v>0</v>
      </c>
      <c r="I36">
        <v>9</v>
      </c>
    </row>
    <row r="37" spans="1:9" x14ac:dyDescent="0.25">
      <c r="A37" t="s">
        <v>1061</v>
      </c>
      <c r="B37" t="s">
        <v>858</v>
      </c>
      <c r="C37">
        <v>39</v>
      </c>
      <c r="D37">
        <v>145</v>
      </c>
      <c r="E37">
        <v>2</v>
      </c>
      <c r="F37">
        <v>18</v>
      </c>
      <c r="G37">
        <v>67</v>
      </c>
      <c r="H37">
        <v>25</v>
      </c>
      <c r="I37">
        <v>296</v>
      </c>
    </row>
    <row r="38" spans="1:9" x14ac:dyDescent="0.25">
      <c r="A38" t="s">
        <v>1061</v>
      </c>
      <c r="B38" t="s">
        <v>860</v>
      </c>
      <c r="C38">
        <v>289</v>
      </c>
      <c r="D38">
        <v>56</v>
      </c>
      <c r="E38">
        <v>0</v>
      </c>
      <c r="F38">
        <v>7</v>
      </c>
      <c r="G38">
        <v>17</v>
      </c>
      <c r="H38">
        <v>3</v>
      </c>
      <c r="I38">
        <v>372</v>
      </c>
    </row>
    <row r="39" spans="1:9" x14ac:dyDescent="0.25">
      <c r="A39" t="s">
        <v>1061</v>
      </c>
      <c r="B39" t="s">
        <v>861</v>
      </c>
      <c r="C39">
        <v>0</v>
      </c>
      <c r="D39">
        <v>0</v>
      </c>
      <c r="E39">
        <v>0</v>
      </c>
      <c r="F39">
        <v>0</v>
      </c>
      <c r="G39">
        <v>1</v>
      </c>
      <c r="H39">
        <v>0</v>
      </c>
      <c r="I39">
        <v>1</v>
      </c>
    </row>
    <row r="40" spans="1:9" x14ac:dyDescent="0.25">
      <c r="A40" t="s">
        <v>1061</v>
      </c>
      <c r="B40" t="s">
        <v>862</v>
      </c>
      <c r="C40">
        <v>2</v>
      </c>
      <c r="D40">
        <v>7</v>
      </c>
      <c r="E40">
        <v>0</v>
      </c>
      <c r="F40">
        <v>0</v>
      </c>
      <c r="G40">
        <v>0</v>
      </c>
      <c r="H40">
        <v>0</v>
      </c>
      <c r="I40">
        <v>9</v>
      </c>
    </row>
    <row r="41" spans="1:9" x14ac:dyDescent="0.25">
      <c r="A41" t="s">
        <v>1061</v>
      </c>
      <c r="B41" t="s">
        <v>863</v>
      </c>
      <c r="C41">
        <v>1</v>
      </c>
      <c r="D41">
        <v>0</v>
      </c>
      <c r="E41">
        <v>0</v>
      </c>
      <c r="F41">
        <v>0</v>
      </c>
      <c r="G41">
        <v>0</v>
      </c>
      <c r="H41">
        <v>0</v>
      </c>
      <c r="I41">
        <v>1</v>
      </c>
    </row>
    <row r="42" spans="1:9" x14ac:dyDescent="0.25">
      <c r="A42" t="s">
        <v>1108</v>
      </c>
      <c r="B42" t="s">
        <v>856</v>
      </c>
      <c r="C42">
        <v>4</v>
      </c>
      <c r="D42">
        <v>5</v>
      </c>
      <c r="E42">
        <v>1</v>
      </c>
      <c r="F42">
        <v>0</v>
      </c>
      <c r="G42">
        <v>1</v>
      </c>
      <c r="H42">
        <v>0</v>
      </c>
      <c r="I42">
        <v>11</v>
      </c>
    </row>
    <row r="43" spans="1:9" x14ac:dyDescent="0.25">
      <c r="A43" t="s">
        <v>1108</v>
      </c>
      <c r="B43" t="s">
        <v>857</v>
      </c>
      <c r="C43">
        <v>0</v>
      </c>
      <c r="D43">
        <v>0</v>
      </c>
      <c r="E43">
        <v>0</v>
      </c>
      <c r="F43">
        <v>0</v>
      </c>
      <c r="G43">
        <v>16</v>
      </c>
      <c r="H43">
        <v>0</v>
      </c>
      <c r="I43">
        <v>16</v>
      </c>
    </row>
    <row r="44" spans="1:9" x14ac:dyDescent="0.25">
      <c r="A44" t="s">
        <v>1108</v>
      </c>
      <c r="B44" t="s">
        <v>188</v>
      </c>
      <c r="C44">
        <v>3</v>
      </c>
      <c r="D44">
        <v>2</v>
      </c>
      <c r="E44">
        <v>0</v>
      </c>
      <c r="F44">
        <v>0</v>
      </c>
      <c r="G44">
        <v>0</v>
      </c>
      <c r="H44">
        <v>0</v>
      </c>
      <c r="I44">
        <v>5</v>
      </c>
    </row>
    <row r="45" spans="1:9" x14ac:dyDescent="0.25">
      <c r="A45" t="s">
        <v>1108</v>
      </c>
      <c r="B45" t="s">
        <v>1168</v>
      </c>
      <c r="C45">
        <v>0</v>
      </c>
      <c r="D45">
        <v>0</v>
      </c>
      <c r="E45">
        <v>0</v>
      </c>
      <c r="F45">
        <v>0</v>
      </c>
      <c r="G45">
        <v>0</v>
      </c>
      <c r="H45">
        <v>2</v>
      </c>
      <c r="I45">
        <v>2</v>
      </c>
    </row>
    <row r="46" spans="1:9" x14ac:dyDescent="0.25">
      <c r="A46" t="s">
        <v>1108</v>
      </c>
      <c r="B46" t="s">
        <v>858</v>
      </c>
      <c r="C46">
        <v>28</v>
      </c>
      <c r="D46">
        <v>175</v>
      </c>
      <c r="E46">
        <v>1</v>
      </c>
      <c r="F46">
        <v>13</v>
      </c>
      <c r="G46">
        <v>39</v>
      </c>
      <c r="H46">
        <v>13</v>
      </c>
      <c r="I46">
        <v>269</v>
      </c>
    </row>
    <row r="47" spans="1:9" x14ac:dyDescent="0.25">
      <c r="A47" t="s">
        <v>1108</v>
      </c>
      <c r="B47" t="s">
        <v>859</v>
      </c>
      <c r="C47">
        <v>0</v>
      </c>
      <c r="D47">
        <v>1</v>
      </c>
      <c r="E47">
        <v>0</v>
      </c>
      <c r="F47">
        <v>0</v>
      </c>
      <c r="G47">
        <v>0</v>
      </c>
      <c r="H47">
        <v>0</v>
      </c>
      <c r="I47">
        <v>1</v>
      </c>
    </row>
    <row r="48" spans="1:9" x14ac:dyDescent="0.25">
      <c r="A48" t="s">
        <v>1108</v>
      </c>
      <c r="B48" t="s">
        <v>860</v>
      </c>
      <c r="C48">
        <v>117</v>
      </c>
      <c r="D48">
        <v>57</v>
      </c>
      <c r="E48">
        <v>0</v>
      </c>
      <c r="F48">
        <v>1</v>
      </c>
      <c r="G48">
        <v>20</v>
      </c>
      <c r="H48">
        <v>2</v>
      </c>
      <c r="I48">
        <v>197</v>
      </c>
    </row>
    <row r="49" spans="1:9" x14ac:dyDescent="0.25">
      <c r="A49" t="s">
        <v>1108</v>
      </c>
      <c r="B49" t="s">
        <v>862</v>
      </c>
      <c r="C49">
        <v>4</v>
      </c>
      <c r="D49">
        <v>3</v>
      </c>
      <c r="E49">
        <v>0</v>
      </c>
      <c r="F49">
        <v>0</v>
      </c>
      <c r="G49">
        <v>0</v>
      </c>
      <c r="H49">
        <v>0</v>
      </c>
      <c r="I49">
        <v>7</v>
      </c>
    </row>
    <row r="50" spans="1:9" x14ac:dyDescent="0.25">
      <c r="A50" t="s">
        <v>1108</v>
      </c>
      <c r="B50" t="s">
        <v>863</v>
      </c>
      <c r="C50">
        <v>2</v>
      </c>
      <c r="D50">
        <v>0</v>
      </c>
      <c r="E50">
        <v>0</v>
      </c>
      <c r="F50">
        <v>0</v>
      </c>
      <c r="G50">
        <v>0</v>
      </c>
      <c r="H50">
        <v>0</v>
      </c>
      <c r="I50">
        <v>2</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9" tint="0.39997558519241921"/>
  </sheetPr>
  <dimension ref="A1:G13"/>
  <sheetViews>
    <sheetView workbookViewId="0">
      <selection activeCell="B7" sqref="B7"/>
    </sheetView>
  </sheetViews>
  <sheetFormatPr defaultRowHeight="15" x14ac:dyDescent="0.25"/>
  <cols>
    <col min="1" max="1" width="29.5703125" bestFit="1" customWidth="1"/>
    <col min="2" max="2" width="27.85546875" bestFit="1" customWidth="1"/>
    <col min="3" max="3" width="26.28515625" bestFit="1" customWidth="1"/>
    <col min="4" max="4" width="23.42578125" bestFit="1" customWidth="1"/>
    <col min="5" max="5" width="13.5703125" bestFit="1" customWidth="1"/>
    <col min="6" max="6" width="14" bestFit="1" customWidth="1"/>
    <col min="7" max="7" width="16.85546875" bestFit="1" customWidth="1"/>
  </cols>
  <sheetData>
    <row r="1" spans="1:7" x14ac:dyDescent="0.25">
      <c r="A1" s="394" t="s">
        <v>1</v>
      </c>
      <c r="B1" t="s">
        <v>1108</v>
      </c>
    </row>
    <row r="3" spans="1:7" x14ac:dyDescent="0.25">
      <c r="A3" s="394" t="s">
        <v>231</v>
      </c>
      <c r="B3" t="s">
        <v>977</v>
      </c>
      <c r="C3" t="s">
        <v>978</v>
      </c>
      <c r="D3" t="s">
        <v>979</v>
      </c>
      <c r="E3" t="s">
        <v>246</v>
      </c>
      <c r="F3" t="s">
        <v>247</v>
      </c>
      <c r="G3" t="s">
        <v>981</v>
      </c>
    </row>
    <row r="4" spans="1:7" x14ac:dyDescent="0.25">
      <c r="A4" s="395" t="s">
        <v>856</v>
      </c>
      <c r="B4">
        <v>4</v>
      </c>
      <c r="C4">
        <v>5</v>
      </c>
      <c r="D4">
        <v>1</v>
      </c>
      <c r="E4">
        <v>0</v>
      </c>
      <c r="F4">
        <v>1</v>
      </c>
      <c r="G4">
        <v>0</v>
      </c>
    </row>
    <row r="5" spans="1:7" x14ac:dyDescent="0.25">
      <c r="A5" s="395" t="s">
        <v>857</v>
      </c>
      <c r="B5">
        <v>0</v>
      </c>
      <c r="C5">
        <v>0</v>
      </c>
      <c r="D5">
        <v>0</v>
      </c>
      <c r="E5">
        <v>0</v>
      </c>
      <c r="F5">
        <v>16</v>
      </c>
      <c r="G5">
        <v>0</v>
      </c>
    </row>
    <row r="6" spans="1:7" x14ac:dyDescent="0.25">
      <c r="A6" s="395" t="s">
        <v>188</v>
      </c>
      <c r="B6">
        <v>3</v>
      </c>
      <c r="C6">
        <v>2</v>
      </c>
      <c r="D6">
        <v>0</v>
      </c>
      <c r="E6">
        <v>0</v>
      </c>
      <c r="F6">
        <v>0</v>
      </c>
      <c r="G6">
        <v>0</v>
      </c>
    </row>
    <row r="7" spans="1:7" x14ac:dyDescent="0.25">
      <c r="A7" s="395" t="s">
        <v>858</v>
      </c>
      <c r="B7">
        <v>28</v>
      </c>
      <c r="C7">
        <v>175</v>
      </c>
      <c r="D7">
        <v>1</v>
      </c>
      <c r="E7">
        <v>13</v>
      </c>
      <c r="F7">
        <v>39</v>
      </c>
      <c r="G7">
        <v>13</v>
      </c>
    </row>
    <row r="8" spans="1:7" x14ac:dyDescent="0.25">
      <c r="A8" s="395" t="s">
        <v>859</v>
      </c>
      <c r="B8">
        <v>0</v>
      </c>
      <c r="C8">
        <v>1</v>
      </c>
      <c r="D8">
        <v>0</v>
      </c>
      <c r="E8">
        <v>0</v>
      </c>
      <c r="F8">
        <v>0</v>
      </c>
      <c r="G8">
        <v>0</v>
      </c>
    </row>
    <row r="9" spans="1:7" x14ac:dyDescent="0.25">
      <c r="A9" s="395" t="s">
        <v>860</v>
      </c>
      <c r="B9">
        <v>117</v>
      </c>
      <c r="C9">
        <v>57</v>
      </c>
      <c r="D9">
        <v>0</v>
      </c>
      <c r="E9">
        <v>1</v>
      </c>
      <c r="F9">
        <v>20</v>
      </c>
      <c r="G9">
        <v>2</v>
      </c>
    </row>
    <row r="10" spans="1:7" x14ac:dyDescent="0.25">
      <c r="A10" s="395" t="s">
        <v>862</v>
      </c>
      <c r="B10">
        <v>4</v>
      </c>
      <c r="C10">
        <v>3</v>
      </c>
      <c r="D10">
        <v>0</v>
      </c>
      <c r="E10">
        <v>0</v>
      </c>
      <c r="F10">
        <v>0</v>
      </c>
      <c r="G10">
        <v>0</v>
      </c>
    </row>
    <row r="11" spans="1:7" x14ac:dyDescent="0.25">
      <c r="A11" s="395" t="s">
        <v>863</v>
      </c>
      <c r="B11">
        <v>2</v>
      </c>
      <c r="C11">
        <v>0</v>
      </c>
      <c r="D11">
        <v>0</v>
      </c>
      <c r="E11">
        <v>0</v>
      </c>
      <c r="F11">
        <v>0</v>
      </c>
      <c r="G11">
        <v>0</v>
      </c>
    </row>
    <row r="12" spans="1:7" x14ac:dyDescent="0.25">
      <c r="A12" s="395" t="s">
        <v>1168</v>
      </c>
      <c r="B12">
        <v>0</v>
      </c>
      <c r="C12">
        <v>0</v>
      </c>
      <c r="D12">
        <v>0</v>
      </c>
      <c r="E12">
        <v>0</v>
      </c>
      <c r="F12">
        <v>0</v>
      </c>
      <c r="G12">
        <v>2</v>
      </c>
    </row>
    <row r="13" spans="1:7" x14ac:dyDescent="0.25">
      <c r="A13" s="395" t="s">
        <v>236</v>
      </c>
      <c r="B13">
        <v>158</v>
      </c>
      <c r="C13">
        <v>243</v>
      </c>
      <c r="D13">
        <v>2</v>
      </c>
      <c r="E13">
        <v>14</v>
      </c>
      <c r="F13">
        <v>76</v>
      </c>
      <c r="G13">
        <v>17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9" tint="0.39997558519241921"/>
  </sheetPr>
  <dimension ref="A1:N30"/>
  <sheetViews>
    <sheetView showGridLines="0" zoomScaleNormal="100" workbookViewId="0">
      <pane ySplit="2" topLeftCell="A3" activePane="bottomLeft" state="frozen"/>
      <selection pane="bottomLeft" sqref="A1:C1"/>
    </sheetView>
  </sheetViews>
  <sheetFormatPr defaultRowHeight="15" x14ac:dyDescent="0.25"/>
  <cols>
    <col min="1" max="1" width="35.85546875" customWidth="1"/>
    <col min="2" max="2" width="12.5703125" customWidth="1"/>
    <col min="3" max="3" width="13.7109375" customWidth="1"/>
    <col min="4" max="4" width="13.140625" customWidth="1"/>
    <col min="5" max="14" width="12.140625" customWidth="1"/>
  </cols>
  <sheetData>
    <row r="1" spans="1:14" ht="15.75" x14ac:dyDescent="0.25">
      <c r="A1" s="993" t="s">
        <v>450</v>
      </c>
      <c r="B1" s="993"/>
      <c r="C1" s="993"/>
      <c r="D1" s="449"/>
    </row>
    <row r="2" spans="1:14" ht="15.75" x14ac:dyDescent="0.25">
      <c r="A2" s="507" t="s">
        <v>511</v>
      </c>
      <c r="B2" s="449"/>
      <c r="C2" s="449"/>
      <c r="D2" s="449"/>
    </row>
    <row r="4" spans="1:14" ht="15.75" x14ac:dyDescent="0.25">
      <c r="A4" s="994" t="s">
        <v>491</v>
      </c>
      <c r="B4" s="994"/>
      <c r="C4" s="994"/>
      <c r="D4" s="994"/>
      <c r="E4" s="994"/>
      <c r="F4" s="994"/>
      <c r="G4" s="994"/>
      <c r="H4" s="994"/>
      <c r="I4" s="994"/>
    </row>
    <row r="5" spans="1:14" ht="15.75" x14ac:dyDescent="0.25">
      <c r="A5" t="s">
        <v>328</v>
      </c>
      <c r="B5" t="s">
        <v>693</v>
      </c>
      <c r="C5" s="234"/>
      <c r="D5" s="234"/>
      <c r="E5" s="234"/>
      <c r="F5" s="234"/>
      <c r="G5" s="234"/>
      <c r="H5" s="234"/>
      <c r="I5" s="234"/>
    </row>
    <row r="6" spans="1:14" ht="15.75" x14ac:dyDescent="0.25">
      <c r="A6" t="s">
        <v>329</v>
      </c>
      <c r="B6" t="s">
        <v>331</v>
      </c>
      <c r="C6" s="234"/>
      <c r="D6" s="234"/>
      <c r="E6" s="234"/>
      <c r="F6" s="234"/>
      <c r="G6" s="234"/>
      <c r="H6" s="234"/>
      <c r="I6" s="234"/>
    </row>
    <row r="7" spans="1:14" x14ac:dyDescent="0.25">
      <c r="A7" t="s">
        <v>330</v>
      </c>
      <c r="B7" t="s">
        <v>332</v>
      </c>
    </row>
    <row r="9" spans="1:14" x14ac:dyDescent="0.25">
      <c r="A9" s="317" t="s">
        <v>1</v>
      </c>
    </row>
    <row r="10" spans="1:14" x14ac:dyDescent="0.25">
      <c r="A10" s="317" t="str">
        <f>leaverspivot!$B$1</f>
        <v>2023-24</v>
      </c>
    </row>
    <row r="11" spans="1:14" s="468" customFormat="1" ht="30" x14ac:dyDescent="0.25">
      <c r="A11" s="504" t="s">
        <v>486</v>
      </c>
      <c r="B11" s="657" t="s">
        <v>27</v>
      </c>
      <c r="C11" s="657" t="s">
        <v>28</v>
      </c>
      <c r="D11" s="657" t="s">
        <v>831</v>
      </c>
      <c r="E11" s="657" t="s">
        <v>2</v>
      </c>
      <c r="F11" s="657" t="s">
        <v>3</v>
      </c>
      <c r="G11" s="657" t="s">
        <v>485</v>
      </c>
      <c r="H11" s="657" t="s">
        <v>10</v>
      </c>
      <c r="I11"/>
      <c r="J11"/>
      <c r="K11"/>
      <c r="L11"/>
      <c r="M11"/>
      <c r="N11"/>
    </row>
    <row r="12" spans="1:14" x14ac:dyDescent="0.25">
      <c r="A12" s="317" t="s">
        <v>856</v>
      </c>
      <c r="B12" s="623">
        <f>IFERROR(GETPIVOTDATA("Sum of Wholetime Operational",leaverspivot!$A$3,"Reason for Leaving","Dismissal"),"-")</f>
        <v>4</v>
      </c>
      <c r="C12" s="623">
        <f>IFERROR(GETPIVOTDATA("Sum of Retained Duty System",leaverspivot!$A$3,"Reason for Leaving","Dismissal"),"-")</f>
        <v>5</v>
      </c>
      <c r="D12" s="623">
        <f>GETPIVOTDATA("Sum of Retained Full-time",leaverspivot!$A$3,"Reason for Leaving","Dismissal")</f>
        <v>1</v>
      </c>
      <c r="E12" s="623">
        <f>IFERROR(GETPIVOTDATA("Sum of Control",leaverspivot!$A$3,"Reason for Leaving","Dismissal"),"-")</f>
        <v>0</v>
      </c>
      <c r="F12" s="623">
        <f>IFERROR(GETPIVOTDATA("Sum of Support",leaverspivot!$A$3,"Reason for Leaving","Dismissal"),"-")</f>
        <v>1</v>
      </c>
      <c r="G12" s="623">
        <f>IFERROR(GETPIVOTDATA("Sum of Volunteers",leaverspivot!$A$3,"Reason for Leaving","Dismissal"),"-")</f>
        <v>0</v>
      </c>
      <c r="H12" s="624">
        <f>SUM(B12:G12)</f>
        <v>11</v>
      </c>
    </row>
    <row r="13" spans="1:14" x14ac:dyDescent="0.25">
      <c r="A13" s="317" t="s">
        <v>857</v>
      </c>
      <c r="B13" s="623">
        <f>IFERROR(GETPIVOTDATA("Sum of Wholetime Operational",leaverspivot!$A$3,"Reason for Leaving","End of contract"),"-")</f>
        <v>0</v>
      </c>
      <c r="C13" s="623">
        <f>IFERROR(GETPIVOTDATA("Sum of Retained Duty System",leaverspivot!$A$3,"Reason for Leaving","End of contract"),"-")</f>
        <v>0</v>
      </c>
      <c r="D13" s="623">
        <f>GETPIVOTDATA("Sum of Retained Full-time",leaverspivot!$A$3,"Reason for Leaving","End of contract")</f>
        <v>0</v>
      </c>
      <c r="E13" s="623">
        <f>IFERROR(GETPIVOTDATA("Sum of Control",leaverspivot!$A$3,"Reason for Leaving","End of contract"),"-")</f>
        <v>0</v>
      </c>
      <c r="F13" s="623">
        <f>IFERROR(GETPIVOTDATA("Sum of Support",leaverspivot!$A$3,"Reason for Leaving","End of contract"),"-")</f>
        <v>16</v>
      </c>
      <c r="G13" s="623">
        <f>IFERROR(GETPIVOTDATA("Sum of Volunteers",leaverspivot!$A$3,"Reason for Leaving","End of contract"),"-")</f>
        <v>0</v>
      </c>
      <c r="H13" s="624">
        <f t="shared" ref="H13:H22" si="0">SUM(B13:G13)</f>
        <v>16</v>
      </c>
    </row>
    <row r="14" spans="1:14" x14ac:dyDescent="0.25">
      <c r="A14" s="317" t="s">
        <v>188</v>
      </c>
      <c r="B14" s="623">
        <f>IFERROR(GETPIVOTDATA("Sum of Wholetime Operational",leaverspivot!$A$3,"Reason for Leaving","Other"),"-")</f>
        <v>3</v>
      </c>
      <c r="C14" s="623">
        <f>IFERROR(GETPIVOTDATA("Sum of Retained Duty System",leaverspivot!$A$3,"Reason for Leaving","Other"),"-")</f>
        <v>2</v>
      </c>
      <c r="D14" s="623">
        <f>GETPIVOTDATA("Sum of Retained Full-time",leaverspivot!$A$3,"Reason for Leaving","Other")</f>
        <v>0</v>
      </c>
      <c r="E14" s="623">
        <f>IFERROR(GETPIVOTDATA("Sum of Control",leaverspivot!$A$3,"Reason for Leaving","Other"),"-")</f>
        <v>0</v>
      </c>
      <c r="F14" s="623">
        <f>IFERROR(GETPIVOTDATA("Sum of Support",leaverspivot!$A$3,"Reason for Leaving","Other"),"-")</f>
        <v>0</v>
      </c>
      <c r="G14" s="623">
        <f>IFERROR(GETPIVOTDATA("Sum of Volunteers",leaverspivot!$A$3,"Reason for Leaving","Other"),"-")</f>
        <v>0</v>
      </c>
      <c r="H14" s="624">
        <f t="shared" si="0"/>
        <v>5</v>
      </c>
    </row>
    <row r="15" spans="1:14" x14ac:dyDescent="0.25">
      <c r="A15" s="317" t="s">
        <v>858</v>
      </c>
      <c r="B15" s="623">
        <f>IFERROR(GETPIVOTDATA("Sum of Wholetime Operational",leaverspivot!$A$3,"Reason for Leaving","Resignation"),"-")</f>
        <v>28</v>
      </c>
      <c r="C15" s="623">
        <f>IFERROR(GETPIVOTDATA("Sum of Retained Duty System",leaverspivot!$A$3,"Reason for Leaving","Resignation"),"-")</f>
        <v>175</v>
      </c>
      <c r="D15" s="623">
        <f>GETPIVOTDATA("Sum of Retained Full-time",leaverspivot!$A$3,"Reason for Leaving","Resignation")</f>
        <v>1</v>
      </c>
      <c r="E15" s="623">
        <f>IFERROR(GETPIVOTDATA("Sum of Control",leaverspivot!$A$3,"Reason for Leaving","Resignation"),"-")</f>
        <v>13</v>
      </c>
      <c r="F15" s="623">
        <f>IFERROR(GETPIVOTDATA("Sum of Support",leaverspivot!$A$3,"Reason for Leaving","Resignation"),"-")</f>
        <v>39</v>
      </c>
      <c r="G15" s="623">
        <f>IFERROR(GETPIVOTDATA("Sum of Volunteers",leaverspivot!$A$3,"Reason for Leaving","Resignation"),"-")</f>
        <v>13</v>
      </c>
      <c r="H15" s="624">
        <f t="shared" si="0"/>
        <v>269</v>
      </c>
    </row>
    <row r="16" spans="1:14" x14ac:dyDescent="0.25">
      <c r="A16" s="317" t="s">
        <v>859</v>
      </c>
      <c r="B16" s="623">
        <f>IFERROR(GETPIVOTDATA("Sum of Wholetime Operational",leaverspivot!$A$3,"Reason for Leaving","Retirement - 30 Years Service"),"-")</f>
        <v>0</v>
      </c>
      <c r="C16" s="623">
        <f>IFERROR(GETPIVOTDATA("Sum of Retained Duty System",leaverspivot!$A$3,"Reason for Leaving","Retirement - 30 Years Service"),"-")</f>
        <v>1</v>
      </c>
      <c r="D16" s="623">
        <f>GETPIVOTDATA("Sum of Retained Full-time",leaverspivot!$A$3,"Reason for Leaving","Retirement - Age")</f>
        <v>0</v>
      </c>
      <c r="E16" s="623">
        <f>IFERROR(GETPIVOTDATA("Sum of Control",leaverspivot!$A$3,"Reason for Leaving","Retirement - 30 Years Service"),"-")</f>
        <v>0</v>
      </c>
      <c r="F16" s="623">
        <f>IFERROR(GETPIVOTDATA("Sum of Support",leaverspivot!$A$3,"Reason for Leaving","Retirement - 30 Years Service"),"-")</f>
        <v>0</v>
      </c>
      <c r="G16" s="623">
        <f>IFERROR(GETPIVOTDATA("Sum of Volunteers",leaverspivot!$A$3,"Reason for Leaving","Retirement - 30 Years Service"),"-")</f>
        <v>0</v>
      </c>
      <c r="H16" s="624">
        <f t="shared" si="0"/>
        <v>1</v>
      </c>
    </row>
    <row r="17" spans="1:14" x14ac:dyDescent="0.25">
      <c r="A17" s="317" t="s">
        <v>860</v>
      </c>
      <c r="B17" s="623">
        <f>IFERROR(GETPIVOTDATA("Sum of Wholetime Operational",leaverspivot!$A$3,"Reason for Leaving","Retirement - Age"),"-")</f>
        <v>117</v>
      </c>
      <c r="C17" s="623">
        <f>IFERROR(GETPIVOTDATA("Sum of Retained Duty System",leaverspivot!$A$3,"Reason for Leaving","Retirement - Age"),"-")</f>
        <v>57</v>
      </c>
      <c r="D17" s="623">
        <f>GETPIVOTDATA("Sum of Retained Full-time",leaverspivot!$A$3,"Reason for Leaving","Retirement - Age")</f>
        <v>0</v>
      </c>
      <c r="E17" s="623">
        <f>IFERROR(GETPIVOTDATA("Sum of Control",leaverspivot!$A$3,"Reason for Leaving","Retirement - Age"),"-")</f>
        <v>1</v>
      </c>
      <c r="F17" s="623">
        <f>IFERROR(GETPIVOTDATA("Sum of Support",leaverspivot!$A$3,"Reason for Leaving","Retirement - Age"),"-")</f>
        <v>20</v>
      </c>
      <c r="G17" s="623">
        <f>IFERROR(GETPIVOTDATA("Sum of Volunteers",leaverspivot!$A$3,"Reason for Leaving","Retirement - Age"),"-")</f>
        <v>2</v>
      </c>
      <c r="H17" s="624">
        <f t="shared" si="0"/>
        <v>197</v>
      </c>
    </row>
    <row r="18" spans="1:14" x14ac:dyDescent="0.25">
      <c r="A18" s="317" t="s">
        <v>861</v>
      </c>
      <c r="B18" s="623" t="str">
        <f>IFERROR(GETPIVOTDATA("Sum of Wholetime Operational",leaverspivot!$A$3,"Reason for Leaving","Retirement - Early"),"-")</f>
        <v>-</v>
      </c>
      <c r="C18" s="623" t="str">
        <f>IFERROR(GETPIVOTDATA("Sum of Retained Duty System",leaverspivot!$A$3,"Reason for Leaving","Retirement - Early"),"-")</f>
        <v>-</v>
      </c>
      <c r="D18" s="623" t="str">
        <f>IFERROR("-", GETPIVOTDATA("Sum of Retained Full-time",leaverspivot!$A$3,"Reason for Leaving","Retirement - Early"))</f>
        <v>-</v>
      </c>
      <c r="E18" s="623" t="str">
        <f>IFERROR(GETPIVOTDATA("Sum of Control",leaverspivot!$A$3,"Reason for Leaving","Retirement - Early"),"-")</f>
        <v>-</v>
      </c>
      <c r="F18" s="623" t="str">
        <f>IFERROR(GETPIVOTDATA("Sum of Support",leaverspivot!$A$3,"Reason for Leaving","Retirement - Early"),"-")</f>
        <v>-</v>
      </c>
      <c r="G18" s="623" t="str">
        <f>IFERROR(GETPIVOTDATA("Sum of Volunteers",leaverspivot!$A$3,"Reason for Leaving","Retirement - Early"),"-")</f>
        <v>-</v>
      </c>
      <c r="H18" s="624">
        <f t="shared" si="0"/>
        <v>0</v>
      </c>
    </row>
    <row r="19" spans="1:14" x14ac:dyDescent="0.25">
      <c r="A19" s="317" t="s">
        <v>862</v>
      </c>
      <c r="B19" s="623">
        <f>IFERROR(GETPIVOTDATA("Sum of Wholetime Operational",leaverspivot!$A$3,"Reason for Leaving","Retirement - Health"),"-")</f>
        <v>4</v>
      </c>
      <c r="C19" s="623">
        <f>IFERROR(GETPIVOTDATA("Sum of Retained Duty System",leaverspivot!$A$3,"Reason for Leaving","Retirement - Health"),"-")</f>
        <v>3</v>
      </c>
      <c r="D19" s="623">
        <f>GETPIVOTDATA("Sum of Retained Full-time",leaverspivot!$A$3,"Reason for Leaving","Retirement - Health")</f>
        <v>0</v>
      </c>
      <c r="E19" s="623">
        <f>IFERROR(GETPIVOTDATA("Sum of Control",leaverspivot!$A$3,"Reason for Leaving","Retirement - Health"),"-")</f>
        <v>0</v>
      </c>
      <c r="F19" s="623">
        <f>IFERROR(GETPIVOTDATA("Sum of Support",leaverspivot!$A$3,"Reason for Leaving","Retirement - Health"),"-")</f>
        <v>0</v>
      </c>
      <c r="G19" s="623">
        <f>IFERROR(GETPIVOTDATA("Sum of Volunteers",leaverspivot!$A$3,"Reason for Leaving","Retirement - Health"),"-")</f>
        <v>0</v>
      </c>
      <c r="H19" s="624">
        <f t="shared" si="0"/>
        <v>7</v>
      </c>
    </row>
    <row r="20" spans="1:14" x14ac:dyDescent="0.25">
      <c r="A20" s="317" t="s">
        <v>863</v>
      </c>
      <c r="B20" s="623">
        <f>IFERROR(GETPIVOTDATA("Sum of Wholetime Operational",leaverspivot!$A$3,"Reason for Leaving","Transfer - To another F&amp;R Service"),"-")</f>
        <v>2</v>
      </c>
      <c r="C20" s="623">
        <f>IFERROR(GETPIVOTDATA("Sum of Retained Duty System",leaverspivot!$A$3,"Reason for Leaving","Transfer - To another F&amp;R Service"),"-")</f>
        <v>0</v>
      </c>
      <c r="D20" s="623" t="str">
        <f>IFERROR("-", GETPIVOTDATA("Sum of Retained Full-time",leaverspivot!$A$3,"Reason for Leaving","Transfer - To another F&amp;R Service"))</f>
        <v>-</v>
      </c>
      <c r="E20" s="623">
        <f>IFERROR(GETPIVOTDATA("Sum of Control",leaverspivot!$A$3,"Reason for Leaving","Transfer - To another F&amp;R Service"),"-")</f>
        <v>0</v>
      </c>
      <c r="F20" s="623">
        <f>IFERROR(GETPIVOTDATA("Sum of Support",leaverspivot!$A$3,"Reason for Leaving","Transfer - To another F&amp;R Service"),"-")</f>
        <v>0</v>
      </c>
      <c r="G20" s="623">
        <f>IFERROR(GETPIVOTDATA("Sum of Volunteers",leaverspivot!$A$3,"Reason for Leaving","Transfer - To another F&amp;R Service"),"-")</f>
        <v>0</v>
      </c>
      <c r="H20" s="624">
        <f t="shared" si="0"/>
        <v>2</v>
      </c>
    </row>
    <row r="21" spans="1:14" x14ac:dyDescent="0.25">
      <c r="A21" s="317" t="s">
        <v>864</v>
      </c>
      <c r="B21" s="623" t="str">
        <f>IFERROR(GETPIVOTDATA("Sum of Wholetime Operational",leaverspivot!$A$3,"Reason for Leaving","TUPE Transfer"),"-")</f>
        <v>-</v>
      </c>
      <c r="C21" s="623" t="str">
        <f>IFERROR(GETPIVOTDATA("Sum of Retained Duty System",leaverspivot!$A$3,"Reason for Leaving","TUPE Transfer"),"-")</f>
        <v>-</v>
      </c>
      <c r="D21" s="623" t="str">
        <f>IFERROR(GETPIVOTDATA("Sum of Retained Full-time",leaverspivot!$A$3,"Reason for Leaving","TUPE Transfer"),"-")</f>
        <v>-</v>
      </c>
      <c r="E21" s="623" t="str">
        <f>IFERROR(GETPIVOTDATA("Sum of Control",leaverspivot!$A$3,"Reason for Leaving","TUPE Transfer"),"-")</f>
        <v>-</v>
      </c>
      <c r="F21" s="623" t="str">
        <f>IFERROR(GETPIVOTDATA("Sum of Support",leaverspivot!$A$3,"Reason for Leaving","TUPE Transfer"),"-")</f>
        <v>-</v>
      </c>
      <c r="G21" s="623" t="str">
        <f>IFERROR(GETPIVOTDATA("Sum of Volunteers",leaverspivot!$A$3,"Reason for Leaving","TUPE Transfer"),"-")</f>
        <v>-</v>
      </c>
      <c r="H21" s="624">
        <f t="shared" si="0"/>
        <v>0</v>
      </c>
    </row>
    <row r="22" spans="1:14" x14ac:dyDescent="0.25">
      <c r="A22" s="317" t="s">
        <v>865</v>
      </c>
      <c r="B22" s="623" t="str">
        <f>IFERROR(GETPIVOTDATA("Sum of Wholetime Operational",leaverspivot!$A$3,"Reason for Leaving","Voluntary Severance"),"-")</f>
        <v>-</v>
      </c>
      <c r="C22" s="623" t="str">
        <f>IFERROR(GETPIVOTDATA("Sum of Retained Duty System",leaverspivot!$A$3,"Reason for Leaving","Voluntary Severance"),"-")</f>
        <v>-</v>
      </c>
      <c r="D22" s="623" t="str">
        <f>IFERROR(GETPIVOTDATA("Sum of Retained Full-time",leaverspivot!$A$3,"Reason for Leaving","Voluntary Severance"),"-")</f>
        <v>-</v>
      </c>
      <c r="E22" s="623" t="str">
        <f>IFERROR(GETPIVOTDATA("Sum of Control",leaverspivot!$A$3,"Reason for Leaving","Voluntary Severance"),"-")</f>
        <v>-</v>
      </c>
      <c r="F22" s="623" t="str">
        <f>IFERROR(GETPIVOTDATA("Sum of Support",leaverspivot!$A$3,"Reason for Leaving","Voluntary Severance"),"-")</f>
        <v>-</v>
      </c>
      <c r="G22" s="623" t="str">
        <f>IFERROR(GETPIVOTDATA("Sum of Volunteers",leaverspivot!$A$3,"Reason for Leaving","Voluntary Severance"),"-")</f>
        <v>-</v>
      </c>
      <c r="H22" s="624">
        <f t="shared" si="0"/>
        <v>0</v>
      </c>
    </row>
    <row r="23" spans="1:14" ht="15.75" thickBot="1" x14ac:dyDescent="0.3">
      <c r="A23" s="503" t="s">
        <v>365</v>
      </c>
      <c r="B23" s="503">
        <f t="shared" ref="B23:H23" si="1">SUM(B12:B22)</f>
        <v>158</v>
      </c>
      <c r="C23" s="503">
        <f t="shared" si="1"/>
        <v>243</v>
      </c>
      <c r="D23" s="503">
        <f t="shared" si="1"/>
        <v>2</v>
      </c>
      <c r="E23" s="503">
        <f t="shared" si="1"/>
        <v>14</v>
      </c>
      <c r="F23" s="503">
        <f>SUM(F12:F22)</f>
        <v>76</v>
      </c>
      <c r="G23" s="503">
        <f>SUM(G12:G22)</f>
        <v>15</v>
      </c>
      <c r="H23" s="503">
        <f t="shared" si="1"/>
        <v>508</v>
      </c>
    </row>
    <row r="25" spans="1:14" x14ac:dyDescent="0.25">
      <c r="A25" s="339" t="s">
        <v>8</v>
      </c>
    </row>
    <row r="26" spans="1:14" ht="31.5" customHeight="1" x14ac:dyDescent="0.25">
      <c r="A26" s="996" t="s">
        <v>1053</v>
      </c>
      <c r="B26" s="996"/>
      <c r="C26" s="996"/>
      <c r="D26" s="996"/>
      <c r="E26" s="996"/>
      <c r="F26" s="996"/>
      <c r="G26" s="996"/>
      <c r="H26" s="996"/>
      <c r="I26" s="996"/>
      <c r="J26" s="996"/>
      <c r="K26" s="820"/>
      <c r="L26" s="820"/>
      <c r="M26" s="820"/>
      <c r="N26" s="820"/>
    </row>
    <row r="28" spans="1:14" ht="15" customHeight="1" x14ac:dyDescent="0.25"/>
    <row r="30" spans="1:14" x14ac:dyDescent="0.25">
      <c r="B30" s="569"/>
      <c r="C30" s="569"/>
      <c r="D30" s="569"/>
      <c r="E30" s="569"/>
      <c r="F30" s="569"/>
      <c r="G30" s="569"/>
      <c r="H30" s="569"/>
      <c r="I30" s="569"/>
    </row>
  </sheetData>
  <sheetProtection algorithmName="SHA-512" hashValue="8FhL96q7kKQOUPsUkUsPLGDT4P4LQL7i3kXxtosAQztLVtuyF+6xGc9Uz4bgZikeM/ozMnrRLT4ydOFYfRSncw==" saltValue="4DYpyPVUuZNAMh2nIT+F1w==" spinCount="100000" sheet="1" scenarios="1" formatCells="0" sort="0" autoFilter="0" pivotTables="0"/>
  <mergeCells count="3">
    <mergeCell ref="A1:C1"/>
    <mergeCell ref="A4:I4"/>
    <mergeCell ref="A26:J26"/>
  </mergeCells>
  <hyperlinks>
    <hyperlink ref="A2" location="'Table of Contents'!A1" display="Back to Table of Contents" xr:uid="{00000000-0004-0000-72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9" tint="0.39997558519241921"/>
    <pageSetUpPr fitToPage="1"/>
  </sheetPr>
  <dimension ref="A1:H6"/>
  <sheetViews>
    <sheetView showGridLines="0" zoomScaleNormal="100" workbookViewId="0">
      <pane ySplit="2" topLeftCell="A3" activePane="bottomLeft" state="frozen"/>
      <selection pane="bottomLeft" sqref="A1:C1"/>
    </sheetView>
  </sheetViews>
  <sheetFormatPr defaultRowHeight="15" x14ac:dyDescent="0.25"/>
  <sheetData>
    <row r="1" spans="1:8" ht="15.75" x14ac:dyDescent="0.25">
      <c r="A1" s="993" t="s">
        <v>450</v>
      </c>
      <c r="B1" s="993"/>
      <c r="C1" s="993"/>
    </row>
    <row r="2" spans="1:8" ht="15.75" x14ac:dyDescent="0.25">
      <c r="A2" s="507" t="s">
        <v>511</v>
      </c>
      <c r="B2" s="449"/>
      <c r="C2" s="449"/>
    </row>
    <row r="4" spans="1:8" ht="15.75" x14ac:dyDescent="0.25">
      <c r="A4" s="994" t="s">
        <v>493</v>
      </c>
      <c r="B4" s="994"/>
      <c r="C4" s="994"/>
      <c r="D4" s="994"/>
      <c r="E4" s="994"/>
      <c r="F4" s="994"/>
      <c r="G4" s="994"/>
      <c r="H4" s="994"/>
    </row>
    <row r="5" spans="1:8" x14ac:dyDescent="0.25">
      <c r="A5" s="571" t="s">
        <v>721</v>
      </c>
    </row>
    <row r="6" spans="1:8" x14ac:dyDescent="0.25">
      <c r="A6" s="571" t="s">
        <v>654</v>
      </c>
    </row>
  </sheetData>
  <sheetProtection algorithmName="SHA-512" hashValue="MsCVxhusVMqX2EBPlimCnkdE2R3iwbDby1u01VnLTqFXU2YIgP7rPBhKn4eMamkO9wFxKL7wdgjJla9gQBYKXA==" saltValue="Mw6ZN0uXjeTA8FfZAO1d5Q==" spinCount="100000" sheet="1" scenarios="1" formatCells="0" sort="0" autoFilter="0" pivotTables="0"/>
  <mergeCells count="2">
    <mergeCell ref="A1:C1"/>
    <mergeCell ref="A4:H4"/>
  </mergeCells>
  <hyperlinks>
    <hyperlink ref="A2" location="'Table of Contents'!A1" display="Back to Table of Contents" xr:uid="{00000000-0004-0000-7400-000000000000}"/>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9" tint="0.39997558519241921"/>
  </sheetPr>
  <dimension ref="A1:H6"/>
  <sheetViews>
    <sheetView showGridLines="0" workbookViewId="0">
      <pane ySplit="2" topLeftCell="A3" activePane="bottomLeft" state="frozen"/>
      <selection pane="bottomLeft" sqref="A1:C1"/>
    </sheetView>
  </sheetViews>
  <sheetFormatPr defaultRowHeight="15" x14ac:dyDescent="0.25"/>
  <sheetData>
    <row r="1" spans="1:8" ht="15.75" x14ac:dyDescent="0.25">
      <c r="A1" s="993" t="s">
        <v>450</v>
      </c>
      <c r="B1" s="993"/>
      <c r="C1" s="993"/>
    </row>
    <row r="2" spans="1:8" ht="15.75" x14ac:dyDescent="0.25">
      <c r="A2" s="507" t="s">
        <v>511</v>
      </c>
      <c r="B2" s="449"/>
      <c r="C2" s="449"/>
    </row>
    <row r="4" spans="1:8" ht="15.75" x14ac:dyDescent="0.25">
      <c r="A4" s="994" t="s">
        <v>494</v>
      </c>
      <c r="B4" s="994"/>
      <c r="C4" s="994"/>
      <c r="D4" s="994"/>
      <c r="E4" s="994"/>
      <c r="F4" s="994"/>
      <c r="G4" s="994"/>
      <c r="H4" s="994"/>
    </row>
    <row r="5" spans="1:8" x14ac:dyDescent="0.25">
      <c r="A5" s="571" t="s">
        <v>721</v>
      </c>
    </row>
    <row r="6" spans="1:8" x14ac:dyDescent="0.25">
      <c r="A6" s="571" t="s">
        <v>655</v>
      </c>
    </row>
  </sheetData>
  <sheetProtection algorithmName="SHA-512" hashValue="mq76AIrmQ/B+BPJ1g5cYP5g2ev55HxdGqAJedjrIQHGkJ0OGRfZekU80GDMTGnm2pP8q8mIE3PKlT67iSq4rtg==" saltValue="KpmG7efzivB+yDYfS8hpFQ==" spinCount="100000" sheet="1" scenarios="1" formatCells="0" sort="0" autoFilter="0" pivotTables="0"/>
  <mergeCells count="2">
    <mergeCell ref="A1:C1"/>
    <mergeCell ref="A4:H4"/>
  </mergeCells>
  <hyperlinks>
    <hyperlink ref="A2" location="'Table of Contents'!A1" display="Back to Table of Contents" xr:uid="{00000000-0004-0000-7500-000000000000}"/>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9" tint="0.39997558519241921"/>
    <pageSetUpPr fitToPage="1"/>
  </sheetPr>
  <dimension ref="A1:H6"/>
  <sheetViews>
    <sheetView showGridLines="0" workbookViewId="0">
      <pane ySplit="2" topLeftCell="A3" activePane="bottomLeft" state="frozen"/>
      <selection pane="bottomLeft" sqref="A1:C1"/>
    </sheetView>
  </sheetViews>
  <sheetFormatPr defaultRowHeight="15" x14ac:dyDescent="0.25"/>
  <sheetData>
    <row r="1" spans="1:8" ht="15.75" x14ac:dyDescent="0.25">
      <c r="A1" s="993" t="s">
        <v>450</v>
      </c>
      <c r="B1" s="993"/>
      <c r="C1" s="993"/>
    </row>
    <row r="2" spans="1:8" ht="15.75" x14ac:dyDescent="0.25">
      <c r="A2" s="507" t="s">
        <v>511</v>
      </c>
      <c r="B2" s="449"/>
      <c r="C2" s="449"/>
    </row>
    <row r="4" spans="1:8" ht="15.75" x14ac:dyDescent="0.25">
      <c r="A4" s="994" t="s">
        <v>1247</v>
      </c>
      <c r="B4" s="994"/>
      <c r="C4" s="994"/>
      <c r="D4" s="994"/>
      <c r="E4" s="994"/>
      <c r="F4" s="994"/>
      <c r="G4" s="994"/>
      <c r="H4" s="994"/>
    </row>
    <row r="5" spans="1:8" x14ac:dyDescent="0.25">
      <c r="A5" s="571" t="s">
        <v>721</v>
      </c>
    </row>
    <row r="6" spans="1:8" x14ac:dyDescent="0.25">
      <c r="A6" s="571" t="s">
        <v>656</v>
      </c>
    </row>
  </sheetData>
  <sheetProtection algorithmName="SHA-512" hashValue="+Sh6yzuHwn4TE4Hu2tiNaNilscjsfZue2pGIo7inpp1IjDMOK0qG3znSbxmuUFWQKAsb4rPrK9QEFWywPMTHKQ==" saltValue="asER/87d3BelnFX8sUCcIA==" spinCount="100000" sheet="1" scenarios="1" formatCells="0" sort="0" autoFilter="0" pivotTables="0"/>
  <mergeCells count="2">
    <mergeCell ref="A1:C1"/>
    <mergeCell ref="A4:H4"/>
  </mergeCells>
  <hyperlinks>
    <hyperlink ref="A2" location="'Table of Contents'!A1" display="Back to Table of Contents" xr:uid="{00000000-0004-0000-76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9" tint="0.39997558519241921"/>
    <pageSetUpPr fitToPage="1"/>
  </sheetPr>
  <dimension ref="A1:H6"/>
  <sheetViews>
    <sheetView showGridLines="0" zoomScaleNormal="100" workbookViewId="0">
      <pane ySplit="2" topLeftCell="A3" activePane="bottomLeft" state="frozen"/>
      <selection pane="bottomLeft" sqref="A1:C1"/>
    </sheetView>
  </sheetViews>
  <sheetFormatPr defaultRowHeight="15" x14ac:dyDescent="0.25"/>
  <sheetData>
    <row r="1" spans="1:8" ht="15.75" x14ac:dyDescent="0.25">
      <c r="A1" s="993" t="s">
        <v>450</v>
      </c>
      <c r="B1" s="993"/>
      <c r="C1" s="993"/>
    </row>
    <row r="2" spans="1:8" ht="15.75" x14ac:dyDescent="0.25">
      <c r="A2" s="507" t="s">
        <v>511</v>
      </c>
      <c r="B2" s="449"/>
      <c r="C2" s="449"/>
    </row>
    <row r="4" spans="1:8" ht="15.75" x14ac:dyDescent="0.25">
      <c r="A4" s="994" t="s">
        <v>464</v>
      </c>
      <c r="B4" s="994"/>
      <c r="C4" s="994"/>
      <c r="D4" s="994"/>
      <c r="E4" s="994"/>
      <c r="F4" s="994"/>
      <c r="G4" s="994"/>
      <c r="H4" s="994"/>
    </row>
    <row r="5" spans="1:8" x14ac:dyDescent="0.25">
      <c r="A5" s="571" t="s">
        <v>721</v>
      </c>
    </row>
    <row r="6" spans="1:8" x14ac:dyDescent="0.25">
      <c r="A6" s="571" t="s">
        <v>657</v>
      </c>
    </row>
  </sheetData>
  <sheetProtection algorithmName="SHA-512" hashValue="fKCgkgjGflqIMDhRNbaTX00lathhdECsE4+Uaa/HymHaifHJSwR+VHN1Gnq8f/Sm2osrnXU/E/HR2mwReWIS/Q==" saltValue="4LiM5GOhz72NrmHcCrx67g==" spinCount="100000" sheet="1" scenarios="1" formatCells="0" sort="0" autoFilter="0" pivotTables="0"/>
  <mergeCells count="2">
    <mergeCell ref="A1:C1"/>
    <mergeCell ref="A4:H4"/>
  </mergeCells>
  <hyperlinks>
    <hyperlink ref="A2" location="'Table of Contents'!A1" display="Back to Table of Contents" xr:uid="{00000000-0004-0000-7700-000000000000}"/>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9" tint="0.39997558519241921"/>
  </sheetPr>
  <dimension ref="A1:H6"/>
  <sheetViews>
    <sheetView showGridLines="0" workbookViewId="0">
      <selection sqref="A1:C1"/>
    </sheetView>
  </sheetViews>
  <sheetFormatPr defaultRowHeight="15" x14ac:dyDescent="0.25"/>
  <sheetData>
    <row r="1" spans="1:8" ht="15.75" x14ac:dyDescent="0.25">
      <c r="A1" s="993" t="s">
        <v>450</v>
      </c>
      <c r="B1" s="993"/>
      <c r="C1" s="993"/>
    </row>
    <row r="2" spans="1:8" ht="15.75" x14ac:dyDescent="0.25">
      <c r="A2" s="507" t="s">
        <v>511</v>
      </c>
      <c r="B2" s="449"/>
      <c r="C2" s="449"/>
    </row>
    <row r="4" spans="1:8" ht="15.75" x14ac:dyDescent="0.25">
      <c r="A4" s="994" t="s">
        <v>480</v>
      </c>
      <c r="B4" s="994"/>
      <c r="C4" s="994"/>
      <c r="D4" s="994"/>
      <c r="E4" s="994"/>
      <c r="F4" s="994"/>
      <c r="G4" s="994"/>
      <c r="H4" s="994"/>
    </row>
    <row r="5" spans="1:8" x14ac:dyDescent="0.25">
      <c r="A5" s="571" t="s">
        <v>721</v>
      </c>
    </row>
    <row r="6" spans="1:8" x14ac:dyDescent="0.25">
      <c r="A6" s="571" t="s">
        <v>866</v>
      </c>
    </row>
  </sheetData>
  <sheetProtection algorithmName="SHA-512" hashValue="8BruX8USAeY56qDoaizM8eOKCkl+LNgJ4TS0CdcMHFtmhdhe4gLqU5kxDN/fHIeIDOChkYrLR1Bwf1ULr00pLA==" saltValue="w/tivZPzEhRI6cRHYpVa5g==" spinCount="100000" sheet="1" scenarios="1" formatCells="0" sort="0" autoFilter="0" pivotTables="0"/>
  <mergeCells count="2">
    <mergeCell ref="A1:C1"/>
    <mergeCell ref="A4:H4"/>
  </mergeCells>
  <hyperlinks>
    <hyperlink ref="A2" location="'Table of Contents'!A1" display="Back to Table of Contents" xr:uid="{00000000-0004-0000-78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I47"/>
  <sheetViews>
    <sheetView showGridLines="0" workbookViewId="0">
      <pane ySplit="2" topLeftCell="A3" activePane="bottomLeft" state="frozen"/>
      <selection pane="bottomLeft" sqref="A1:C1"/>
    </sheetView>
  </sheetViews>
  <sheetFormatPr defaultRowHeight="15" x14ac:dyDescent="0.25"/>
  <cols>
    <col min="1" max="1" width="18.5703125" customWidth="1"/>
    <col min="2" max="2" width="23.140625" customWidth="1"/>
    <col min="3" max="9" width="14" customWidth="1"/>
  </cols>
  <sheetData>
    <row r="1" spans="1:9" ht="15.75" x14ac:dyDescent="0.25">
      <c r="A1" s="993" t="s">
        <v>523</v>
      </c>
      <c r="B1" s="993"/>
      <c r="C1" s="993"/>
    </row>
    <row r="2" spans="1:9" ht="15.75" x14ac:dyDescent="0.25">
      <c r="A2" s="507" t="s">
        <v>511</v>
      </c>
      <c r="B2" s="449"/>
      <c r="C2" s="449"/>
    </row>
    <row r="3" spans="1:9" ht="15.75" x14ac:dyDescent="0.25">
      <c r="D3" s="187"/>
      <c r="E3" s="187"/>
      <c r="F3" s="187"/>
    </row>
    <row r="4" spans="1:9" ht="15.75" x14ac:dyDescent="0.25">
      <c r="A4" s="994" t="s">
        <v>524</v>
      </c>
      <c r="B4" s="994"/>
      <c r="C4" s="994"/>
      <c r="D4" s="994"/>
      <c r="E4" s="994"/>
      <c r="F4" s="994"/>
    </row>
    <row r="5" spans="1:9" ht="15.75" x14ac:dyDescent="0.25">
      <c r="A5" t="s">
        <v>328</v>
      </c>
      <c r="B5" t="s">
        <v>637</v>
      </c>
      <c r="C5" s="234"/>
      <c r="D5" s="234"/>
      <c r="E5" s="234"/>
      <c r="F5" s="234"/>
    </row>
    <row r="6" spans="1:9" ht="15.75" x14ac:dyDescent="0.25">
      <c r="A6" t="s">
        <v>329</v>
      </c>
      <c r="B6" t="s">
        <v>331</v>
      </c>
      <c r="C6" s="234"/>
      <c r="D6" s="234"/>
      <c r="E6" s="234"/>
      <c r="F6" s="234"/>
    </row>
    <row r="7" spans="1:9" ht="15.75" x14ac:dyDescent="0.25">
      <c r="A7" t="s">
        <v>330</v>
      </c>
      <c r="B7" t="s">
        <v>332</v>
      </c>
      <c r="C7" s="234"/>
      <c r="D7" s="234"/>
      <c r="E7" s="234"/>
      <c r="F7" s="234"/>
    </row>
    <row r="8" spans="1:9" ht="15.75" x14ac:dyDescent="0.25">
      <c r="C8" s="234"/>
      <c r="D8" s="234"/>
      <c r="E8" s="234"/>
      <c r="F8" s="234"/>
    </row>
    <row r="9" spans="1:9" ht="15.75" x14ac:dyDescent="0.25">
      <c r="A9" s="773" t="s">
        <v>1</v>
      </c>
      <c r="B9" s="234"/>
      <c r="C9" s="234"/>
      <c r="D9" s="234"/>
      <c r="F9" s="234"/>
    </row>
    <row r="10" spans="1:9" x14ac:dyDescent="0.25">
      <c r="A10" s="317" t="str">
        <f>PrimaryCrewingAreaPivot!B1</f>
        <v>2023-24</v>
      </c>
      <c r="B10" s="192"/>
      <c r="C10" s="193"/>
      <c r="D10" s="193"/>
      <c r="E10" s="193"/>
      <c r="F10" s="383" t="s">
        <v>6</v>
      </c>
      <c r="G10" s="193"/>
      <c r="H10" s="193"/>
      <c r="I10" s="517" t="s">
        <v>7</v>
      </c>
    </row>
    <row r="11" spans="1:9" s="468" customFormat="1" ht="26.25" x14ac:dyDescent="0.25">
      <c r="A11" s="515" t="s">
        <v>458</v>
      </c>
      <c r="B11" s="515" t="s">
        <v>30</v>
      </c>
      <c r="C11" s="203" t="s">
        <v>115</v>
      </c>
      <c r="D11" s="203" t="s">
        <v>28</v>
      </c>
      <c r="E11" s="203" t="s">
        <v>29</v>
      </c>
      <c r="F11" s="516" t="s">
        <v>26</v>
      </c>
      <c r="G11" s="518" t="s">
        <v>115</v>
      </c>
      <c r="H11" s="516" t="s">
        <v>28</v>
      </c>
      <c r="I11" s="516" t="s">
        <v>29</v>
      </c>
    </row>
    <row r="12" spans="1:9" ht="18" customHeight="1" x14ac:dyDescent="0.25">
      <c r="A12" s="398" t="s">
        <v>285</v>
      </c>
      <c r="B12" s="45" t="s">
        <v>31</v>
      </c>
      <c r="C12" s="51">
        <f>PrimaryCrewingAreaPivot!B4</f>
        <v>3</v>
      </c>
      <c r="D12" s="51">
        <f>PrimaryCrewingAreaPivot!C4</f>
        <v>1</v>
      </c>
      <c r="E12" s="51">
        <f>PrimaryCrewingAreaPivot!D4</f>
        <v>0</v>
      </c>
      <c r="F12" s="194">
        <f t="shared" ref="F12:F43" si="0">SUM(C12:E12)</f>
        <v>4</v>
      </c>
      <c r="G12" s="519">
        <f t="shared" ref="G12:G44" si="1">C12/$F12</f>
        <v>0.75</v>
      </c>
      <c r="H12" s="276">
        <f t="shared" ref="H12:H44" si="2">D12/$F12</f>
        <v>0.25</v>
      </c>
      <c r="I12" s="276">
        <f t="shared" ref="I12:I44" si="3">E12/$F12</f>
        <v>0</v>
      </c>
    </row>
    <row r="13" spans="1:9" x14ac:dyDescent="0.25">
      <c r="A13" s="89" t="s">
        <v>286</v>
      </c>
      <c r="B13" s="48" t="s">
        <v>32</v>
      </c>
      <c r="C13" s="51">
        <f>PrimaryCrewingAreaPivot!B5</f>
        <v>1</v>
      </c>
      <c r="D13" s="51">
        <f>PrimaryCrewingAreaPivot!C5</f>
        <v>23</v>
      </c>
      <c r="E13" s="51">
        <f>PrimaryCrewingAreaPivot!D5</f>
        <v>0</v>
      </c>
      <c r="F13" s="69">
        <f t="shared" si="0"/>
        <v>24</v>
      </c>
      <c r="G13" s="519">
        <f t="shared" si="1"/>
        <v>4.1666666666666664E-2</v>
      </c>
      <c r="H13" s="276">
        <f t="shared" si="2"/>
        <v>0.95833333333333337</v>
      </c>
      <c r="I13" s="276">
        <f t="shared" si="3"/>
        <v>0</v>
      </c>
    </row>
    <row r="14" spans="1:9" x14ac:dyDescent="0.25">
      <c r="A14" s="89" t="s">
        <v>292</v>
      </c>
      <c r="B14" s="48" t="s">
        <v>33</v>
      </c>
      <c r="C14" s="51">
        <f>PrimaryCrewingAreaPivot!B6</f>
        <v>1</v>
      </c>
      <c r="D14" s="51">
        <f>PrimaryCrewingAreaPivot!C6</f>
        <v>5</v>
      </c>
      <c r="E14" s="51">
        <f>PrimaryCrewingAreaPivot!D6</f>
        <v>0</v>
      </c>
      <c r="F14" s="69">
        <f t="shared" si="0"/>
        <v>6</v>
      </c>
      <c r="G14" s="519">
        <f t="shared" si="1"/>
        <v>0.16666666666666666</v>
      </c>
      <c r="H14" s="276">
        <f t="shared" si="2"/>
        <v>0.83333333333333337</v>
      </c>
      <c r="I14" s="276">
        <f t="shared" si="3"/>
        <v>0</v>
      </c>
    </row>
    <row r="15" spans="1:9" x14ac:dyDescent="0.25">
      <c r="A15" s="89" t="s">
        <v>287</v>
      </c>
      <c r="B15" s="48" t="s">
        <v>34</v>
      </c>
      <c r="C15" s="51">
        <f>PrimaryCrewingAreaPivot!B7</f>
        <v>2</v>
      </c>
      <c r="D15" s="51">
        <f>PrimaryCrewingAreaPivot!C7</f>
        <v>12</v>
      </c>
      <c r="E15" s="51">
        <f>PrimaryCrewingAreaPivot!D7</f>
        <v>25</v>
      </c>
      <c r="F15" s="69">
        <f t="shared" si="0"/>
        <v>39</v>
      </c>
      <c r="G15" s="519">
        <f t="shared" si="1"/>
        <v>5.128205128205128E-2</v>
      </c>
      <c r="H15" s="276">
        <f t="shared" si="2"/>
        <v>0.30769230769230771</v>
      </c>
      <c r="I15" s="276">
        <f t="shared" si="3"/>
        <v>0.64102564102564108</v>
      </c>
    </row>
    <row r="16" spans="1:9" x14ac:dyDescent="0.25">
      <c r="A16" s="89" t="s">
        <v>288</v>
      </c>
      <c r="B16" s="48" t="s">
        <v>243</v>
      </c>
      <c r="C16" s="51">
        <f>PrimaryCrewingAreaPivot!B8</f>
        <v>7</v>
      </c>
      <c r="D16" s="51">
        <f>PrimaryCrewingAreaPivot!C8</f>
        <v>1</v>
      </c>
      <c r="E16" s="51">
        <f>PrimaryCrewingAreaPivot!D8</f>
        <v>0</v>
      </c>
      <c r="F16" s="69">
        <f t="shared" si="0"/>
        <v>8</v>
      </c>
      <c r="G16" s="519">
        <f t="shared" si="1"/>
        <v>0.875</v>
      </c>
      <c r="H16" s="276">
        <f t="shared" si="2"/>
        <v>0.125</v>
      </c>
      <c r="I16" s="276">
        <f t="shared" si="3"/>
        <v>0</v>
      </c>
    </row>
    <row r="17" spans="1:9" x14ac:dyDescent="0.25">
      <c r="A17" s="89" t="s">
        <v>266</v>
      </c>
      <c r="B17" s="48" t="s">
        <v>35</v>
      </c>
      <c r="C17" s="51">
        <f>PrimaryCrewingAreaPivot!B9</f>
        <v>1</v>
      </c>
      <c r="D17" s="51">
        <f>PrimaryCrewingAreaPivot!C9</f>
        <v>1</v>
      </c>
      <c r="E17" s="51">
        <f>PrimaryCrewingAreaPivot!D9</f>
        <v>0</v>
      </c>
      <c r="F17" s="69">
        <f t="shared" si="0"/>
        <v>2</v>
      </c>
      <c r="G17" s="519">
        <f t="shared" si="1"/>
        <v>0.5</v>
      </c>
      <c r="H17" s="276">
        <f t="shared" si="2"/>
        <v>0.5</v>
      </c>
      <c r="I17" s="276">
        <f t="shared" si="3"/>
        <v>0</v>
      </c>
    </row>
    <row r="18" spans="1:9" x14ac:dyDescent="0.25">
      <c r="A18" s="89" t="s">
        <v>267</v>
      </c>
      <c r="B18" s="48" t="s">
        <v>36</v>
      </c>
      <c r="C18" s="51">
        <f>PrimaryCrewingAreaPivot!B10</f>
        <v>1</v>
      </c>
      <c r="D18" s="51">
        <f>PrimaryCrewingAreaPivot!C10</f>
        <v>15</v>
      </c>
      <c r="E18" s="51">
        <f>PrimaryCrewingAreaPivot!D10</f>
        <v>1</v>
      </c>
      <c r="F18" s="69">
        <f t="shared" si="0"/>
        <v>17</v>
      </c>
      <c r="G18" s="519">
        <f t="shared" si="1"/>
        <v>5.8823529411764705E-2</v>
      </c>
      <c r="H18" s="276">
        <f t="shared" si="2"/>
        <v>0.88235294117647056</v>
      </c>
      <c r="I18" s="276">
        <f t="shared" si="3"/>
        <v>5.8823529411764705E-2</v>
      </c>
    </row>
    <row r="19" spans="1:9" x14ac:dyDescent="0.25">
      <c r="A19" s="89" t="s">
        <v>293</v>
      </c>
      <c r="B19" s="48" t="s">
        <v>37</v>
      </c>
      <c r="C19" s="51">
        <f>PrimaryCrewingAreaPivot!B11</f>
        <v>4</v>
      </c>
      <c r="D19" s="51">
        <f>PrimaryCrewingAreaPivot!C11</f>
        <v>0</v>
      </c>
      <c r="E19" s="51">
        <f>PrimaryCrewingAreaPivot!D11</f>
        <v>0</v>
      </c>
      <c r="F19" s="69">
        <f t="shared" si="0"/>
        <v>4</v>
      </c>
      <c r="G19" s="519">
        <f t="shared" si="1"/>
        <v>1</v>
      </c>
      <c r="H19" s="276">
        <f t="shared" si="2"/>
        <v>0</v>
      </c>
      <c r="I19" s="276">
        <f t="shared" si="3"/>
        <v>0</v>
      </c>
    </row>
    <row r="20" spans="1:9" x14ac:dyDescent="0.25">
      <c r="A20" s="89" t="s">
        <v>268</v>
      </c>
      <c r="B20" s="48" t="s">
        <v>38</v>
      </c>
      <c r="C20" s="51">
        <f>PrimaryCrewingAreaPivot!B12</f>
        <v>1</v>
      </c>
      <c r="D20" s="51">
        <f>PrimaryCrewingAreaPivot!C12</f>
        <v>7</v>
      </c>
      <c r="E20" s="51">
        <f>PrimaryCrewingAreaPivot!D12</f>
        <v>0</v>
      </c>
      <c r="F20" s="69">
        <f t="shared" si="0"/>
        <v>8</v>
      </c>
      <c r="G20" s="519">
        <f t="shared" si="1"/>
        <v>0.125</v>
      </c>
      <c r="H20" s="276">
        <f t="shared" si="2"/>
        <v>0.875</v>
      </c>
      <c r="I20" s="276">
        <f t="shared" si="3"/>
        <v>0</v>
      </c>
    </row>
    <row r="21" spans="1:9" x14ac:dyDescent="0.25">
      <c r="A21" s="89" t="s">
        <v>295</v>
      </c>
      <c r="B21" s="48" t="s">
        <v>39</v>
      </c>
      <c r="C21" s="51">
        <f>PrimaryCrewingAreaPivot!B13</f>
        <v>3</v>
      </c>
      <c r="D21" s="51">
        <f>PrimaryCrewingAreaPivot!C13</f>
        <v>0</v>
      </c>
      <c r="E21" s="51">
        <f>PrimaryCrewingAreaPivot!D13</f>
        <v>0</v>
      </c>
      <c r="F21" s="69">
        <f t="shared" si="0"/>
        <v>3</v>
      </c>
      <c r="G21" s="519">
        <f t="shared" si="1"/>
        <v>1</v>
      </c>
      <c r="H21" s="276">
        <f t="shared" si="2"/>
        <v>0</v>
      </c>
      <c r="I21" s="276">
        <f t="shared" si="3"/>
        <v>0</v>
      </c>
    </row>
    <row r="22" spans="1:9" x14ac:dyDescent="0.25">
      <c r="A22" s="89" t="s">
        <v>269</v>
      </c>
      <c r="B22" s="48" t="s">
        <v>40</v>
      </c>
      <c r="C22" s="51">
        <f>PrimaryCrewingAreaPivot!B14</f>
        <v>1</v>
      </c>
      <c r="D22" s="51">
        <f>PrimaryCrewingAreaPivot!C14</f>
        <v>5</v>
      </c>
      <c r="E22" s="51">
        <f>PrimaryCrewingAreaPivot!D14</f>
        <v>0</v>
      </c>
      <c r="F22" s="69">
        <f t="shared" si="0"/>
        <v>6</v>
      </c>
      <c r="G22" s="519">
        <f t="shared" si="1"/>
        <v>0.16666666666666666</v>
      </c>
      <c r="H22" s="276">
        <f t="shared" si="2"/>
        <v>0.83333333333333337</v>
      </c>
      <c r="I22" s="276">
        <f t="shared" si="3"/>
        <v>0</v>
      </c>
    </row>
    <row r="23" spans="1:9" x14ac:dyDescent="0.25">
      <c r="A23" s="89" t="s">
        <v>270</v>
      </c>
      <c r="B23" s="48" t="s">
        <v>41</v>
      </c>
      <c r="C23" s="51">
        <f>PrimaryCrewingAreaPivot!B15</f>
        <v>2</v>
      </c>
      <c r="D23" s="51">
        <f>PrimaryCrewingAreaPivot!C15</f>
        <v>0</v>
      </c>
      <c r="E23" s="51">
        <f>PrimaryCrewingAreaPivot!D15</f>
        <v>0</v>
      </c>
      <c r="F23" s="69">
        <f t="shared" si="0"/>
        <v>2</v>
      </c>
      <c r="G23" s="519">
        <f t="shared" si="1"/>
        <v>1</v>
      </c>
      <c r="H23" s="276">
        <f t="shared" si="2"/>
        <v>0</v>
      </c>
      <c r="I23" s="276">
        <f t="shared" si="3"/>
        <v>0</v>
      </c>
    </row>
    <row r="24" spans="1:9" x14ac:dyDescent="0.25">
      <c r="A24" s="89" t="s">
        <v>272</v>
      </c>
      <c r="B24" s="48" t="s">
        <v>42</v>
      </c>
      <c r="C24" s="51">
        <f>PrimaryCrewingAreaPivot!B16</f>
        <v>3</v>
      </c>
      <c r="D24" s="51">
        <f>PrimaryCrewingAreaPivot!C16</f>
        <v>2</v>
      </c>
      <c r="E24" s="51">
        <f>PrimaryCrewingAreaPivot!D16</f>
        <v>0</v>
      </c>
      <c r="F24" s="69">
        <f t="shared" si="0"/>
        <v>5</v>
      </c>
      <c r="G24" s="519">
        <f t="shared" si="1"/>
        <v>0.6</v>
      </c>
      <c r="H24" s="276">
        <f t="shared" si="2"/>
        <v>0.4</v>
      </c>
      <c r="I24" s="276">
        <f t="shared" si="3"/>
        <v>0</v>
      </c>
    </row>
    <row r="25" spans="1:9" x14ac:dyDescent="0.25">
      <c r="A25" s="89" t="s">
        <v>297</v>
      </c>
      <c r="B25" s="48" t="s">
        <v>43</v>
      </c>
      <c r="C25" s="51">
        <f>PrimaryCrewingAreaPivot!B17</f>
        <v>5</v>
      </c>
      <c r="D25" s="51">
        <f>PrimaryCrewingAreaPivot!C17</f>
        <v>8</v>
      </c>
      <c r="E25" s="51">
        <f>PrimaryCrewingAreaPivot!D17</f>
        <v>0</v>
      </c>
      <c r="F25" s="69">
        <f t="shared" si="0"/>
        <v>13</v>
      </c>
      <c r="G25" s="519">
        <f t="shared" si="1"/>
        <v>0.38461538461538464</v>
      </c>
      <c r="H25" s="276">
        <f t="shared" si="2"/>
        <v>0.61538461538461542</v>
      </c>
      <c r="I25" s="276">
        <f t="shared" si="3"/>
        <v>0</v>
      </c>
    </row>
    <row r="26" spans="1:9" x14ac:dyDescent="0.25">
      <c r="A26" s="89" t="str">
        <f>IF(A10 = "2019-20","S12000049","S12000046")</f>
        <v>S12000046</v>
      </c>
      <c r="B26" s="48" t="s">
        <v>117</v>
      </c>
      <c r="C26" s="51">
        <f>PrimaryCrewingAreaPivot!B18</f>
        <v>11</v>
      </c>
      <c r="D26" s="51">
        <f>PrimaryCrewingAreaPivot!C18</f>
        <v>0</v>
      </c>
      <c r="E26" s="51">
        <f>PrimaryCrewingAreaPivot!D18</f>
        <v>0</v>
      </c>
      <c r="F26" s="69">
        <f t="shared" si="0"/>
        <v>11</v>
      </c>
      <c r="G26" s="519">
        <f t="shared" si="1"/>
        <v>1</v>
      </c>
      <c r="H26" s="276">
        <f t="shared" si="2"/>
        <v>0</v>
      </c>
      <c r="I26" s="276">
        <f t="shared" si="3"/>
        <v>0</v>
      </c>
    </row>
    <row r="27" spans="1:9" x14ac:dyDescent="0.25">
      <c r="A27" s="89" t="s">
        <v>273</v>
      </c>
      <c r="B27" s="48" t="s">
        <v>44</v>
      </c>
      <c r="C27" s="51">
        <f>PrimaryCrewingAreaPivot!B19</f>
        <v>1</v>
      </c>
      <c r="D27" s="51">
        <f>PrimaryCrewingAreaPivot!C19</f>
        <v>51</v>
      </c>
      <c r="E27" s="51">
        <f>PrimaryCrewingAreaPivot!D19</f>
        <v>9</v>
      </c>
      <c r="F27" s="69">
        <f t="shared" si="0"/>
        <v>61</v>
      </c>
      <c r="G27" s="519">
        <f t="shared" si="1"/>
        <v>1.6393442622950821E-2</v>
      </c>
      <c r="H27" s="276">
        <f t="shared" si="2"/>
        <v>0.83606557377049184</v>
      </c>
      <c r="I27" s="276">
        <f t="shared" si="3"/>
        <v>0.14754098360655737</v>
      </c>
    </row>
    <row r="28" spans="1:9" x14ac:dyDescent="0.25">
      <c r="A28" s="89" t="s">
        <v>274</v>
      </c>
      <c r="B28" s="48" t="s">
        <v>45</v>
      </c>
      <c r="C28" s="51">
        <f>PrimaryCrewingAreaPivot!B20</f>
        <v>2</v>
      </c>
      <c r="D28" s="51">
        <f>PrimaryCrewingAreaPivot!C20</f>
        <v>1</v>
      </c>
      <c r="E28" s="51">
        <f>PrimaryCrewingAreaPivot!D20</f>
        <v>0</v>
      </c>
      <c r="F28" s="69">
        <f t="shared" si="0"/>
        <v>3</v>
      </c>
      <c r="G28" s="519">
        <f t="shared" si="1"/>
        <v>0.66666666666666663</v>
      </c>
      <c r="H28" s="276">
        <f t="shared" si="2"/>
        <v>0.33333333333333331</v>
      </c>
      <c r="I28" s="276">
        <f t="shared" si="3"/>
        <v>0</v>
      </c>
    </row>
    <row r="29" spans="1:9" x14ac:dyDescent="0.25">
      <c r="A29" s="89" t="s">
        <v>275</v>
      </c>
      <c r="B29" s="48" t="s">
        <v>46</v>
      </c>
      <c r="C29" s="51">
        <f>PrimaryCrewingAreaPivot!B21</f>
        <v>1</v>
      </c>
      <c r="D29" s="51">
        <f>PrimaryCrewingAreaPivot!C21</f>
        <v>1</v>
      </c>
      <c r="E29" s="51">
        <f>PrimaryCrewingAreaPivot!D21</f>
        <v>0</v>
      </c>
      <c r="F29" s="69">
        <f t="shared" si="0"/>
        <v>2</v>
      </c>
      <c r="G29" s="519">
        <f t="shared" si="1"/>
        <v>0.5</v>
      </c>
      <c r="H29" s="276">
        <f t="shared" si="2"/>
        <v>0.5</v>
      </c>
      <c r="I29" s="276">
        <f t="shared" si="3"/>
        <v>0</v>
      </c>
    </row>
    <row r="30" spans="1:9" x14ac:dyDescent="0.25">
      <c r="A30" s="89" t="s">
        <v>276</v>
      </c>
      <c r="B30" s="48" t="s">
        <v>47</v>
      </c>
      <c r="C30" s="51">
        <f>PrimaryCrewingAreaPivot!B22</f>
        <v>1</v>
      </c>
      <c r="D30" s="51">
        <f>PrimaryCrewingAreaPivot!C22</f>
        <v>10</v>
      </c>
      <c r="E30" s="51">
        <f>PrimaryCrewingAreaPivot!D22</f>
        <v>1</v>
      </c>
      <c r="F30" s="69">
        <f t="shared" si="0"/>
        <v>12</v>
      </c>
      <c r="G30" s="519">
        <f t="shared" si="1"/>
        <v>8.3333333333333329E-2</v>
      </c>
      <c r="H30" s="276">
        <f t="shared" si="2"/>
        <v>0.83333333333333337</v>
      </c>
      <c r="I30" s="276">
        <f t="shared" si="3"/>
        <v>8.3333333333333329E-2</v>
      </c>
    </row>
    <row r="31" spans="1:9" x14ac:dyDescent="0.25">
      <c r="A31" s="89" t="s">
        <v>271</v>
      </c>
      <c r="B31" s="48" t="s">
        <v>48</v>
      </c>
      <c r="C31" s="51">
        <f>PrimaryCrewingAreaPivot!B23</f>
        <v>0</v>
      </c>
      <c r="D31" s="51">
        <f>PrimaryCrewingAreaPivot!C23</f>
        <v>14</v>
      </c>
      <c r="E31" s="51">
        <f>PrimaryCrewingAreaPivot!D23</f>
        <v>0</v>
      </c>
      <c r="F31" s="69">
        <f t="shared" si="0"/>
        <v>14</v>
      </c>
      <c r="G31" s="519">
        <f t="shared" si="1"/>
        <v>0</v>
      </c>
      <c r="H31" s="276">
        <f t="shared" si="2"/>
        <v>1</v>
      </c>
      <c r="I31" s="276">
        <f t="shared" si="3"/>
        <v>0</v>
      </c>
    </row>
    <row r="32" spans="1:9" x14ac:dyDescent="0.25">
      <c r="A32" s="89" t="s">
        <v>277</v>
      </c>
      <c r="B32" s="48" t="s">
        <v>49</v>
      </c>
      <c r="C32" s="51">
        <f>PrimaryCrewingAreaPivot!B24</f>
        <v>3</v>
      </c>
      <c r="D32" s="51">
        <f>PrimaryCrewingAreaPivot!C24</f>
        <v>8</v>
      </c>
      <c r="E32" s="51">
        <f>PrimaryCrewingAreaPivot!D24</f>
        <v>3</v>
      </c>
      <c r="F32" s="69">
        <f t="shared" si="0"/>
        <v>14</v>
      </c>
      <c r="G32" s="519">
        <f t="shared" si="1"/>
        <v>0.21428571428571427</v>
      </c>
      <c r="H32" s="276">
        <f t="shared" si="2"/>
        <v>0.5714285714285714</v>
      </c>
      <c r="I32" s="276">
        <f t="shared" si="3"/>
        <v>0.21428571428571427</v>
      </c>
    </row>
    <row r="33" spans="1:9" x14ac:dyDescent="0.25">
      <c r="A33" s="89" t="str">
        <f>IF(A10="2019-20","S12000040","S12000044")</f>
        <v>S12000044</v>
      </c>
      <c r="B33" s="48" t="s">
        <v>50</v>
      </c>
      <c r="C33" s="51">
        <f>PrimaryCrewingAreaPivot!B25</f>
        <v>4</v>
      </c>
      <c r="D33" s="51">
        <f>PrimaryCrewingAreaPivot!C25</f>
        <v>3</v>
      </c>
      <c r="E33" s="51">
        <f>PrimaryCrewingAreaPivot!D25</f>
        <v>0</v>
      </c>
      <c r="F33" s="69">
        <f t="shared" si="0"/>
        <v>7</v>
      </c>
      <c r="G33" s="519">
        <f t="shared" si="1"/>
        <v>0.5714285714285714</v>
      </c>
      <c r="H33" s="276">
        <f t="shared" si="2"/>
        <v>0.42857142857142855</v>
      </c>
      <c r="I33" s="276">
        <f t="shared" si="3"/>
        <v>0</v>
      </c>
    </row>
    <row r="34" spans="1:9" x14ac:dyDescent="0.25">
      <c r="A34" s="89" t="s">
        <v>278</v>
      </c>
      <c r="B34" s="48" t="s">
        <v>51</v>
      </c>
      <c r="C34" s="51">
        <f>PrimaryCrewingAreaPivot!B26</f>
        <v>0</v>
      </c>
      <c r="D34" s="51">
        <f>PrimaryCrewingAreaPivot!C26</f>
        <v>12</v>
      </c>
      <c r="E34" s="51">
        <f>PrimaryCrewingAreaPivot!D26</f>
        <v>0</v>
      </c>
      <c r="F34" s="69">
        <f t="shared" si="0"/>
        <v>12</v>
      </c>
      <c r="G34" s="519">
        <f t="shared" si="1"/>
        <v>0</v>
      </c>
      <c r="H34" s="276">
        <f t="shared" si="2"/>
        <v>1</v>
      </c>
      <c r="I34" s="276">
        <f t="shared" si="3"/>
        <v>0</v>
      </c>
    </row>
    <row r="35" spans="1:9" x14ac:dyDescent="0.25">
      <c r="A35" s="89" t="s">
        <v>279</v>
      </c>
      <c r="B35" s="48" t="s">
        <v>52</v>
      </c>
      <c r="C35" s="51">
        <f>PrimaryCrewingAreaPivot!B27</f>
        <v>1</v>
      </c>
      <c r="D35" s="51">
        <f>PrimaryCrewingAreaPivot!C27</f>
        <v>10</v>
      </c>
      <c r="E35" s="51">
        <f>PrimaryCrewingAreaPivot!D27</f>
        <v>3</v>
      </c>
      <c r="F35" s="69">
        <f t="shared" si="0"/>
        <v>14</v>
      </c>
      <c r="G35" s="519">
        <f t="shared" si="1"/>
        <v>7.1428571428571425E-2</v>
      </c>
      <c r="H35" s="276">
        <f t="shared" si="2"/>
        <v>0.7142857142857143</v>
      </c>
      <c r="I35" s="276">
        <f t="shared" si="3"/>
        <v>0.21428571428571427</v>
      </c>
    </row>
    <row r="36" spans="1:9" x14ac:dyDescent="0.25">
      <c r="A36" s="89" t="s">
        <v>289</v>
      </c>
      <c r="B36" s="48" t="s">
        <v>53</v>
      </c>
      <c r="C36" s="51">
        <f>PrimaryCrewingAreaPivot!B28</f>
        <v>3</v>
      </c>
      <c r="D36" s="51">
        <f>PrimaryCrewingAreaPivot!C28</f>
        <v>0</v>
      </c>
      <c r="E36" s="51">
        <f>PrimaryCrewingAreaPivot!D28</f>
        <v>0</v>
      </c>
      <c r="F36" s="69">
        <f t="shared" si="0"/>
        <v>3</v>
      </c>
      <c r="G36" s="519">
        <f t="shared" si="1"/>
        <v>1</v>
      </c>
      <c r="H36" s="276">
        <f t="shared" si="2"/>
        <v>0</v>
      </c>
      <c r="I36" s="276">
        <f t="shared" si="3"/>
        <v>0</v>
      </c>
    </row>
    <row r="37" spans="1:9" x14ac:dyDescent="0.25">
      <c r="A37" s="89" t="s">
        <v>280</v>
      </c>
      <c r="B37" s="48" t="s">
        <v>54</v>
      </c>
      <c r="C37" s="51">
        <f>PrimaryCrewingAreaPivot!B29</f>
        <v>2</v>
      </c>
      <c r="D37" s="51">
        <f>PrimaryCrewingAreaPivot!C29</f>
        <v>11</v>
      </c>
      <c r="E37" s="51">
        <f>PrimaryCrewingAreaPivot!D29</f>
        <v>0</v>
      </c>
      <c r="F37" s="69">
        <f t="shared" si="0"/>
        <v>13</v>
      </c>
      <c r="G37" s="519">
        <f t="shared" si="1"/>
        <v>0.15384615384615385</v>
      </c>
      <c r="H37" s="276">
        <f t="shared" si="2"/>
        <v>0.84615384615384615</v>
      </c>
      <c r="I37" s="276">
        <f t="shared" si="3"/>
        <v>0</v>
      </c>
    </row>
    <row r="38" spans="1:9" x14ac:dyDescent="0.25">
      <c r="A38" s="89" t="s">
        <v>281</v>
      </c>
      <c r="B38" s="48" t="s">
        <v>55</v>
      </c>
      <c r="C38" s="51">
        <f>PrimaryCrewingAreaPivot!B30</f>
        <v>0</v>
      </c>
      <c r="D38" s="51">
        <f>PrimaryCrewingAreaPivot!C30</f>
        <v>14</v>
      </c>
      <c r="E38" s="51">
        <f>PrimaryCrewingAreaPivot!D30</f>
        <v>0</v>
      </c>
      <c r="F38" s="69">
        <f t="shared" si="0"/>
        <v>14</v>
      </c>
      <c r="G38" s="519">
        <f t="shared" si="1"/>
        <v>0</v>
      </c>
      <c r="H38" s="276">
        <f t="shared" si="2"/>
        <v>1</v>
      </c>
      <c r="I38" s="276">
        <f t="shared" si="3"/>
        <v>0</v>
      </c>
    </row>
    <row r="39" spans="1:9" x14ac:dyDescent="0.25">
      <c r="A39" s="89" t="s">
        <v>282</v>
      </c>
      <c r="B39" s="48" t="s">
        <v>56</v>
      </c>
      <c r="C39" s="51">
        <f>PrimaryCrewingAreaPivot!B31</f>
        <v>1</v>
      </c>
      <c r="D39" s="51">
        <f>PrimaryCrewingAreaPivot!C31</f>
        <v>4</v>
      </c>
      <c r="E39" s="51">
        <f>PrimaryCrewingAreaPivot!D31</f>
        <v>0</v>
      </c>
      <c r="F39" s="69">
        <f t="shared" si="0"/>
        <v>5</v>
      </c>
      <c r="G39" s="519">
        <f t="shared" si="1"/>
        <v>0.2</v>
      </c>
      <c r="H39" s="276">
        <f t="shared" si="2"/>
        <v>0.8</v>
      </c>
      <c r="I39" s="276">
        <f t="shared" si="3"/>
        <v>0</v>
      </c>
    </row>
    <row r="40" spans="1:9" x14ac:dyDescent="0.25">
      <c r="A40" s="89" t="s">
        <v>283</v>
      </c>
      <c r="B40" s="48" t="s">
        <v>57</v>
      </c>
      <c r="C40" s="51">
        <f>PrimaryCrewingAreaPivot!B32</f>
        <v>4</v>
      </c>
      <c r="D40" s="51">
        <f>PrimaryCrewingAreaPivot!C32</f>
        <v>7</v>
      </c>
      <c r="E40" s="51">
        <f>PrimaryCrewingAreaPivot!D32</f>
        <v>0</v>
      </c>
      <c r="F40" s="69">
        <f t="shared" si="0"/>
        <v>11</v>
      </c>
      <c r="G40" s="519">
        <f t="shared" si="1"/>
        <v>0.36363636363636365</v>
      </c>
      <c r="H40" s="276">
        <f t="shared" si="2"/>
        <v>0.63636363636363635</v>
      </c>
      <c r="I40" s="276">
        <f t="shared" si="3"/>
        <v>0</v>
      </c>
    </row>
    <row r="41" spans="1:9" x14ac:dyDescent="0.25">
      <c r="A41" s="89" t="s">
        <v>284</v>
      </c>
      <c r="B41" s="48" t="s">
        <v>58</v>
      </c>
      <c r="C41" s="51">
        <f>PrimaryCrewingAreaPivot!B33</f>
        <v>1</v>
      </c>
      <c r="D41" s="51">
        <f>PrimaryCrewingAreaPivot!C33</f>
        <v>9</v>
      </c>
      <c r="E41" s="51">
        <f>PrimaryCrewingAreaPivot!D33</f>
        <v>0</v>
      </c>
      <c r="F41" s="69">
        <f t="shared" si="0"/>
        <v>10</v>
      </c>
      <c r="G41" s="519">
        <f t="shared" si="1"/>
        <v>0.1</v>
      </c>
      <c r="H41" s="276">
        <f t="shared" si="2"/>
        <v>0.9</v>
      </c>
      <c r="I41" s="276">
        <f t="shared" si="3"/>
        <v>0</v>
      </c>
    </row>
    <row r="42" spans="1:9" x14ac:dyDescent="0.25">
      <c r="A42" s="89" t="s">
        <v>290</v>
      </c>
      <c r="B42" s="48" t="s">
        <v>59</v>
      </c>
      <c r="C42" s="51">
        <f>PrimaryCrewingAreaPivot!B34</f>
        <v>2</v>
      </c>
      <c r="D42" s="51">
        <f>PrimaryCrewingAreaPivot!C34</f>
        <v>1</v>
      </c>
      <c r="E42" s="51">
        <f>PrimaryCrewingAreaPivot!D34</f>
        <v>0</v>
      </c>
      <c r="F42" s="69">
        <f t="shared" si="0"/>
        <v>3</v>
      </c>
      <c r="G42" s="519">
        <f t="shared" si="1"/>
        <v>0.66666666666666663</v>
      </c>
      <c r="H42" s="276">
        <f t="shared" si="2"/>
        <v>0.33333333333333331</v>
      </c>
      <c r="I42" s="276">
        <f t="shared" si="3"/>
        <v>0</v>
      </c>
    </row>
    <row r="43" spans="1:9" ht="15.75" customHeight="1" x14ac:dyDescent="0.25">
      <c r="A43" s="89" t="s">
        <v>291</v>
      </c>
      <c r="B43" s="48" t="s">
        <v>60</v>
      </c>
      <c r="C43" s="51">
        <f>PrimaryCrewingAreaPivot!B35</f>
        <v>2</v>
      </c>
      <c r="D43" s="51">
        <f>PrimaryCrewingAreaPivot!C35</f>
        <v>4</v>
      </c>
      <c r="E43" s="51">
        <f>PrimaryCrewingAreaPivot!D35</f>
        <v>0</v>
      </c>
      <c r="F43" s="69">
        <f t="shared" si="0"/>
        <v>6</v>
      </c>
      <c r="G43" s="519">
        <f t="shared" si="1"/>
        <v>0.33333333333333331</v>
      </c>
      <c r="H43" s="276">
        <f t="shared" si="2"/>
        <v>0.66666666666666663</v>
      </c>
      <c r="I43" s="276">
        <f t="shared" si="3"/>
        <v>0</v>
      </c>
    </row>
    <row r="44" spans="1:9" ht="21" customHeight="1" thickBot="1" x14ac:dyDescent="0.3">
      <c r="A44" s="33"/>
      <c r="B44" s="33" t="s">
        <v>731</v>
      </c>
      <c r="C44" s="70">
        <f>SUM(C12:C43)</f>
        <v>74</v>
      </c>
      <c r="D44" s="70">
        <f>SUM(D12:D43)</f>
        <v>240</v>
      </c>
      <c r="E44" s="70">
        <f>SUM(E12:E43)</f>
        <v>42</v>
      </c>
      <c r="F44" s="70">
        <f>SUM(F12:F43)</f>
        <v>356</v>
      </c>
      <c r="G44" s="520">
        <f t="shared" si="1"/>
        <v>0.20786516853932585</v>
      </c>
      <c r="H44" s="277">
        <f t="shared" si="2"/>
        <v>0.6741573033707865</v>
      </c>
      <c r="I44" s="277">
        <f t="shared" si="3"/>
        <v>0.11797752808988764</v>
      </c>
    </row>
    <row r="45" spans="1:9" x14ac:dyDescent="0.25">
      <c r="A45" s="195"/>
      <c r="B45" s="196"/>
      <c r="C45" s="196"/>
      <c r="D45" s="196"/>
      <c r="E45" s="196"/>
      <c r="F45" s="192"/>
      <c r="G45" s="278"/>
      <c r="H45" s="278"/>
      <c r="I45" s="192"/>
    </row>
    <row r="46" spans="1:9" x14ac:dyDescent="0.25">
      <c r="A46" s="358" t="s">
        <v>8</v>
      </c>
      <c r="B46" s="359"/>
      <c r="C46" s="359"/>
      <c r="D46" s="359"/>
      <c r="E46" s="359"/>
      <c r="F46" s="360"/>
      <c r="G46" s="361"/>
      <c r="H46" s="361"/>
      <c r="I46" s="360"/>
    </row>
    <row r="47" spans="1:9" ht="30" customHeight="1" x14ac:dyDescent="0.25">
      <c r="A47" s="995" t="s">
        <v>720</v>
      </c>
      <c r="B47" s="995"/>
      <c r="C47" s="995"/>
      <c r="D47" s="995"/>
      <c r="E47" s="995"/>
      <c r="F47" s="995"/>
      <c r="G47" s="995"/>
      <c r="H47" s="995"/>
      <c r="I47" s="995"/>
    </row>
  </sheetData>
  <sheetProtection algorithmName="SHA-512" hashValue="FBYuMYw2/GqKLRQp1S+CeT4RZdUiN4VxAKmKYjiNnK7gs8NpG1syWXWi/GI9RUJigM+n/01S5+aKV4dB4AYJhw==" saltValue="DaVffm7Ii9rsif8ofQ/MAg==" spinCount="100000" sheet="1" scenarios="1" formatCells="0" sort="0" autoFilter="0" pivotTables="0"/>
  <mergeCells count="3">
    <mergeCell ref="A1:C1"/>
    <mergeCell ref="A4:F4"/>
    <mergeCell ref="A47:I47"/>
  </mergeCells>
  <hyperlinks>
    <hyperlink ref="A2" location="'Table of Contents'!A1" display="Back to Table of Contents" xr:uid="{00000000-0004-0000-0C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A3B5E-539E-402B-9820-BD3DB7621FC3}">
  <dimension ref="A1:F59"/>
  <sheetViews>
    <sheetView topLeftCell="A31" workbookViewId="0">
      <selection activeCell="B55" sqref="B55"/>
    </sheetView>
  </sheetViews>
  <sheetFormatPr defaultRowHeight="15" x14ac:dyDescent="0.25"/>
  <cols>
    <col min="1" max="1" width="17" bestFit="1" customWidth="1"/>
    <col min="2" max="2" width="43.140625" bestFit="1" customWidth="1"/>
    <col min="3" max="3" width="27.85546875" bestFit="1" customWidth="1"/>
    <col min="4" max="4" width="18.5703125" bestFit="1" customWidth="1"/>
    <col min="5" max="5" width="19.7109375" bestFit="1" customWidth="1"/>
    <col min="6" max="6" width="11.42578125" bestFit="1" customWidth="1"/>
  </cols>
  <sheetData>
    <row r="1" spans="1:6" x14ac:dyDescent="0.25">
      <c r="A1" s="394" t="s">
        <v>231</v>
      </c>
      <c r="B1" t="s">
        <v>323</v>
      </c>
      <c r="C1" t="s">
        <v>326</v>
      </c>
      <c r="D1" t="s">
        <v>325</v>
      </c>
      <c r="E1" t="s">
        <v>324</v>
      </c>
      <c r="F1" t="s">
        <v>237</v>
      </c>
    </row>
    <row r="2" spans="1:6" x14ac:dyDescent="0.25">
      <c r="A2" s="395" t="s">
        <v>200</v>
      </c>
      <c r="B2">
        <v>323</v>
      </c>
      <c r="C2">
        <v>11</v>
      </c>
      <c r="D2">
        <v>204</v>
      </c>
      <c r="E2">
        <v>54</v>
      </c>
      <c r="F2">
        <v>592</v>
      </c>
    </row>
    <row r="3" spans="1:6" x14ac:dyDescent="0.25">
      <c r="A3" s="396" t="s">
        <v>190</v>
      </c>
      <c r="B3">
        <v>39</v>
      </c>
      <c r="C3">
        <v>1</v>
      </c>
      <c r="D3">
        <v>37</v>
      </c>
      <c r="E3">
        <v>13</v>
      </c>
      <c r="F3">
        <v>90</v>
      </c>
    </row>
    <row r="4" spans="1:6" x14ac:dyDescent="0.25">
      <c r="A4" s="396" t="s">
        <v>257</v>
      </c>
      <c r="B4">
        <v>44</v>
      </c>
      <c r="C4">
        <v>2</v>
      </c>
      <c r="D4">
        <v>22</v>
      </c>
      <c r="E4">
        <v>10</v>
      </c>
      <c r="F4">
        <v>78</v>
      </c>
    </row>
    <row r="5" spans="1:6" x14ac:dyDescent="0.25">
      <c r="A5" s="396" t="s">
        <v>240</v>
      </c>
      <c r="B5">
        <v>32</v>
      </c>
      <c r="C5">
        <v>0</v>
      </c>
      <c r="D5">
        <v>12</v>
      </c>
      <c r="E5">
        <v>9</v>
      </c>
      <c r="F5">
        <v>53</v>
      </c>
    </row>
    <row r="6" spans="1:6" x14ac:dyDescent="0.25">
      <c r="A6" s="396" t="s">
        <v>239</v>
      </c>
      <c r="B6">
        <v>48</v>
      </c>
      <c r="C6">
        <v>1</v>
      </c>
      <c r="D6">
        <v>15</v>
      </c>
      <c r="E6">
        <v>8</v>
      </c>
      <c r="F6">
        <v>72</v>
      </c>
    </row>
    <row r="7" spans="1:6" x14ac:dyDescent="0.25">
      <c r="A7" s="396" t="s">
        <v>760</v>
      </c>
      <c r="B7">
        <v>33</v>
      </c>
      <c r="C7">
        <v>1</v>
      </c>
      <c r="D7">
        <v>9</v>
      </c>
      <c r="E7">
        <v>10</v>
      </c>
      <c r="F7">
        <v>53</v>
      </c>
    </row>
    <row r="8" spans="1:6" x14ac:dyDescent="0.25">
      <c r="A8" s="396" t="s">
        <v>1010</v>
      </c>
      <c r="B8">
        <v>27</v>
      </c>
      <c r="C8">
        <v>0</v>
      </c>
      <c r="D8">
        <v>39</v>
      </c>
      <c r="E8">
        <v>0</v>
      </c>
      <c r="F8">
        <v>66</v>
      </c>
    </row>
    <row r="9" spans="1:6" x14ac:dyDescent="0.25">
      <c r="A9" s="396" t="s">
        <v>1061</v>
      </c>
      <c r="B9">
        <v>34</v>
      </c>
      <c r="C9">
        <v>0</v>
      </c>
      <c r="D9">
        <v>29</v>
      </c>
      <c r="E9">
        <v>3</v>
      </c>
      <c r="F9">
        <v>66</v>
      </c>
    </row>
    <row r="10" spans="1:6" x14ac:dyDescent="0.25">
      <c r="A10" s="396" t="s">
        <v>917</v>
      </c>
      <c r="B10">
        <v>33</v>
      </c>
      <c r="C10">
        <v>5</v>
      </c>
      <c r="D10">
        <v>25</v>
      </c>
      <c r="E10">
        <v>0</v>
      </c>
      <c r="F10">
        <v>63</v>
      </c>
    </row>
    <row r="11" spans="1:6" x14ac:dyDescent="0.25">
      <c r="A11" s="396" t="s">
        <v>1108</v>
      </c>
      <c r="B11">
        <v>33</v>
      </c>
      <c r="C11">
        <v>1</v>
      </c>
      <c r="D11">
        <v>16</v>
      </c>
      <c r="E11">
        <v>1</v>
      </c>
      <c r="F11">
        <v>51</v>
      </c>
    </row>
    <row r="12" spans="1:6" x14ac:dyDescent="0.25">
      <c r="A12" s="395" t="s">
        <v>236</v>
      </c>
      <c r="B12">
        <v>323</v>
      </c>
      <c r="C12">
        <v>11</v>
      </c>
      <c r="D12">
        <v>204</v>
      </c>
      <c r="E12">
        <v>54</v>
      </c>
      <c r="F12">
        <v>592</v>
      </c>
    </row>
    <row r="18" spans="1:6" x14ac:dyDescent="0.25">
      <c r="A18" s="394" t="s">
        <v>231</v>
      </c>
      <c r="B18" t="s">
        <v>323</v>
      </c>
      <c r="C18" t="s">
        <v>326</v>
      </c>
      <c r="D18" t="s">
        <v>325</v>
      </c>
      <c r="E18" t="s">
        <v>324</v>
      </c>
      <c r="F18" t="s">
        <v>237</v>
      </c>
    </row>
    <row r="19" spans="1:6" x14ac:dyDescent="0.25">
      <c r="A19" s="395" t="s">
        <v>185</v>
      </c>
      <c r="B19">
        <v>20</v>
      </c>
      <c r="C19">
        <v>4</v>
      </c>
      <c r="D19">
        <v>45</v>
      </c>
      <c r="E19">
        <v>6</v>
      </c>
      <c r="F19">
        <v>75</v>
      </c>
    </row>
    <row r="20" spans="1:6" x14ac:dyDescent="0.25">
      <c r="A20" s="396" t="s">
        <v>190</v>
      </c>
      <c r="B20">
        <v>3</v>
      </c>
      <c r="C20">
        <v>0</v>
      </c>
      <c r="D20">
        <v>6</v>
      </c>
      <c r="E20">
        <v>0</v>
      </c>
      <c r="F20">
        <v>9</v>
      </c>
    </row>
    <row r="21" spans="1:6" x14ac:dyDescent="0.25">
      <c r="A21" s="396" t="s">
        <v>257</v>
      </c>
      <c r="B21">
        <v>2</v>
      </c>
      <c r="C21">
        <v>0</v>
      </c>
      <c r="D21">
        <v>3</v>
      </c>
      <c r="E21">
        <v>0</v>
      </c>
      <c r="F21">
        <v>5</v>
      </c>
    </row>
    <row r="22" spans="1:6" x14ac:dyDescent="0.25">
      <c r="A22" s="396" t="s">
        <v>240</v>
      </c>
      <c r="B22">
        <v>3</v>
      </c>
      <c r="C22">
        <v>0</v>
      </c>
      <c r="D22">
        <v>3</v>
      </c>
      <c r="E22">
        <v>2</v>
      </c>
      <c r="F22">
        <v>8</v>
      </c>
    </row>
    <row r="23" spans="1:6" x14ac:dyDescent="0.25">
      <c r="A23" s="396" t="s">
        <v>239</v>
      </c>
      <c r="B23">
        <v>2</v>
      </c>
      <c r="C23">
        <v>1</v>
      </c>
      <c r="D23">
        <v>6</v>
      </c>
      <c r="E23">
        <v>2</v>
      </c>
      <c r="F23">
        <v>11</v>
      </c>
    </row>
    <row r="24" spans="1:6" x14ac:dyDescent="0.25">
      <c r="A24" s="396" t="s">
        <v>760</v>
      </c>
      <c r="B24">
        <v>1</v>
      </c>
      <c r="C24">
        <v>1</v>
      </c>
      <c r="D24">
        <v>1</v>
      </c>
      <c r="E24">
        <v>0</v>
      </c>
      <c r="F24">
        <v>3</v>
      </c>
    </row>
    <row r="25" spans="1:6" x14ac:dyDescent="0.25">
      <c r="A25" s="396" t="s">
        <v>1010</v>
      </c>
      <c r="B25">
        <v>5</v>
      </c>
      <c r="C25">
        <v>0</v>
      </c>
      <c r="D25">
        <v>5</v>
      </c>
      <c r="E25">
        <v>0</v>
      </c>
      <c r="F25">
        <v>10</v>
      </c>
    </row>
    <row r="26" spans="1:6" x14ac:dyDescent="0.25">
      <c r="A26" s="396" t="s">
        <v>1061</v>
      </c>
      <c r="B26">
        <v>1</v>
      </c>
      <c r="C26">
        <v>1</v>
      </c>
      <c r="D26">
        <v>12</v>
      </c>
      <c r="E26">
        <v>0</v>
      </c>
      <c r="F26">
        <v>14</v>
      </c>
    </row>
    <row r="27" spans="1:6" x14ac:dyDescent="0.25">
      <c r="A27" s="396" t="s">
        <v>917</v>
      </c>
      <c r="B27">
        <v>1</v>
      </c>
      <c r="C27">
        <v>0</v>
      </c>
      <c r="D27">
        <v>5</v>
      </c>
      <c r="E27">
        <v>0</v>
      </c>
      <c r="F27">
        <v>6</v>
      </c>
    </row>
    <row r="28" spans="1:6" x14ac:dyDescent="0.25">
      <c r="A28" s="396" t="s">
        <v>1108</v>
      </c>
      <c r="B28">
        <v>2</v>
      </c>
      <c r="C28">
        <v>1</v>
      </c>
      <c r="D28">
        <v>4</v>
      </c>
      <c r="E28">
        <v>2</v>
      </c>
      <c r="F28">
        <v>9</v>
      </c>
    </row>
    <row r="29" spans="1:6" x14ac:dyDescent="0.25">
      <c r="A29" s="395" t="s">
        <v>236</v>
      </c>
      <c r="B29">
        <v>20</v>
      </c>
      <c r="C29">
        <v>4</v>
      </c>
      <c r="D29">
        <v>45</v>
      </c>
      <c r="E29">
        <v>6</v>
      </c>
      <c r="F29">
        <v>75</v>
      </c>
    </row>
    <row r="34" spans="1:6" x14ac:dyDescent="0.25">
      <c r="A34" s="394" t="s">
        <v>231</v>
      </c>
      <c r="B34" t="s">
        <v>323</v>
      </c>
      <c r="C34" t="s">
        <v>326</v>
      </c>
      <c r="D34" t="s">
        <v>325</v>
      </c>
      <c r="E34" t="s">
        <v>324</v>
      </c>
      <c r="F34" t="s">
        <v>237</v>
      </c>
    </row>
    <row r="35" spans="1:6" x14ac:dyDescent="0.25">
      <c r="A35" s="395" t="s">
        <v>200</v>
      </c>
      <c r="B35">
        <v>7</v>
      </c>
      <c r="C35">
        <v>0</v>
      </c>
      <c r="D35">
        <v>1</v>
      </c>
      <c r="E35">
        <v>11</v>
      </c>
      <c r="F35">
        <v>19</v>
      </c>
    </row>
    <row r="36" spans="1:6" x14ac:dyDescent="0.25">
      <c r="A36" s="396" t="s">
        <v>190</v>
      </c>
      <c r="B36">
        <v>0</v>
      </c>
      <c r="C36">
        <v>0</v>
      </c>
      <c r="D36">
        <v>0</v>
      </c>
      <c r="E36">
        <v>2</v>
      </c>
      <c r="F36">
        <v>2</v>
      </c>
    </row>
    <row r="37" spans="1:6" x14ac:dyDescent="0.25">
      <c r="A37" s="396" t="s">
        <v>257</v>
      </c>
      <c r="B37">
        <v>2</v>
      </c>
      <c r="C37">
        <v>0</v>
      </c>
      <c r="D37">
        <v>0</v>
      </c>
      <c r="E37">
        <v>3</v>
      </c>
      <c r="F37">
        <v>5</v>
      </c>
    </row>
    <row r="38" spans="1:6" x14ac:dyDescent="0.25">
      <c r="A38" s="396" t="s">
        <v>240</v>
      </c>
      <c r="B38">
        <v>3</v>
      </c>
      <c r="C38">
        <v>0</v>
      </c>
      <c r="D38">
        <v>0</v>
      </c>
      <c r="E38">
        <v>4</v>
      </c>
      <c r="F38">
        <v>7</v>
      </c>
    </row>
    <row r="39" spans="1:6" x14ac:dyDescent="0.25">
      <c r="A39" s="396" t="s">
        <v>239</v>
      </c>
      <c r="B39">
        <v>1</v>
      </c>
      <c r="C39">
        <v>0</v>
      </c>
      <c r="D39">
        <v>0</v>
      </c>
      <c r="E39">
        <v>0</v>
      </c>
      <c r="F39">
        <v>1</v>
      </c>
    </row>
    <row r="40" spans="1:6" x14ac:dyDescent="0.25">
      <c r="A40" s="396" t="s">
        <v>760</v>
      </c>
      <c r="B40">
        <v>0</v>
      </c>
      <c r="C40">
        <v>0</v>
      </c>
      <c r="D40">
        <v>0</v>
      </c>
      <c r="E40">
        <v>2</v>
      </c>
      <c r="F40">
        <v>2</v>
      </c>
    </row>
    <row r="41" spans="1:6" x14ac:dyDescent="0.25">
      <c r="A41" s="396" t="s">
        <v>1010</v>
      </c>
      <c r="B41">
        <v>1</v>
      </c>
      <c r="C41">
        <v>0</v>
      </c>
      <c r="D41">
        <v>0</v>
      </c>
      <c r="E41">
        <v>0</v>
      </c>
      <c r="F41">
        <v>1</v>
      </c>
    </row>
    <row r="42" spans="1:6" x14ac:dyDescent="0.25">
      <c r="A42" s="396" t="s">
        <v>917</v>
      </c>
      <c r="B42">
        <v>0</v>
      </c>
      <c r="C42">
        <v>0</v>
      </c>
      <c r="D42">
        <v>0</v>
      </c>
      <c r="E42">
        <v>0</v>
      </c>
      <c r="F42">
        <v>0</v>
      </c>
    </row>
    <row r="43" spans="1:6" x14ac:dyDescent="0.25">
      <c r="A43" s="396" t="s">
        <v>1061</v>
      </c>
      <c r="B43">
        <v>0</v>
      </c>
      <c r="C43">
        <v>0</v>
      </c>
      <c r="D43">
        <v>0</v>
      </c>
      <c r="E43">
        <v>0</v>
      </c>
      <c r="F43">
        <v>0</v>
      </c>
    </row>
    <row r="44" spans="1:6" x14ac:dyDescent="0.25">
      <c r="A44" s="396" t="s">
        <v>1108</v>
      </c>
      <c r="B44">
        <v>0</v>
      </c>
      <c r="C44">
        <v>0</v>
      </c>
      <c r="D44">
        <v>1</v>
      </c>
      <c r="E44">
        <v>0</v>
      </c>
      <c r="F44">
        <v>1</v>
      </c>
    </row>
    <row r="45" spans="1:6" x14ac:dyDescent="0.25">
      <c r="A45" s="395" t="s">
        <v>236</v>
      </c>
      <c r="B45">
        <v>7</v>
      </c>
      <c r="C45">
        <v>0</v>
      </c>
      <c r="D45">
        <v>1</v>
      </c>
      <c r="E45">
        <v>11</v>
      </c>
      <c r="F45">
        <v>19</v>
      </c>
    </row>
    <row r="48" spans="1:6" x14ac:dyDescent="0.25">
      <c r="A48" s="394" t="s">
        <v>231</v>
      </c>
      <c r="B48" t="s">
        <v>323</v>
      </c>
      <c r="C48" t="s">
        <v>326</v>
      </c>
      <c r="D48" t="s">
        <v>325</v>
      </c>
      <c r="E48" t="s">
        <v>324</v>
      </c>
      <c r="F48" t="s">
        <v>237</v>
      </c>
    </row>
    <row r="49" spans="1:6" x14ac:dyDescent="0.25">
      <c r="A49" s="395" t="s">
        <v>185</v>
      </c>
      <c r="B49">
        <v>0</v>
      </c>
      <c r="C49">
        <v>0</v>
      </c>
      <c r="D49">
        <v>0</v>
      </c>
      <c r="E49">
        <v>3</v>
      </c>
      <c r="F49">
        <v>3</v>
      </c>
    </row>
    <row r="50" spans="1:6" x14ac:dyDescent="0.25">
      <c r="A50" s="396" t="s">
        <v>190</v>
      </c>
      <c r="B50">
        <v>0</v>
      </c>
      <c r="C50">
        <v>0</v>
      </c>
      <c r="D50">
        <v>0</v>
      </c>
      <c r="E50">
        <v>0</v>
      </c>
    </row>
    <row r="51" spans="1:6" x14ac:dyDescent="0.25">
      <c r="A51" s="396" t="s">
        <v>257</v>
      </c>
      <c r="B51">
        <v>0</v>
      </c>
      <c r="C51">
        <v>0</v>
      </c>
      <c r="D51">
        <v>0</v>
      </c>
      <c r="E51">
        <v>0</v>
      </c>
    </row>
    <row r="52" spans="1:6" x14ac:dyDescent="0.25">
      <c r="A52" s="396" t="s">
        <v>240</v>
      </c>
      <c r="B52">
        <v>0</v>
      </c>
      <c r="C52">
        <v>0</v>
      </c>
      <c r="D52">
        <v>0</v>
      </c>
      <c r="E52">
        <v>0</v>
      </c>
    </row>
    <row r="53" spans="1:6" x14ac:dyDescent="0.25">
      <c r="A53" s="396" t="s">
        <v>239</v>
      </c>
      <c r="B53">
        <v>0</v>
      </c>
      <c r="C53">
        <v>0</v>
      </c>
      <c r="D53">
        <v>0</v>
      </c>
      <c r="E53">
        <v>2</v>
      </c>
      <c r="F53">
        <v>2</v>
      </c>
    </row>
    <row r="54" spans="1:6" x14ac:dyDescent="0.25">
      <c r="A54" s="396" t="s">
        <v>760</v>
      </c>
      <c r="B54">
        <v>0</v>
      </c>
      <c r="C54">
        <v>0</v>
      </c>
      <c r="D54">
        <v>0</v>
      </c>
      <c r="E54">
        <v>0</v>
      </c>
      <c r="F54">
        <v>0</v>
      </c>
    </row>
    <row r="55" spans="1:6" x14ac:dyDescent="0.25">
      <c r="A55" s="396" t="s">
        <v>917</v>
      </c>
      <c r="B55">
        <v>0</v>
      </c>
      <c r="C55">
        <v>0</v>
      </c>
      <c r="D55">
        <v>0</v>
      </c>
      <c r="E55">
        <v>0</v>
      </c>
      <c r="F55">
        <v>0</v>
      </c>
    </row>
    <row r="56" spans="1:6" x14ac:dyDescent="0.25">
      <c r="A56" s="396" t="s">
        <v>1061</v>
      </c>
      <c r="B56">
        <v>0</v>
      </c>
      <c r="C56">
        <v>0</v>
      </c>
      <c r="D56">
        <v>0</v>
      </c>
      <c r="E56">
        <v>0</v>
      </c>
      <c r="F56">
        <v>0</v>
      </c>
    </row>
    <row r="57" spans="1:6" x14ac:dyDescent="0.25">
      <c r="A57" s="396" t="s">
        <v>1108</v>
      </c>
      <c r="B57">
        <v>0</v>
      </c>
      <c r="C57">
        <v>0</v>
      </c>
      <c r="D57">
        <v>0</v>
      </c>
      <c r="E57">
        <v>1</v>
      </c>
      <c r="F57">
        <v>1</v>
      </c>
    </row>
    <row r="58" spans="1:6" x14ac:dyDescent="0.25">
      <c r="A58" s="396" t="s">
        <v>1010</v>
      </c>
      <c r="B58">
        <v>0</v>
      </c>
      <c r="C58">
        <v>0</v>
      </c>
      <c r="D58">
        <v>0</v>
      </c>
      <c r="E58">
        <v>0</v>
      </c>
      <c r="F58">
        <v>0</v>
      </c>
    </row>
    <row r="59" spans="1:6" x14ac:dyDescent="0.25">
      <c r="A59" s="395" t="s">
        <v>236</v>
      </c>
      <c r="B59">
        <v>0</v>
      </c>
      <c r="C59">
        <v>0</v>
      </c>
      <c r="D59">
        <v>0</v>
      </c>
      <c r="E59">
        <v>3</v>
      </c>
      <c r="F59">
        <v>3</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D4CE7-A4E7-4FBE-98B1-8EBB58D6571D}">
  <dimension ref="A1:G49"/>
  <sheetViews>
    <sheetView topLeftCell="A22" workbookViewId="0">
      <selection activeCell="C43" sqref="C43"/>
    </sheetView>
  </sheetViews>
  <sheetFormatPr defaultRowHeight="15" x14ac:dyDescent="0.25"/>
  <cols>
    <col min="1" max="1" width="15.42578125" bestFit="1" customWidth="1"/>
    <col min="2" max="2" width="9.5703125" bestFit="1" customWidth="1"/>
    <col min="3" max="3" width="39" bestFit="1" customWidth="1"/>
    <col min="4" max="4" width="23.85546875" bestFit="1" customWidth="1"/>
    <col min="5" max="5" width="14.28515625" bestFit="1" customWidth="1"/>
    <col min="6" max="6" width="15.5703125" bestFit="1" customWidth="1"/>
    <col min="7" max="7" width="7.42578125" bestFit="1" customWidth="1"/>
  </cols>
  <sheetData>
    <row r="1" spans="1:7" x14ac:dyDescent="0.25">
      <c r="A1" t="s">
        <v>413</v>
      </c>
      <c r="B1" t="s">
        <v>230</v>
      </c>
      <c r="C1" t="s">
        <v>1160</v>
      </c>
      <c r="D1" t="s">
        <v>1161</v>
      </c>
      <c r="E1" t="s">
        <v>1162</v>
      </c>
      <c r="F1" t="s">
        <v>1163</v>
      </c>
      <c r="G1" t="s">
        <v>26</v>
      </c>
    </row>
    <row r="2" spans="1:7" x14ac:dyDescent="0.25">
      <c r="A2" t="s">
        <v>200</v>
      </c>
      <c r="B2" t="s">
        <v>190</v>
      </c>
      <c r="C2">
        <v>39</v>
      </c>
      <c r="D2">
        <v>1</v>
      </c>
      <c r="E2">
        <v>37</v>
      </c>
      <c r="F2">
        <v>13</v>
      </c>
      <c r="G2">
        <v>90</v>
      </c>
    </row>
    <row r="3" spans="1:7" x14ac:dyDescent="0.25">
      <c r="A3" t="s">
        <v>200</v>
      </c>
      <c r="B3" t="s">
        <v>257</v>
      </c>
      <c r="C3">
        <v>44</v>
      </c>
      <c r="D3">
        <v>2</v>
      </c>
      <c r="E3">
        <v>22</v>
      </c>
      <c r="F3">
        <v>10</v>
      </c>
      <c r="G3">
        <v>78</v>
      </c>
    </row>
    <row r="4" spans="1:7" x14ac:dyDescent="0.25">
      <c r="A4" t="s">
        <v>200</v>
      </c>
      <c r="B4" t="s">
        <v>240</v>
      </c>
      <c r="C4">
        <v>32</v>
      </c>
      <c r="D4">
        <v>0</v>
      </c>
      <c r="E4">
        <v>12</v>
      </c>
      <c r="F4">
        <v>9</v>
      </c>
      <c r="G4">
        <v>53</v>
      </c>
    </row>
    <row r="5" spans="1:7" x14ac:dyDescent="0.25">
      <c r="A5" t="s">
        <v>200</v>
      </c>
      <c r="B5" t="s">
        <v>239</v>
      </c>
      <c r="C5">
        <v>48</v>
      </c>
      <c r="D5">
        <v>1</v>
      </c>
      <c r="E5">
        <v>15</v>
      </c>
      <c r="F5">
        <v>8</v>
      </c>
      <c r="G5">
        <v>72</v>
      </c>
    </row>
    <row r="6" spans="1:7" x14ac:dyDescent="0.25">
      <c r="A6" t="s">
        <v>200</v>
      </c>
      <c r="B6" t="s">
        <v>760</v>
      </c>
      <c r="C6">
        <v>33</v>
      </c>
      <c r="D6">
        <v>1</v>
      </c>
      <c r="E6">
        <v>9</v>
      </c>
      <c r="F6">
        <v>10</v>
      </c>
      <c r="G6">
        <v>53</v>
      </c>
    </row>
    <row r="7" spans="1:7" x14ac:dyDescent="0.25">
      <c r="A7" t="s">
        <v>200</v>
      </c>
      <c r="B7" t="s">
        <v>917</v>
      </c>
      <c r="C7">
        <v>33</v>
      </c>
      <c r="D7">
        <v>5</v>
      </c>
      <c r="E7">
        <v>25</v>
      </c>
      <c r="F7">
        <v>0</v>
      </c>
      <c r="G7">
        <v>63</v>
      </c>
    </row>
    <row r="8" spans="1:7" x14ac:dyDescent="0.25">
      <c r="A8" t="s">
        <v>200</v>
      </c>
      <c r="B8" t="s">
        <v>1010</v>
      </c>
      <c r="C8">
        <v>27</v>
      </c>
      <c r="D8">
        <v>0</v>
      </c>
      <c r="E8">
        <v>39</v>
      </c>
      <c r="F8">
        <v>0</v>
      </c>
      <c r="G8">
        <v>66</v>
      </c>
    </row>
    <row r="9" spans="1:7" x14ac:dyDescent="0.25">
      <c r="A9" t="s">
        <v>200</v>
      </c>
      <c r="B9" t="s">
        <v>1061</v>
      </c>
      <c r="C9">
        <v>34</v>
      </c>
      <c r="D9">
        <v>0</v>
      </c>
      <c r="E9">
        <v>29</v>
      </c>
      <c r="F9">
        <v>3</v>
      </c>
      <c r="G9">
        <v>66</v>
      </c>
    </row>
    <row r="10" spans="1:7" x14ac:dyDescent="0.25">
      <c r="A10" t="s">
        <v>200</v>
      </c>
      <c r="B10" t="s">
        <v>1108</v>
      </c>
      <c r="C10">
        <v>33</v>
      </c>
      <c r="D10">
        <v>1</v>
      </c>
      <c r="E10">
        <v>16</v>
      </c>
      <c r="F10">
        <v>1</v>
      </c>
      <c r="G10">
        <v>51</v>
      </c>
    </row>
    <row r="14" spans="1:7" x14ac:dyDescent="0.25">
      <c r="A14" t="s">
        <v>413</v>
      </c>
      <c r="B14" t="s">
        <v>230</v>
      </c>
      <c r="C14" t="s">
        <v>1160</v>
      </c>
      <c r="D14" t="s">
        <v>1161</v>
      </c>
      <c r="E14" t="s">
        <v>1162</v>
      </c>
      <c r="F14" t="s">
        <v>1163</v>
      </c>
      <c r="G14" t="s">
        <v>26</v>
      </c>
    </row>
    <row r="15" spans="1:7" x14ac:dyDescent="0.25">
      <c r="A15" t="s">
        <v>185</v>
      </c>
      <c r="B15" t="s">
        <v>190</v>
      </c>
      <c r="C15">
        <v>3</v>
      </c>
      <c r="D15">
        <v>0</v>
      </c>
      <c r="E15">
        <v>6</v>
      </c>
      <c r="F15">
        <v>0</v>
      </c>
      <c r="G15">
        <v>9</v>
      </c>
    </row>
    <row r="16" spans="1:7" x14ac:dyDescent="0.25">
      <c r="A16" t="s">
        <v>185</v>
      </c>
      <c r="B16" t="s">
        <v>257</v>
      </c>
      <c r="C16">
        <v>2</v>
      </c>
      <c r="D16">
        <v>0</v>
      </c>
      <c r="E16">
        <v>3</v>
      </c>
      <c r="F16">
        <v>0</v>
      </c>
      <c r="G16">
        <v>5</v>
      </c>
    </row>
    <row r="17" spans="1:7" x14ac:dyDescent="0.25">
      <c r="A17" t="s">
        <v>185</v>
      </c>
      <c r="B17" t="s">
        <v>240</v>
      </c>
      <c r="C17">
        <v>3</v>
      </c>
      <c r="D17">
        <v>0</v>
      </c>
      <c r="E17">
        <v>3</v>
      </c>
      <c r="F17">
        <v>2</v>
      </c>
      <c r="G17">
        <v>8</v>
      </c>
    </row>
    <row r="18" spans="1:7" x14ac:dyDescent="0.25">
      <c r="A18" t="s">
        <v>185</v>
      </c>
      <c r="B18" t="s">
        <v>239</v>
      </c>
      <c r="C18">
        <v>2</v>
      </c>
      <c r="D18">
        <v>1</v>
      </c>
      <c r="E18">
        <v>6</v>
      </c>
      <c r="F18">
        <v>2</v>
      </c>
      <c r="G18">
        <v>11</v>
      </c>
    </row>
    <row r="19" spans="1:7" x14ac:dyDescent="0.25">
      <c r="A19" t="s">
        <v>185</v>
      </c>
      <c r="B19" t="s">
        <v>760</v>
      </c>
      <c r="C19">
        <v>1</v>
      </c>
      <c r="D19">
        <v>1</v>
      </c>
      <c r="E19">
        <v>1</v>
      </c>
      <c r="F19">
        <v>0</v>
      </c>
      <c r="G19">
        <v>3</v>
      </c>
    </row>
    <row r="20" spans="1:7" x14ac:dyDescent="0.25">
      <c r="A20" t="s">
        <v>185</v>
      </c>
      <c r="B20" t="s">
        <v>917</v>
      </c>
      <c r="C20">
        <v>1</v>
      </c>
      <c r="D20">
        <v>0</v>
      </c>
      <c r="E20">
        <v>5</v>
      </c>
      <c r="F20">
        <v>0</v>
      </c>
      <c r="G20">
        <v>6</v>
      </c>
    </row>
    <row r="21" spans="1:7" x14ac:dyDescent="0.25">
      <c r="A21" t="s">
        <v>185</v>
      </c>
      <c r="B21" t="s">
        <v>1010</v>
      </c>
      <c r="C21">
        <v>5</v>
      </c>
      <c r="D21">
        <v>0</v>
      </c>
      <c r="E21">
        <v>5</v>
      </c>
      <c r="F21">
        <v>0</v>
      </c>
      <c r="G21">
        <v>10</v>
      </c>
    </row>
    <row r="22" spans="1:7" x14ac:dyDescent="0.25">
      <c r="A22" t="s">
        <v>185</v>
      </c>
      <c r="B22" t="s">
        <v>1061</v>
      </c>
      <c r="C22">
        <v>1</v>
      </c>
      <c r="D22">
        <v>1</v>
      </c>
      <c r="E22">
        <v>12</v>
      </c>
      <c r="F22">
        <v>0</v>
      </c>
      <c r="G22">
        <v>14</v>
      </c>
    </row>
    <row r="23" spans="1:7" x14ac:dyDescent="0.25">
      <c r="A23" t="s">
        <v>185</v>
      </c>
      <c r="B23" t="s">
        <v>1108</v>
      </c>
      <c r="C23">
        <v>2</v>
      </c>
      <c r="D23">
        <v>1</v>
      </c>
      <c r="E23">
        <v>4</v>
      </c>
      <c r="F23">
        <v>2</v>
      </c>
      <c r="G23">
        <v>9</v>
      </c>
    </row>
    <row r="26" spans="1:7" x14ac:dyDescent="0.25">
      <c r="A26" t="s">
        <v>413</v>
      </c>
      <c r="B26" t="s">
        <v>230</v>
      </c>
      <c r="C26" t="s">
        <v>1160</v>
      </c>
      <c r="D26" t="s">
        <v>1161</v>
      </c>
      <c r="E26" t="s">
        <v>1162</v>
      </c>
      <c r="F26" t="s">
        <v>1163</v>
      </c>
      <c r="G26" t="s">
        <v>26</v>
      </c>
    </row>
    <row r="27" spans="1:7" x14ac:dyDescent="0.25">
      <c r="A27" t="s">
        <v>200</v>
      </c>
      <c r="B27" t="s">
        <v>190</v>
      </c>
      <c r="C27">
        <v>0</v>
      </c>
      <c r="D27">
        <v>0</v>
      </c>
      <c r="E27">
        <v>0</v>
      </c>
      <c r="F27">
        <v>2</v>
      </c>
      <c r="G27">
        <v>2</v>
      </c>
    </row>
    <row r="28" spans="1:7" x14ac:dyDescent="0.25">
      <c r="A28" t="s">
        <v>200</v>
      </c>
      <c r="B28" t="s">
        <v>257</v>
      </c>
      <c r="C28">
        <v>2</v>
      </c>
      <c r="D28">
        <v>0</v>
      </c>
      <c r="E28">
        <v>0</v>
      </c>
      <c r="F28">
        <v>3</v>
      </c>
      <c r="G28">
        <v>5</v>
      </c>
    </row>
    <row r="29" spans="1:7" x14ac:dyDescent="0.25">
      <c r="A29" t="s">
        <v>200</v>
      </c>
      <c r="B29" t="s">
        <v>240</v>
      </c>
      <c r="C29">
        <v>3</v>
      </c>
      <c r="D29">
        <v>0</v>
      </c>
      <c r="E29">
        <v>0</v>
      </c>
      <c r="F29">
        <v>4</v>
      </c>
      <c r="G29">
        <v>7</v>
      </c>
    </row>
    <row r="30" spans="1:7" x14ac:dyDescent="0.25">
      <c r="A30" t="s">
        <v>200</v>
      </c>
      <c r="B30" t="s">
        <v>239</v>
      </c>
      <c r="C30">
        <v>1</v>
      </c>
      <c r="D30">
        <v>0</v>
      </c>
      <c r="E30">
        <v>0</v>
      </c>
      <c r="F30">
        <v>0</v>
      </c>
      <c r="G30">
        <v>1</v>
      </c>
    </row>
    <row r="31" spans="1:7" x14ac:dyDescent="0.25">
      <c r="A31" t="s">
        <v>200</v>
      </c>
      <c r="B31" t="s">
        <v>760</v>
      </c>
      <c r="C31">
        <v>0</v>
      </c>
      <c r="D31">
        <v>0</v>
      </c>
      <c r="E31">
        <v>0</v>
      </c>
      <c r="F31">
        <v>2</v>
      </c>
      <c r="G31">
        <v>2</v>
      </c>
    </row>
    <row r="32" spans="1:7" x14ac:dyDescent="0.25">
      <c r="A32" t="s">
        <v>200</v>
      </c>
      <c r="B32" t="s">
        <v>917</v>
      </c>
      <c r="C32">
        <v>0</v>
      </c>
      <c r="D32">
        <v>0</v>
      </c>
      <c r="E32">
        <v>0</v>
      </c>
      <c r="F32">
        <v>0</v>
      </c>
      <c r="G32">
        <v>0</v>
      </c>
    </row>
    <row r="33" spans="1:7" x14ac:dyDescent="0.25">
      <c r="A33" t="s">
        <v>200</v>
      </c>
      <c r="B33" t="s">
        <v>1010</v>
      </c>
      <c r="C33">
        <v>1</v>
      </c>
      <c r="D33">
        <v>0</v>
      </c>
      <c r="E33">
        <v>0</v>
      </c>
      <c r="F33">
        <v>0</v>
      </c>
      <c r="G33">
        <v>1</v>
      </c>
    </row>
    <row r="34" spans="1:7" x14ac:dyDescent="0.25">
      <c r="A34" t="s">
        <v>200</v>
      </c>
      <c r="B34" t="s">
        <v>1061</v>
      </c>
      <c r="C34">
        <v>0</v>
      </c>
      <c r="D34">
        <v>0</v>
      </c>
      <c r="E34">
        <v>0</v>
      </c>
      <c r="F34">
        <v>0</v>
      </c>
      <c r="G34">
        <v>0</v>
      </c>
    </row>
    <row r="35" spans="1:7" x14ac:dyDescent="0.25">
      <c r="A35" t="s">
        <v>200</v>
      </c>
      <c r="B35" t="s">
        <v>1108</v>
      </c>
      <c r="C35">
        <v>0</v>
      </c>
      <c r="D35">
        <v>0</v>
      </c>
      <c r="E35">
        <v>1</v>
      </c>
      <c r="F35">
        <v>0</v>
      </c>
      <c r="G35">
        <v>1</v>
      </c>
    </row>
    <row r="40" spans="1:7" x14ac:dyDescent="0.25">
      <c r="A40" t="s">
        <v>413</v>
      </c>
      <c r="B40" t="s">
        <v>230</v>
      </c>
      <c r="C40" t="s">
        <v>1160</v>
      </c>
      <c r="D40" t="s">
        <v>1161</v>
      </c>
      <c r="E40" t="s">
        <v>1162</v>
      </c>
      <c r="F40" t="s">
        <v>1163</v>
      </c>
      <c r="G40" t="s">
        <v>26</v>
      </c>
    </row>
    <row r="41" spans="1:7" x14ac:dyDescent="0.25">
      <c r="A41" t="s">
        <v>185</v>
      </c>
      <c r="B41" t="s">
        <v>190</v>
      </c>
      <c r="C41">
        <v>0</v>
      </c>
      <c r="D41">
        <v>0</v>
      </c>
      <c r="E41">
        <v>0</v>
      </c>
      <c r="F41">
        <v>0</v>
      </c>
    </row>
    <row r="42" spans="1:7" x14ac:dyDescent="0.25">
      <c r="A42" t="s">
        <v>185</v>
      </c>
      <c r="B42" t="s">
        <v>257</v>
      </c>
      <c r="C42">
        <v>0</v>
      </c>
      <c r="D42">
        <v>0</v>
      </c>
      <c r="E42">
        <v>0</v>
      </c>
      <c r="F42">
        <v>0</v>
      </c>
    </row>
    <row r="43" spans="1:7" x14ac:dyDescent="0.25">
      <c r="A43" t="s">
        <v>185</v>
      </c>
      <c r="B43" t="s">
        <v>240</v>
      </c>
      <c r="C43">
        <v>0</v>
      </c>
      <c r="D43">
        <v>0</v>
      </c>
      <c r="E43">
        <v>0</v>
      </c>
      <c r="F43">
        <v>0</v>
      </c>
    </row>
    <row r="44" spans="1:7" x14ac:dyDescent="0.25">
      <c r="A44" t="s">
        <v>185</v>
      </c>
      <c r="B44" t="s">
        <v>239</v>
      </c>
      <c r="C44">
        <v>0</v>
      </c>
      <c r="D44">
        <v>0</v>
      </c>
      <c r="E44">
        <v>0</v>
      </c>
      <c r="F44">
        <v>2</v>
      </c>
      <c r="G44">
        <v>2</v>
      </c>
    </row>
    <row r="45" spans="1:7" x14ac:dyDescent="0.25">
      <c r="A45" t="s">
        <v>185</v>
      </c>
      <c r="B45" t="s">
        <v>760</v>
      </c>
      <c r="C45">
        <v>0</v>
      </c>
      <c r="D45">
        <v>0</v>
      </c>
      <c r="E45">
        <v>0</v>
      </c>
      <c r="F45">
        <v>0</v>
      </c>
      <c r="G45">
        <v>0</v>
      </c>
    </row>
    <row r="46" spans="1:7" x14ac:dyDescent="0.25">
      <c r="A46" t="s">
        <v>185</v>
      </c>
      <c r="B46" t="s">
        <v>917</v>
      </c>
      <c r="C46">
        <v>0</v>
      </c>
      <c r="D46">
        <v>0</v>
      </c>
      <c r="E46">
        <v>0</v>
      </c>
      <c r="F46">
        <v>0</v>
      </c>
      <c r="G46">
        <v>0</v>
      </c>
    </row>
    <row r="47" spans="1:7" x14ac:dyDescent="0.25">
      <c r="A47" t="s">
        <v>185</v>
      </c>
      <c r="B47" t="s">
        <v>1010</v>
      </c>
      <c r="C47">
        <v>0</v>
      </c>
      <c r="D47">
        <v>0</v>
      </c>
      <c r="E47">
        <v>0</v>
      </c>
      <c r="F47">
        <v>0</v>
      </c>
      <c r="G47">
        <v>0</v>
      </c>
    </row>
    <row r="48" spans="1:7" x14ac:dyDescent="0.25">
      <c r="A48" t="s">
        <v>185</v>
      </c>
      <c r="B48" t="s">
        <v>1061</v>
      </c>
      <c r="C48">
        <v>0</v>
      </c>
      <c r="D48">
        <v>0</v>
      </c>
      <c r="E48">
        <v>0</v>
      </c>
      <c r="F48">
        <v>0</v>
      </c>
      <c r="G48">
        <v>0</v>
      </c>
    </row>
    <row r="49" spans="1:7" x14ac:dyDescent="0.25">
      <c r="A49" t="s">
        <v>185</v>
      </c>
      <c r="B49" t="s">
        <v>1108</v>
      </c>
      <c r="C49">
        <v>0</v>
      </c>
      <c r="D49">
        <v>0</v>
      </c>
      <c r="E49">
        <v>0</v>
      </c>
      <c r="F49">
        <v>1</v>
      </c>
      <c r="G49">
        <v>1</v>
      </c>
    </row>
  </sheetData>
  <pageMargins left="0.7" right="0.7" top="0.75" bottom="0.75" header="0.3" footer="0.3"/>
  <tableParts count="4">
    <tablePart r:id="rId1"/>
    <tablePart r:id="rId2"/>
    <tablePart r:id="rId3"/>
    <tablePart r:id="rId4"/>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25">
    <tabColor theme="5" tint="0.39997558519241921"/>
    <pageSetUpPr fitToPage="1"/>
  </sheetPr>
  <dimension ref="A1:AE82"/>
  <sheetViews>
    <sheetView showGridLines="0" zoomScaleNormal="100" workbookViewId="0">
      <pane ySplit="2" topLeftCell="A3" activePane="bottomLeft" state="frozen"/>
      <selection pane="bottomLeft"/>
    </sheetView>
  </sheetViews>
  <sheetFormatPr defaultRowHeight="15" x14ac:dyDescent="0.25"/>
  <cols>
    <col min="1" max="1" width="17.5703125" customWidth="1"/>
    <col min="2" max="2" width="27.28515625" customWidth="1"/>
    <col min="3" max="3" width="19.5703125" customWidth="1"/>
    <col min="4" max="4" width="10.85546875" customWidth="1"/>
    <col min="5" max="5" width="12.140625" customWidth="1"/>
    <col min="6" max="6" width="10.42578125" customWidth="1"/>
    <col min="7" max="7" width="10.85546875" customWidth="1"/>
    <col min="8" max="8" width="14.140625" customWidth="1"/>
    <col min="9" max="9" width="25.5703125" customWidth="1"/>
    <col min="10" max="10" width="16.85546875" customWidth="1"/>
    <col min="11" max="11" width="13.140625" customWidth="1"/>
    <col min="12" max="12" width="12.42578125" customWidth="1"/>
    <col min="13" max="13" width="9.28515625" customWidth="1"/>
    <col min="14" max="15" width="7.42578125" bestFit="1" customWidth="1"/>
  </cols>
  <sheetData>
    <row r="1" spans="1:13" ht="15.75" customHeight="1" x14ac:dyDescent="0.25">
      <c r="A1" s="522" t="s">
        <v>528</v>
      </c>
      <c r="B1" s="522"/>
      <c r="C1" s="522"/>
    </row>
    <row r="2" spans="1:13" ht="15.75" x14ac:dyDescent="0.25">
      <c r="A2" s="507" t="s">
        <v>511</v>
      </c>
      <c r="B2" s="449"/>
      <c r="C2" s="449"/>
    </row>
    <row r="4" spans="1:13" ht="15.75" customHeight="1" x14ac:dyDescent="0.25">
      <c r="A4" s="1033" t="s">
        <v>588</v>
      </c>
      <c r="B4" s="1033"/>
      <c r="C4" s="1033"/>
      <c r="D4" s="1033"/>
      <c r="E4" s="1033"/>
      <c r="F4" s="1033"/>
      <c r="G4" s="1033"/>
      <c r="H4" s="1033"/>
      <c r="I4" s="1033"/>
      <c r="J4" s="1033"/>
      <c r="K4" s="1033"/>
    </row>
    <row r="5" spans="1:13" ht="15.75" customHeight="1" x14ac:dyDescent="0.25">
      <c r="A5" t="s">
        <v>328</v>
      </c>
      <c r="B5" t="s">
        <v>658</v>
      </c>
      <c r="C5" s="508"/>
      <c r="D5" s="508"/>
      <c r="E5" s="508"/>
      <c r="F5" s="508"/>
      <c r="G5" s="508"/>
      <c r="H5" s="508"/>
      <c r="I5" s="508"/>
      <c r="J5" s="508"/>
      <c r="K5" s="508"/>
    </row>
    <row r="6" spans="1:13" ht="15.75" customHeight="1" x14ac:dyDescent="0.25">
      <c r="A6" t="s">
        <v>329</v>
      </c>
      <c r="B6" t="s">
        <v>331</v>
      </c>
      <c r="C6" s="508"/>
      <c r="D6" s="508"/>
      <c r="E6" s="508"/>
      <c r="F6" s="508"/>
      <c r="G6" s="508"/>
      <c r="H6" s="508"/>
      <c r="I6" s="508"/>
      <c r="J6" s="508"/>
      <c r="K6" s="508"/>
    </row>
    <row r="7" spans="1:13" ht="15.75" customHeight="1" x14ac:dyDescent="0.25">
      <c r="A7" t="s">
        <v>330</v>
      </c>
      <c r="B7" t="s">
        <v>530</v>
      </c>
      <c r="C7" s="508"/>
      <c r="D7" s="508"/>
      <c r="E7" s="508"/>
      <c r="F7" s="508"/>
      <c r="G7" s="508"/>
      <c r="H7" s="508"/>
      <c r="I7" s="508"/>
      <c r="J7" s="508"/>
      <c r="K7" s="508"/>
    </row>
    <row r="8" spans="1:13" x14ac:dyDescent="0.25">
      <c r="A8" s="343"/>
      <c r="B8" s="15"/>
      <c r="C8" s="15"/>
      <c r="D8" s="15"/>
      <c r="E8" s="15"/>
      <c r="F8" s="15"/>
      <c r="G8" s="15"/>
      <c r="H8" s="15"/>
      <c r="I8" s="15"/>
      <c r="J8" s="15"/>
      <c r="K8" s="15"/>
    </row>
    <row r="9" spans="1:13" ht="27.75" customHeight="1" x14ac:dyDescent="0.25">
      <c r="A9" s="341" t="s">
        <v>529</v>
      </c>
      <c r="B9" s="15"/>
      <c r="C9" s="15"/>
      <c r="D9" s="15"/>
      <c r="E9" s="15"/>
      <c r="F9" s="15"/>
      <c r="G9" s="15"/>
      <c r="H9" s="1034" t="s">
        <v>920</v>
      </c>
      <c r="I9" s="1034"/>
      <c r="J9" s="15"/>
      <c r="K9" s="15"/>
    </row>
    <row r="10" spans="1:13" ht="28.5" customHeight="1" x14ac:dyDescent="0.25">
      <c r="A10" s="707" t="s">
        <v>1</v>
      </c>
      <c r="B10" s="867" t="s">
        <v>1160</v>
      </c>
      <c r="C10" s="867" t="s">
        <v>1161</v>
      </c>
      <c r="D10" s="867" t="s">
        <v>1162</v>
      </c>
      <c r="E10" s="867" t="s">
        <v>1163</v>
      </c>
      <c r="F10" s="868" t="s">
        <v>26</v>
      </c>
      <c r="G10" s="15"/>
      <c r="H10" s="706" t="s">
        <v>1</v>
      </c>
      <c r="I10" s="867" t="s">
        <v>1160</v>
      </c>
      <c r="J10" s="867" t="s">
        <v>1161</v>
      </c>
      <c r="K10" s="867" t="s">
        <v>1162</v>
      </c>
      <c r="L10" s="867" t="s">
        <v>1163</v>
      </c>
      <c r="M10" s="868" t="s">
        <v>26</v>
      </c>
    </row>
    <row r="11" spans="1:13" x14ac:dyDescent="0.25">
      <c r="A11" s="739" t="s">
        <v>190</v>
      </c>
      <c r="B11" s="614">
        <f>GETPIVOTDATA("Sum of Objects thrown at firefighters/appliances",AttacksPivot!$A$1,"Op","Operational","FinYear",A11)</f>
        <v>39</v>
      </c>
      <c r="C11" s="614">
        <f>GETPIVOTDATA("Sum of Other acts of aggression",AttacksPivot!$A$1,"Op","Operational","FinYear",A11)</f>
        <v>1</v>
      </c>
      <c r="D11" s="614">
        <f>GETPIVOTDATA("Sum of Verbal abuse",AttacksPivot!$A$1,"Op","Operational","FinYear",A11)</f>
        <v>37</v>
      </c>
      <c r="E11" s="614">
        <f>GETPIVOTDATA("Sum of Physical abuse",AttacksPivot!$A$1,"Op","Operational","FinYear",A11)</f>
        <v>13</v>
      </c>
      <c r="F11" s="620">
        <f>GETPIVOTDATA("Sum of Total",AttacksPivot!$A$1,"Op","Operational","FinYear",A11)</f>
        <v>90</v>
      </c>
      <c r="H11" s="869" t="s">
        <v>190</v>
      </c>
      <c r="I11" s="614">
        <f>GETPIVOTDATA("Sum of Objects thrown at firefighters/appliances",AttacksPivot!$A$34,"Op","Operational","FinYear",H11)</f>
        <v>0</v>
      </c>
      <c r="J11" s="614">
        <f>GETPIVOTDATA("Sum of Other acts of aggression",AttacksPivot!$A$34,"Op","Operational","FinYear",H11)</f>
        <v>0</v>
      </c>
      <c r="K11" s="614">
        <f>GETPIVOTDATA("Sum of Verbal abuse",AttacksPivot!$A$34,"Op","Operational","FinYear",H11)</f>
        <v>0</v>
      </c>
      <c r="L11" s="614">
        <f>GETPIVOTDATA("Sum of Physical abuse",AttacksPivot!$A$34,"Op","Operational","FinYear",H11)</f>
        <v>2</v>
      </c>
      <c r="M11" s="846">
        <f>GETPIVOTDATA("Sum of Total",AttacksPivot!$A$34,"Op","Operational","FinYear",H11)</f>
        <v>2</v>
      </c>
    </row>
    <row r="12" spans="1:13" x14ac:dyDescent="0.25">
      <c r="A12" s="739" t="s">
        <v>257</v>
      </c>
      <c r="B12" s="614">
        <f>GETPIVOTDATA("Sum of Objects thrown at firefighters/appliances",AttacksPivot!$A$1,"Op","Operational","FinYear",A12)</f>
        <v>44</v>
      </c>
      <c r="C12" s="614">
        <f>GETPIVOTDATA("Sum of Other acts of aggression",AttacksPivot!$A$1,"Op","Operational","FinYear",A12)</f>
        <v>2</v>
      </c>
      <c r="D12" s="614">
        <f>GETPIVOTDATA("Sum of Verbal abuse",AttacksPivot!$A$1,"Op","Operational","FinYear",A12)</f>
        <v>22</v>
      </c>
      <c r="E12" s="614">
        <f>GETPIVOTDATA("Sum of Physical abuse",AttacksPivot!$A$1,"Op","Operational","FinYear",A12)</f>
        <v>10</v>
      </c>
      <c r="F12" s="620">
        <f>GETPIVOTDATA("Sum of Total",AttacksPivot!$A$1,"Op","Operational","FinYear",A12)</f>
        <v>78</v>
      </c>
      <c r="H12" s="869" t="s">
        <v>257</v>
      </c>
      <c r="I12" s="614">
        <f>GETPIVOTDATA("Sum of Objects thrown at firefighters/appliances",AttacksPivot!$A$34,"Op","Operational","FinYear",H12)</f>
        <v>2</v>
      </c>
      <c r="J12" s="614">
        <f>GETPIVOTDATA("Sum of Other acts of aggression",AttacksPivot!$A$34,"Op","Operational","FinYear",H12)</f>
        <v>0</v>
      </c>
      <c r="K12" s="614">
        <f>GETPIVOTDATA("Sum of Verbal abuse",AttacksPivot!$A$34,"Op","Operational","FinYear",H12)</f>
        <v>0</v>
      </c>
      <c r="L12" s="614">
        <f>GETPIVOTDATA("Sum of Physical abuse",AttacksPivot!$A$34,"Op","Operational","FinYear",H12)</f>
        <v>3</v>
      </c>
      <c r="M12" s="620">
        <f>GETPIVOTDATA("Sum of Total",AttacksPivot!$A$34,"Op","Operational","FinYear",H12)</f>
        <v>5</v>
      </c>
    </row>
    <row r="13" spans="1:13" x14ac:dyDescent="0.25">
      <c r="A13" s="739" t="s">
        <v>240</v>
      </c>
      <c r="B13" s="614">
        <f>GETPIVOTDATA("Sum of Objects thrown at firefighters/appliances",AttacksPivot!$A$1,"Op","Operational","FinYear",A13)</f>
        <v>32</v>
      </c>
      <c r="C13" s="614">
        <f>GETPIVOTDATA("Sum of Other acts of aggression",AttacksPivot!$A$1,"Op","Operational","FinYear",A13)</f>
        <v>0</v>
      </c>
      <c r="D13" s="614">
        <f>GETPIVOTDATA("Sum of Verbal abuse",AttacksPivot!$A$1,"Op","Operational","FinYear",A13)</f>
        <v>12</v>
      </c>
      <c r="E13" s="614">
        <f>GETPIVOTDATA("Sum of Physical abuse",AttacksPivot!$A$1,"Op","Operational","FinYear",A13)</f>
        <v>9</v>
      </c>
      <c r="F13" s="620">
        <f>GETPIVOTDATA("Sum of Total",AttacksPivot!$A$1,"Op","Operational","FinYear",A13)</f>
        <v>53</v>
      </c>
      <c r="H13" s="869" t="s">
        <v>240</v>
      </c>
      <c r="I13" s="614">
        <f>GETPIVOTDATA("Sum of Objects thrown at firefighters/appliances",AttacksPivot!$A$34,"Op","Operational","FinYear",H13)</f>
        <v>3</v>
      </c>
      <c r="J13" s="614">
        <f>GETPIVOTDATA("Sum of Other acts of aggression",AttacksPivot!$A$34,"Op","Operational","FinYear",H13)</f>
        <v>0</v>
      </c>
      <c r="K13" s="614">
        <f>GETPIVOTDATA("Sum of Verbal abuse",AttacksPivot!$A$34,"Op","Operational","FinYear",H13)</f>
        <v>0</v>
      </c>
      <c r="L13" s="614">
        <f>GETPIVOTDATA("Sum of Physical abuse",AttacksPivot!$A$34,"Op","Operational","FinYear",H13)</f>
        <v>4</v>
      </c>
      <c r="M13" s="620">
        <f>GETPIVOTDATA("Sum of Total",AttacksPivot!$A$34,"Op","Operational","FinYear",H13)</f>
        <v>7</v>
      </c>
    </row>
    <row r="14" spans="1:13" x14ac:dyDescent="0.25">
      <c r="A14" s="739" t="s">
        <v>239</v>
      </c>
      <c r="B14" s="614">
        <f>GETPIVOTDATA("Sum of Objects thrown at firefighters/appliances",AttacksPivot!$A$1,"Op","Operational","FinYear",A14)</f>
        <v>48</v>
      </c>
      <c r="C14" s="614">
        <f>GETPIVOTDATA("Sum of Other acts of aggression",AttacksPivot!$A$1,"Op","Operational","FinYear",A14)</f>
        <v>1</v>
      </c>
      <c r="D14" s="614">
        <f>GETPIVOTDATA("Sum of Verbal abuse",AttacksPivot!$A$1,"Op","Operational","FinYear",A14)</f>
        <v>15</v>
      </c>
      <c r="E14" s="614">
        <f>GETPIVOTDATA("Sum of Physical abuse",AttacksPivot!$A$1,"Op","Operational","FinYear",A14)</f>
        <v>8</v>
      </c>
      <c r="F14" s="620">
        <f>GETPIVOTDATA("Sum of Total",AttacksPivot!$A$1,"Op","Operational","FinYear",A14)</f>
        <v>72</v>
      </c>
      <c r="H14" s="869" t="s">
        <v>239</v>
      </c>
      <c r="I14" s="614">
        <f>GETPIVOTDATA("Sum of Objects thrown at firefighters/appliances",AttacksPivot!$A$34,"Op","Operational","FinYear",H14)</f>
        <v>1</v>
      </c>
      <c r="J14" s="614">
        <f>GETPIVOTDATA("Sum of Other acts of aggression",AttacksPivot!$A$34,"Op","Operational","FinYear",H14)</f>
        <v>0</v>
      </c>
      <c r="K14" s="614">
        <f>GETPIVOTDATA("Sum of Verbal abuse",AttacksPivot!$A$34,"Op","Operational","FinYear",H14)</f>
        <v>0</v>
      </c>
      <c r="L14" s="614">
        <f>GETPIVOTDATA("Sum of Physical abuse",AttacksPivot!$A$34,"Op","Operational","FinYear",H14)</f>
        <v>0</v>
      </c>
      <c r="M14" s="620">
        <f>GETPIVOTDATA("Sum of Total",AttacksPivot!$A$34,"Op","Operational","FinYear",H14)</f>
        <v>1</v>
      </c>
    </row>
    <row r="15" spans="1:13" x14ac:dyDescent="0.25">
      <c r="A15" s="739" t="s">
        <v>760</v>
      </c>
      <c r="B15" s="614">
        <f>GETPIVOTDATA("Sum of Objects thrown at firefighters/appliances",AttacksPivot!$A$1,"Op","Operational","FinYear",A15)</f>
        <v>33</v>
      </c>
      <c r="C15" s="614">
        <f>GETPIVOTDATA("Sum of Other acts of aggression",AttacksPivot!$A$1,"Op","Operational","FinYear",A15)</f>
        <v>1</v>
      </c>
      <c r="D15" s="614">
        <f>GETPIVOTDATA("Sum of Verbal abuse",AttacksPivot!$A$1,"Op","Operational","FinYear",A15)</f>
        <v>9</v>
      </c>
      <c r="E15" s="614">
        <f>GETPIVOTDATA("Sum of Physical abuse",AttacksPivot!$A$1,"Op","Operational","FinYear",A15)</f>
        <v>10</v>
      </c>
      <c r="F15" s="620">
        <f>GETPIVOTDATA("Sum of Total",AttacksPivot!$A$1,"Op","Operational","FinYear",A15)</f>
        <v>53</v>
      </c>
      <c r="H15" s="869" t="s">
        <v>760</v>
      </c>
      <c r="I15" s="614">
        <f>GETPIVOTDATA("Sum of Objects thrown at firefighters/appliances",AttacksPivot!$A$34,"Op","Operational","FinYear",H15)</f>
        <v>0</v>
      </c>
      <c r="J15" s="614">
        <f>GETPIVOTDATA("Sum of Other acts of aggression",AttacksPivot!$A$34,"Op","Operational","FinYear",H15)</f>
        <v>0</v>
      </c>
      <c r="K15" s="614">
        <f>GETPIVOTDATA("Sum of Verbal abuse",AttacksPivot!$A$34,"Op","Operational","FinYear",H15)</f>
        <v>0</v>
      </c>
      <c r="L15" s="614">
        <f>GETPIVOTDATA("Sum of Physical abuse",AttacksPivot!$A$34,"Op","Operational","FinYear",H15)</f>
        <v>2</v>
      </c>
      <c r="M15" s="620">
        <f>GETPIVOTDATA("Sum of Total",AttacksPivot!$A$34,"Op","Operational","FinYear",H15)</f>
        <v>2</v>
      </c>
    </row>
    <row r="16" spans="1:13" x14ac:dyDescent="0.25">
      <c r="A16" s="739" t="s">
        <v>917</v>
      </c>
      <c r="B16" s="614">
        <f>GETPIVOTDATA("Sum of Objects thrown at firefighters/appliances",AttacksPivot!$A$1,"Op","Operational","FinYear",A16)</f>
        <v>33</v>
      </c>
      <c r="C16" s="614">
        <f>GETPIVOTDATA("Sum of Other acts of aggression",AttacksPivot!$A$1,"Op","Operational","FinYear",A16)</f>
        <v>5</v>
      </c>
      <c r="D16" s="614">
        <f>GETPIVOTDATA("Sum of Verbal abuse",AttacksPivot!$A$1,"Op","Operational","FinYear",A16)</f>
        <v>25</v>
      </c>
      <c r="E16" s="614">
        <f>GETPIVOTDATA("Sum of Physical abuse",AttacksPivot!$A$1,"Op","Operational","FinYear",A16)</f>
        <v>0</v>
      </c>
      <c r="F16" s="620">
        <f>GETPIVOTDATA("Sum of Total",AttacksPivot!$A$1,"Op","Operational","FinYear",A16)</f>
        <v>63</v>
      </c>
      <c r="H16" s="869" t="s">
        <v>917</v>
      </c>
      <c r="I16" s="614">
        <f>GETPIVOTDATA("Sum of Objects thrown at firefighters/appliances",AttacksPivot!$A$34,"Op","Operational","FinYear",H16)</f>
        <v>0</v>
      </c>
      <c r="J16" s="614">
        <f>GETPIVOTDATA("Sum of Other acts of aggression",AttacksPivot!$A$34,"Op","Operational","FinYear",H16)</f>
        <v>0</v>
      </c>
      <c r="K16" s="614">
        <f>GETPIVOTDATA("Sum of Verbal abuse",AttacksPivot!$A$34,"Op","Operational","FinYear",H16)</f>
        <v>0</v>
      </c>
      <c r="L16" s="614">
        <f>GETPIVOTDATA("Sum of Physical abuse",AttacksPivot!$A$34,"Op","Operational","FinYear",H16)</f>
        <v>0</v>
      </c>
      <c r="M16" s="620">
        <f>GETPIVOTDATA("Sum of Total",AttacksPivot!$A$34,"Op","Operational","FinYear",H16)</f>
        <v>0</v>
      </c>
    </row>
    <row r="17" spans="1:31" x14ac:dyDescent="0.25">
      <c r="A17" s="739" t="s">
        <v>1010</v>
      </c>
      <c r="B17" s="614">
        <f>GETPIVOTDATA("Sum of Objects thrown at firefighters/appliances",AttacksPivot!$A$1,"Op","Operational","FinYear",A17)</f>
        <v>27</v>
      </c>
      <c r="C17" s="614">
        <f>GETPIVOTDATA("Sum of Other acts of aggression",AttacksPivot!$A$1,"Op","Operational","FinYear",A17)</f>
        <v>0</v>
      </c>
      <c r="D17" s="614">
        <f>GETPIVOTDATA("Sum of Verbal abuse",AttacksPivot!$A$1,"Op","Operational","FinYear",A17)</f>
        <v>39</v>
      </c>
      <c r="E17" s="614">
        <f>GETPIVOTDATA("Sum of Physical abuse",AttacksPivot!$A$1,"Op","Operational","FinYear",A17)</f>
        <v>0</v>
      </c>
      <c r="F17" s="620">
        <f>GETPIVOTDATA("Sum of Total",AttacksPivot!$A$1,"Op","Operational","FinYear",A17)</f>
        <v>66</v>
      </c>
      <c r="H17" s="869" t="s">
        <v>1010</v>
      </c>
      <c r="I17" s="614">
        <f>GETPIVOTDATA("Sum of Objects thrown at firefighters/appliances",AttacksPivot!$A$34,"Op","Operational","FinYear",H17)</f>
        <v>1</v>
      </c>
      <c r="J17" s="614">
        <f>GETPIVOTDATA("Sum of Other acts of aggression",AttacksPivot!$A$34,"Op","Operational","FinYear",H17)</f>
        <v>0</v>
      </c>
      <c r="K17" s="614">
        <f>GETPIVOTDATA("Sum of Verbal abuse",AttacksPivot!$A$34,"Op","Operational","FinYear",H17)</f>
        <v>0</v>
      </c>
      <c r="L17" s="614">
        <f>GETPIVOTDATA("Sum of Physical abuse",AttacksPivot!$A$34,"Op","Operational","FinYear",H17)</f>
        <v>0</v>
      </c>
      <c r="M17" s="620">
        <f>GETPIVOTDATA("Sum of Total",AttacksPivot!$A$34,"Op","Operational","FinYear",H17)</f>
        <v>1</v>
      </c>
    </row>
    <row r="18" spans="1:31" x14ac:dyDescent="0.25">
      <c r="A18" s="739" t="s">
        <v>1061</v>
      </c>
      <c r="B18" s="614">
        <f>GETPIVOTDATA("Sum of Objects thrown at firefighters/appliances",AttacksPivot!$A$1,"Op","Operational","FinYear",A18)</f>
        <v>34</v>
      </c>
      <c r="C18" s="614">
        <f>GETPIVOTDATA("Sum of Other acts of aggression",AttacksPivot!$A$1,"Op","Operational","FinYear",A18)</f>
        <v>0</v>
      </c>
      <c r="D18" s="614">
        <f>GETPIVOTDATA("Sum of Verbal abuse",AttacksPivot!$A$1,"Op","Operational","FinYear",A18)</f>
        <v>29</v>
      </c>
      <c r="E18" s="614">
        <f>GETPIVOTDATA("Sum of Physical abuse",AttacksPivot!$A$1,"Op","Operational","FinYear",A18)</f>
        <v>3</v>
      </c>
      <c r="F18" s="620">
        <f>GETPIVOTDATA("Sum of Total",AttacksPivot!$A$1,"Op","Operational","FinYear",A18)</f>
        <v>66</v>
      </c>
      <c r="G18" s="15"/>
      <c r="H18" s="869" t="s">
        <v>1061</v>
      </c>
      <c r="I18" s="614">
        <f>GETPIVOTDATA("Sum of Objects thrown at firefighters/appliances",AttacksPivot!$A$34,"Op","Operational","FinYear",H18)</f>
        <v>0</v>
      </c>
      <c r="J18" s="614">
        <f>GETPIVOTDATA("Sum of Other acts of aggression",AttacksPivot!$A$34,"Op","Operational","FinYear",H18)</f>
        <v>0</v>
      </c>
      <c r="K18" s="614">
        <f>GETPIVOTDATA("Sum of Verbal abuse",AttacksPivot!$A$34,"Op","Operational","FinYear",H18)</f>
        <v>0</v>
      </c>
      <c r="L18" s="614">
        <f>GETPIVOTDATA("Sum of Physical abuse",AttacksPivot!$A$34,"Op","Operational","FinYear",H18)</f>
        <v>0</v>
      </c>
      <c r="M18" s="620">
        <f>GETPIVOTDATA("Sum of Total",AttacksPivot!$A$34,"Op","Operational","FinYear",H18)</f>
        <v>0</v>
      </c>
    </row>
    <row r="19" spans="1:31" x14ac:dyDescent="0.25">
      <c r="A19" s="896" t="s">
        <v>1108</v>
      </c>
      <c r="B19" s="642">
        <f>GETPIVOTDATA("Sum of Objects thrown at firefighters/appliances",AttacksPivot!$A$1,"Op","Operational","FinYear",A19)</f>
        <v>33</v>
      </c>
      <c r="C19" s="642">
        <f>GETPIVOTDATA("Sum of Other acts of aggression",AttacksPivot!$A$1,"Op","Operational","FinYear",A19)</f>
        <v>1</v>
      </c>
      <c r="D19" s="642">
        <f>GETPIVOTDATA("Sum of Verbal abuse",AttacksPivot!$A$1,"Op","Operational","FinYear",A19)</f>
        <v>16</v>
      </c>
      <c r="E19" s="642">
        <f>GETPIVOTDATA("Sum of Physical abuse",AttacksPivot!$A$1,"Op","Operational","FinYear",A19)</f>
        <v>1</v>
      </c>
      <c r="F19" s="897">
        <f>GETPIVOTDATA("Sum of Total",AttacksPivot!$A$1,"Op","Operational","FinYear",A19)</f>
        <v>51</v>
      </c>
      <c r="G19" s="364"/>
      <c r="H19" s="898" t="s">
        <v>1108</v>
      </c>
      <c r="I19" s="899">
        <f>GETPIVOTDATA("Sum of Objects thrown at firefighters/appliances",AttacksPivot!$A$34,"Op","Operational","FinYear",H19)</f>
        <v>0</v>
      </c>
      <c r="J19" s="642">
        <f>GETPIVOTDATA("Sum of Other acts of aggression",AttacksPivot!$A$34,"Op","Operational","FinYear",H19)</f>
        <v>0</v>
      </c>
      <c r="K19" s="642">
        <f>GETPIVOTDATA("Sum of Verbal abuse",AttacksPivot!$A$34,"Op","Operational","FinYear",H19)</f>
        <v>1</v>
      </c>
      <c r="L19" s="642">
        <f>GETPIVOTDATA("Sum of Physical abuse",AttacksPivot!$A$34,"Op","Operational","FinYear",H19)</f>
        <v>0</v>
      </c>
      <c r="M19" s="897">
        <f>GETPIVOTDATA("Sum of Total",AttacksPivot!$A$34,"Op","Operational","FinYear",H19)</f>
        <v>1</v>
      </c>
    </row>
    <row r="20" spans="1:31" ht="21.6" customHeight="1" x14ac:dyDescent="0.25">
      <c r="A20" s="343"/>
      <c r="B20" s="15"/>
      <c r="C20" s="15"/>
      <c r="D20" s="15"/>
      <c r="E20" s="15"/>
      <c r="F20" s="15"/>
      <c r="G20" s="430"/>
      <c r="H20" s="430"/>
      <c r="I20" s="430"/>
      <c r="J20" s="430"/>
      <c r="K20" s="430"/>
      <c r="T20" s="376"/>
      <c r="X20" s="376"/>
      <c r="AA20" s="376"/>
      <c r="AB20" s="376"/>
      <c r="AC20" s="376"/>
      <c r="AD20" s="376"/>
      <c r="AE20" s="376"/>
    </row>
    <row r="21" spans="1:31" x14ac:dyDescent="0.25">
      <c r="A21" s="363" t="s">
        <v>8</v>
      </c>
      <c r="B21" s="364"/>
      <c r="C21" s="364"/>
      <c r="D21" s="364"/>
      <c r="E21" s="364"/>
      <c r="F21" s="364"/>
      <c r="G21" s="430"/>
      <c r="H21" s="581"/>
      <c r="I21" s="581"/>
      <c r="J21" s="430"/>
      <c r="K21" s="430"/>
      <c r="T21" s="376"/>
      <c r="X21" s="376"/>
      <c r="AA21" s="376"/>
      <c r="AB21" s="376"/>
      <c r="AC21" s="376"/>
      <c r="AD21" s="376"/>
      <c r="AE21" s="376"/>
    </row>
    <row r="22" spans="1:31" ht="27.95" customHeight="1" x14ac:dyDescent="0.25">
      <c r="A22" s="1003" t="s">
        <v>736</v>
      </c>
      <c r="B22" s="1003"/>
      <c r="C22" s="1003"/>
      <c r="D22" s="1003"/>
      <c r="E22" s="1003"/>
      <c r="F22" s="1003"/>
      <c r="G22" s="1003"/>
      <c r="H22" s="430"/>
      <c r="I22" s="430"/>
      <c r="J22" s="430"/>
      <c r="K22" s="430"/>
      <c r="T22" s="376"/>
      <c r="X22" s="376"/>
      <c r="AA22" s="376"/>
      <c r="AB22" s="376"/>
      <c r="AC22" s="376"/>
      <c r="AD22" s="376"/>
      <c r="AE22" s="376"/>
    </row>
    <row r="23" spans="1:31" ht="30" customHeight="1" x14ac:dyDescent="0.25">
      <c r="A23" s="1003" t="s">
        <v>1263</v>
      </c>
      <c r="B23" s="1003"/>
      <c r="C23" s="1003"/>
      <c r="D23" s="1003"/>
      <c r="E23" s="1003"/>
      <c r="F23" s="1003"/>
      <c r="G23" s="1003"/>
      <c r="H23" s="508"/>
      <c r="I23" s="508"/>
      <c r="J23" s="508"/>
      <c r="K23" s="508"/>
      <c r="T23" s="376"/>
      <c r="X23" s="376"/>
      <c r="AA23" s="376"/>
      <c r="AB23" s="376"/>
      <c r="AC23" s="376"/>
      <c r="AD23" s="376"/>
      <c r="AE23" s="376"/>
    </row>
    <row r="24" spans="1:31" ht="15.75" x14ac:dyDescent="0.25">
      <c r="A24" s="15"/>
      <c r="B24" s="15"/>
      <c r="C24" s="15"/>
      <c r="D24" s="15"/>
      <c r="E24" s="15"/>
      <c r="F24" s="15"/>
      <c r="G24" s="508"/>
      <c r="H24" s="508"/>
      <c r="I24" s="508"/>
      <c r="J24" s="508"/>
      <c r="K24" s="508"/>
      <c r="L24" s="578"/>
      <c r="T24" s="376"/>
      <c r="X24" s="376"/>
      <c r="AA24" s="376"/>
      <c r="AB24" s="376"/>
      <c r="AC24" s="376"/>
      <c r="AD24" s="376"/>
      <c r="AE24" s="376"/>
    </row>
    <row r="25" spans="1:31" ht="18" customHeight="1" x14ac:dyDescent="0.25">
      <c r="A25" s="1035" t="s">
        <v>589</v>
      </c>
      <c r="B25" s="1035"/>
      <c r="C25" s="1035"/>
      <c r="D25" s="508"/>
      <c r="E25" s="508"/>
      <c r="F25" s="508"/>
      <c r="G25" s="508"/>
      <c r="H25" s="508"/>
      <c r="I25" s="508"/>
      <c r="J25" s="508"/>
      <c r="K25" s="508"/>
      <c r="T25" s="376"/>
      <c r="X25" s="376"/>
      <c r="AA25" s="376"/>
      <c r="AB25" s="376"/>
      <c r="AC25" s="376"/>
      <c r="AD25" s="376"/>
      <c r="AE25" s="376"/>
    </row>
    <row r="26" spans="1:31" ht="15.75" x14ac:dyDescent="0.25">
      <c r="A26" t="s">
        <v>328</v>
      </c>
      <c r="B26" t="s">
        <v>659</v>
      </c>
      <c r="C26" s="577"/>
      <c r="D26" s="577"/>
      <c r="E26" s="577"/>
      <c r="F26" s="577"/>
      <c r="G26" s="508"/>
      <c r="H26" s="508"/>
      <c r="I26" s="508"/>
      <c r="J26" s="508"/>
      <c r="K26" s="508"/>
      <c r="T26" s="376"/>
      <c r="X26" s="376"/>
      <c r="AA26" s="376"/>
      <c r="AB26" s="376"/>
      <c r="AC26" s="376"/>
      <c r="AD26" s="376"/>
      <c r="AE26" s="376"/>
    </row>
    <row r="27" spans="1:31" ht="15.75" x14ac:dyDescent="0.25">
      <c r="A27" t="s">
        <v>329</v>
      </c>
      <c r="B27" t="s">
        <v>331</v>
      </c>
      <c r="C27" s="508"/>
      <c r="D27" s="508"/>
      <c r="E27" s="508"/>
      <c r="F27" s="508"/>
      <c r="G27" s="211"/>
      <c r="I27" s="211"/>
      <c r="K27" s="210"/>
      <c r="T27" s="376"/>
      <c r="X27" s="376"/>
      <c r="AA27" s="376"/>
      <c r="AB27" s="376"/>
      <c r="AC27" s="376"/>
      <c r="AD27" s="376"/>
      <c r="AE27" s="376"/>
    </row>
    <row r="28" spans="1:31" ht="14.45" customHeight="1" x14ac:dyDescent="0.25">
      <c r="A28" t="s">
        <v>330</v>
      </c>
      <c r="B28" t="s">
        <v>530</v>
      </c>
      <c r="C28" s="508"/>
      <c r="D28" s="508"/>
      <c r="E28" s="508"/>
      <c r="F28" s="508"/>
      <c r="G28" s="211"/>
      <c r="I28" s="211"/>
      <c r="K28" s="210"/>
      <c r="Q28" s="211"/>
      <c r="T28" s="376"/>
      <c r="X28" s="376"/>
      <c r="AA28" s="376"/>
      <c r="AB28" s="376"/>
      <c r="AC28" s="376"/>
      <c r="AD28" s="376"/>
      <c r="AE28" s="376"/>
    </row>
    <row r="29" spans="1:31" ht="14.45" customHeight="1" x14ac:dyDescent="0.25">
      <c r="C29" s="508"/>
      <c r="D29" s="508"/>
      <c r="E29" s="508"/>
      <c r="F29" s="508"/>
      <c r="G29" s="211"/>
      <c r="I29" s="211"/>
      <c r="K29" s="210"/>
      <c r="Q29" s="211"/>
      <c r="T29" s="376"/>
      <c r="X29" s="376"/>
      <c r="AA29" s="376"/>
      <c r="AB29" s="376"/>
      <c r="AC29" s="376"/>
      <c r="AD29" s="376"/>
      <c r="AE29" s="376"/>
    </row>
    <row r="30" spans="1:31" ht="14.45" customHeight="1" x14ac:dyDescent="0.25">
      <c r="A30" s="6" t="s">
        <v>529</v>
      </c>
      <c r="B30" s="211"/>
      <c r="C30" s="211"/>
      <c r="D30" s="211"/>
      <c r="E30" s="211"/>
      <c r="F30" s="211"/>
      <c r="G30" s="211"/>
      <c r="H30" s="660" t="s">
        <v>920</v>
      </c>
      <c r="I30" s="660"/>
      <c r="J30" s="210"/>
      <c r="K30" s="210"/>
      <c r="Q30" s="211"/>
      <c r="T30" s="376"/>
      <c r="X30" s="376"/>
      <c r="AA30" s="376"/>
      <c r="AB30" s="376"/>
      <c r="AC30" s="376"/>
      <c r="AD30" s="376"/>
      <c r="AE30" s="376"/>
    </row>
    <row r="31" spans="1:31" ht="30" x14ac:dyDescent="0.25">
      <c r="A31" s="707" t="s">
        <v>1</v>
      </c>
      <c r="B31" s="867" t="s">
        <v>1160</v>
      </c>
      <c r="C31" s="867" t="s">
        <v>1161</v>
      </c>
      <c r="D31" s="867" t="s">
        <v>1162</v>
      </c>
      <c r="E31" s="867" t="s">
        <v>1163</v>
      </c>
      <c r="F31" s="868" t="s">
        <v>26</v>
      </c>
      <c r="G31" s="211"/>
      <c r="H31" s="706" t="s">
        <v>1</v>
      </c>
      <c r="I31" s="867" t="s">
        <v>1160</v>
      </c>
      <c r="J31" s="867" t="s">
        <v>1161</v>
      </c>
      <c r="K31" s="867" t="s">
        <v>1162</v>
      </c>
      <c r="L31" s="867" t="s">
        <v>1163</v>
      </c>
      <c r="M31" s="868" t="s">
        <v>26</v>
      </c>
      <c r="O31" s="376"/>
      <c r="R31" s="376"/>
      <c r="S31" s="376"/>
      <c r="T31" s="376"/>
      <c r="U31" s="376"/>
      <c r="V31" s="376"/>
    </row>
    <row r="32" spans="1:31" x14ac:dyDescent="0.25">
      <c r="A32" s="739" t="s">
        <v>190</v>
      </c>
      <c r="B32" s="614">
        <f>GETPIVOTDATA("Sum of Objects thrown at firefighters/appliances",AttacksPivot!$A$18,"Op","Non-Operational","FinYear",A32)</f>
        <v>3</v>
      </c>
      <c r="C32" s="614">
        <f>GETPIVOTDATA("Sum of Other acts of aggression",AttacksPivot!$A$18,"Op","Non-Operational","FinYear",A32)</f>
        <v>0</v>
      </c>
      <c r="D32" s="614">
        <f>GETPIVOTDATA("Sum of Verbal abuse",AttacksPivot!$A$18,"Op","Non-Operational","FinYear",A32)</f>
        <v>6</v>
      </c>
      <c r="E32" s="614">
        <f>GETPIVOTDATA("Sum of Physical abuse",AttacksPivot!$A$18,"Op","Non-Operational","FinYear",A32)</f>
        <v>0</v>
      </c>
      <c r="F32" s="846">
        <f>GETPIVOTDATA("Sum of Total",AttacksPivot!$A$18,"Op","Non-Operational","FinYear",A32)</f>
        <v>9</v>
      </c>
      <c r="H32" s="869" t="s">
        <v>190</v>
      </c>
      <c r="I32" s="614">
        <f>GETPIVOTDATA("Sum of Objects thrown at firefighters/appliances",AttacksPivot!$A$48,"Op","Non-Operational","FinYear",H32)</f>
        <v>0</v>
      </c>
      <c r="J32" s="614">
        <f>GETPIVOTDATA("Sum of Other acts of aggression",AttacksPivot!$A$48,"Op","Non-Operational","FinYear",H32)</f>
        <v>0</v>
      </c>
      <c r="K32" s="614">
        <f>GETPIVOTDATA("Sum of Verbal abuse",AttacksPivot!$A$48,"Op","Non-Operational","FinYear",H32)</f>
        <v>0</v>
      </c>
      <c r="L32" s="614">
        <f>GETPIVOTDATA("Sum of Physical abuse",AttacksPivot!$A$48,"Op","Non-Operational","FinYear",H32)</f>
        <v>0</v>
      </c>
      <c r="M32" s="846">
        <f>GETPIVOTDATA("Sum of Total",AttacksPivot!$A$48,"Op","Non-Operational","FinYear",H32)</f>
        <v>0</v>
      </c>
    </row>
    <row r="33" spans="1:31" x14ac:dyDescent="0.25">
      <c r="A33" s="739" t="s">
        <v>257</v>
      </c>
      <c r="B33" s="614">
        <f>GETPIVOTDATA("Sum of Objects thrown at firefighters/appliances",AttacksPivot!$A$18,"Op","Non-Operational","FinYear",A33)</f>
        <v>2</v>
      </c>
      <c r="C33" s="614">
        <f>GETPIVOTDATA("Sum of Other acts of aggression",AttacksPivot!$A$18,"Op","Non-Operational","FinYear",A33)</f>
        <v>0</v>
      </c>
      <c r="D33" s="614">
        <f>GETPIVOTDATA("Sum of Verbal abuse",AttacksPivot!$A$18,"Op","Non-Operational","FinYear",A33)</f>
        <v>3</v>
      </c>
      <c r="E33" s="614">
        <f>GETPIVOTDATA("Sum of Physical abuse",AttacksPivot!$A$18,"Op","Non-Operational","FinYear",A33)</f>
        <v>0</v>
      </c>
      <c r="F33" s="620">
        <f>GETPIVOTDATA("Sum of Total",AttacksPivot!$A$18,"Op","Non-Operational","FinYear",A33)</f>
        <v>5</v>
      </c>
      <c r="H33" s="869" t="s">
        <v>257</v>
      </c>
      <c r="I33" s="614">
        <f>GETPIVOTDATA("Sum of Objects thrown at firefighters/appliances",AttacksPivot!$A$48,"Op","Non-Operational","FinYear",H33)</f>
        <v>0</v>
      </c>
      <c r="J33" s="614">
        <f>GETPIVOTDATA("Sum of Other acts of aggression",AttacksPivot!$A$48,"Op","Non-Operational","FinYear",H33)</f>
        <v>0</v>
      </c>
      <c r="K33" s="614">
        <f>GETPIVOTDATA("Sum of Verbal abuse",AttacksPivot!$A$48,"Op","Non-Operational","FinYear",H33)</f>
        <v>0</v>
      </c>
      <c r="L33" s="614">
        <f>GETPIVOTDATA("Sum of Physical abuse",AttacksPivot!$A$48,"Op","Non-Operational","FinYear",H33)</f>
        <v>0</v>
      </c>
      <c r="M33" s="620">
        <f>GETPIVOTDATA("Sum of Total",AttacksPivot!$A$48,"Op","Non-Operational","FinYear",H33)</f>
        <v>0</v>
      </c>
    </row>
    <row r="34" spans="1:31" x14ac:dyDescent="0.25">
      <c r="A34" s="739" t="s">
        <v>240</v>
      </c>
      <c r="B34" s="614">
        <f>GETPIVOTDATA("Sum of Objects thrown at firefighters/appliances",AttacksPivot!$A$18,"Op","Non-Operational","FinYear",A34)</f>
        <v>3</v>
      </c>
      <c r="C34" s="614">
        <f>GETPIVOTDATA("Sum of Other acts of aggression",AttacksPivot!$A$18,"Op","Non-Operational","FinYear",A34)</f>
        <v>0</v>
      </c>
      <c r="D34" s="614">
        <f>GETPIVOTDATA("Sum of Verbal abuse",AttacksPivot!$A$18,"Op","Non-Operational","FinYear",A34)</f>
        <v>3</v>
      </c>
      <c r="E34" s="614">
        <f>GETPIVOTDATA("Sum of Physical abuse",AttacksPivot!$A$18,"Op","Non-Operational","FinYear",A34)</f>
        <v>2</v>
      </c>
      <c r="F34" s="620">
        <f>GETPIVOTDATA("Sum of Total",AttacksPivot!$A$18,"Op","Non-Operational","FinYear",A34)</f>
        <v>8</v>
      </c>
      <c r="H34" s="869" t="s">
        <v>240</v>
      </c>
      <c r="I34" s="614">
        <f>GETPIVOTDATA("Sum of Objects thrown at firefighters/appliances",AttacksPivot!$A$48,"Op","Non-Operational","FinYear",H34)</f>
        <v>0</v>
      </c>
      <c r="J34" s="614">
        <f>GETPIVOTDATA("Sum of Other acts of aggression",AttacksPivot!$A$48,"Op","Non-Operational","FinYear",H34)</f>
        <v>0</v>
      </c>
      <c r="K34" s="614">
        <f>GETPIVOTDATA("Sum of Verbal abuse",AttacksPivot!$A$48,"Op","Non-Operational","FinYear",H34)</f>
        <v>0</v>
      </c>
      <c r="L34" s="614">
        <f>GETPIVOTDATA("Sum of Physical abuse",AttacksPivot!$A$48,"Op","Non-Operational","FinYear",H34)</f>
        <v>0</v>
      </c>
      <c r="M34" s="620">
        <f>GETPIVOTDATA("Sum of Total",AttacksPivot!$A$48,"Op","Non-Operational","FinYear",H34)</f>
        <v>0</v>
      </c>
    </row>
    <row r="35" spans="1:31" x14ac:dyDescent="0.25">
      <c r="A35" s="739" t="s">
        <v>239</v>
      </c>
      <c r="B35" s="614">
        <f>GETPIVOTDATA("Sum of Objects thrown at firefighters/appliances",AttacksPivot!$A$18,"Op","Non-Operational","FinYear",A35)</f>
        <v>2</v>
      </c>
      <c r="C35" s="614">
        <f>GETPIVOTDATA("Sum of Other acts of aggression",AttacksPivot!$A$18,"Op","Non-Operational","FinYear",A35)</f>
        <v>1</v>
      </c>
      <c r="D35" s="614">
        <f>GETPIVOTDATA("Sum of Verbal abuse",AttacksPivot!$A$18,"Op","Non-Operational","FinYear",A35)</f>
        <v>6</v>
      </c>
      <c r="E35" s="614">
        <f>GETPIVOTDATA("Sum of Physical abuse",AttacksPivot!$A$18,"Op","Non-Operational","FinYear",A35)</f>
        <v>2</v>
      </c>
      <c r="F35" s="620">
        <f>GETPIVOTDATA("Sum of Total",AttacksPivot!$A$18,"Op","Non-Operational","FinYear",A35)</f>
        <v>11</v>
      </c>
      <c r="H35" s="869" t="s">
        <v>239</v>
      </c>
      <c r="I35" s="614">
        <f>GETPIVOTDATA("Sum of Objects thrown at firefighters/appliances",AttacksPivot!$A$48,"Op","Non-Operational","FinYear",H35)</f>
        <v>0</v>
      </c>
      <c r="J35" s="614">
        <f>GETPIVOTDATA("Sum of Other acts of aggression",AttacksPivot!$A$48,"Op","Non-Operational","FinYear",H35)</f>
        <v>0</v>
      </c>
      <c r="K35" s="614">
        <f>GETPIVOTDATA("Sum of Verbal abuse",AttacksPivot!$A$48,"Op","Non-Operational","FinYear",H35)</f>
        <v>0</v>
      </c>
      <c r="L35" s="614">
        <f>GETPIVOTDATA("Sum of Physical abuse",AttacksPivot!$A$48,"Op","Non-Operational","FinYear",H35)</f>
        <v>2</v>
      </c>
      <c r="M35" s="620">
        <f>GETPIVOTDATA("Sum of Total",AttacksPivot!$A$48,"Op","Non-Operational","FinYear",H35)</f>
        <v>2</v>
      </c>
    </row>
    <row r="36" spans="1:31" x14ac:dyDescent="0.25">
      <c r="A36" s="739" t="s">
        <v>760</v>
      </c>
      <c r="B36" s="614">
        <f>GETPIVOTDATA("Sum of Objects thrown at firefighters/appliances",AttacksPivot!$A$18,"Op","Non-Operational","FinYear",A36)</f>
        <v>1</v>
      </c>
      <c r="C36" s="614">
        <f>GETPIVOTDATA("Sum of Other acts of aggression",AttacksPivot!$A$18,"Op","Non-Operational","FinYear",A36)</f>
        <v>1</v>
      </c>
      <c r="D36" s="614">
        <f>GETPIVOTDATA("Sum of Verbal abuse",AttacksPivot!$A$18,"Op","Non-Operational","FinYear",A36)</f>
        <v>1</v>
      </c>
      <c r="E36" s="614">
        <f>GETPIVOTDATA("Sum of Physical abuse",AttacksPivot!$A$18,"Op","Non-Operational","FinYear",A36)</f>
        <v>0</v>
      </c>
      <c r="F36" s="620">
        <f>GETPIVOTDATA("Sum of Total",AttacksPivot!$A$18,"Op","Non-Operational","FinYear",A36)</f>
        <v>3</v>
      </c>
      <c r="H36" s="869" t="s">
        <v>760</v>
      </c>
      <c r="I36" s="614">
        <f>GETPIVOTDATA("Sum of Objects thrown at firefighters/appliances",AttacksPivot!$A$48,"Op","Non-Operational","FinYear",H36)</f>
        <v>0</v>
      </c>
      <c r="J36" s="614">
        <f>GETPIVOTDATA("Sum of Other acts of aggression",AttacksPivot!$A$48,"Op","Non-Operational","FinYear",H36)</f>
        <v>0</v>
      </c>
      <c r="K36" s="614">
        <f>GETPIVOTDATA("Sum of Verbal abuse",AttacksPivot!$A$48,"Op","Non-Operational","FinYear",H36)</f>
        <v>0</v>
      </c>
      <c r="L36" s="614">
        <f>GETPIVOTDATA("Sum of Physical abuse",AttacksPivot!$A$48,"Op","Non-Operational","FinYear",H36)</f>
        <v>0</v>
      </c>
      <c r="M36" s="620">
        <f>GETPIVOTDATA("Sum of Total",AttacksPivot!$A$48,"Op","Non-Operational","FinYear",H36)</f>
        <v>0</v>
      </c>
    </row>
    <row r="37" spans="1:31" x14ac:dyDescent="0.25">
      <c r="A37" s="739" t="s">
        <v>917</v>
      </c>
      <c r="B37" s="614">
        <f>GETPIVOTDATA("Sum of Objects thrown at firefighters/appliances",AttacksPivot!$A$18,"Op","Non-Operational","FinYear",A37)</f>
        <v>1</v>
      </c>
      <c r="C37" s="614">
        <f>GETPIVOTDATA("Sum of Other acts of aggression",AttacksPivot!$A$18,"Op","Non-Operational","FinYear",A37)</f>
        <v>0</v>
      </c>
      <c r="D37" s="614">
        <f>GETPIVOTDATA("Sum of Verbal abuse",AttacksPivot!$A$18,"Op","Non-Operational","FinYear",A37)</f>
        <v>5</v>
      </c>
      <c r="E37" s="614">
        <f>GETPIVOTDATA("Sum of Physical abuse",AttacksPivot!$A$18,"Op","Non-Operational","FinYear",A37)</f>
        <v>0</v>
      </c>
      <c r="F37" s="620">
        <f>GETPIVOTDATA("Sum of Total",AttacksPivot!$A$18,"Op","Non-Operational","FinYear",A37)</f>
        <v>6</v>
      </c>
      <c r="H37" s="869" t="s">
        <v>917</v>
      </c>
      <c r="I37" s="614">
        <f>GETPIVOTDATA("Sum of Objects thrown at firefighters/appliances",AttacksPivot!$A$48,"Op","Non-Operational","FinYear",H37)</f>
        <v>0</v>
      </c>
      <c r="J37" s="614">
        <f>GETPIVOTDATA("Sum of Other acts of aggression",AttacksPivot!$A$48,"Op","Non-Operational","FinYear",H37)</f>
        <v>0</v>
      </c>
      <c r="K37" s="614">
        <f>GETPIVOTDATA("Sum of Verbal abuse",AttacksPivot!$A$48,"Op","Non-Operational","FinYear",H37)</f>
        <v>0</v>
      </c>
      <c r="L37" s="614">
        <f>GETPIVOTDATA("Sum of Physical abuse",AttacksPivot!$A$48,"Op","Non-Operational","FinYear",H37)</f>
        <v>0</v>
      </c>
      <c r="M37" s="620">
        <f>GETPIVOTDATA("Sum of Total",AttacksPivot!$A$48,"Op","Non-Operational","FinYear",H37)</f>
        <v>0</v>
      </c>
    </row>
    <row r="38" spans="1:31" x14ac:dyDescent="0.25">
      <c r="A38" s="739" t="s">
        <v>1010</v>
      </c>
      <c r="B38" s="614">
        <f>GETPIVOTDATA("Sum of Objects thrown at firefighters/appliances",AttacksPivot!$A$18,"Op","Non-Operational","FinYear",A38)</f>
        <v>5</v>
      </c>
      <c r="C38" s="614">
        <f>GETPIVOTDATA("Sum of Other acts of aggression",AttacksPivot!$A$18,"Op","Non-Operational","FinYear",A38)</f>
        <v>0</v>
      </c>
      <c r="D38" s="614">
        <f>GETPIVOTDATA("Sum of Verbal abuse",AttacksPivot!$A$18,"Op","Non-Operational","FinYear",A38)</f>
        <v>5</v>
      </c>
      <c r="E38" s="614">
        <f>GETPIVOTDATA("Sum of Physical abuse",AttacksPivot!$A$18,"Op","Non-Operational","FinYear",A38)</f>
        <v>0</v>
      </c>
      <c r="F38" s="620">
        <f>GETPIVOTDATA("Sum of Total",AttacksPivot!$A$18,"Op","Non-Operational","FinYear",A38)</f>
        <v>10</v>
      </c>
      <c r="G38" s="376"/>
      <c r="H38" s="869" t="s">
        <v>1010</v>
      </c>
      <c r="I38" s="614">
        <f>GETPIVOTDATA("Sum of Objects thrown at firefighters/appliances",AttacksPivot!$A$48,"Op","Non-Operational","FinYear",H38)</f>
        <v>0</v>
      </c>
      <c r="J38" s="614">
        <f>GETPIVOTDATA("Sum of Other acts of aggression",AttacksPivot!$A$48,"Op","Non-Operational","FinYear",H38)</f>
        <v>0</v>
      </c>
      <c r="K38" s="614">
        <f>GETPIVOTDATA("Sum of Verbal abuse",AttacksPivot!$A$48,"Op","Non-Operational","FinYear",H38)</f>
        <v>0</v>
      </c>
      <c r="L38" s="614">
        <f>GETPIVOTDATA("Sum of Physical abuse",AttacksPivot!$A$48,"Op","Non-Operational","FinYear",H38)</f>
        <v>0</v>
      </c>
      <c r="M38" s="620">
        <f>GETPIVOTDATA("Sum of Total",AttacksPivot!$A$48,"Op","Non-Operational","FinYear",H38)</f>
        <v>0</v>
      </c>
      <c r="N38" s="376"/>
      <c r="O38" s="376"/>
      <c r="P38" s="376"/>
      <c r="Q38" s="376"/>
      <c r="R38" s="376"/>
    </row>
    <row r="39" spans="1:31" x14ac:dyDescent="0.25">
      <c r="A39" s="739" t="s">
        <v>1061</v>
      </c>
      <c r="B39" s="614">
        <f>GETPIVOTDATA("Sum of Objects thrown at firefighters/appliances",AttacksPivot!$A$18,"Op","Non-Operational","FinYear",A39)</f>
        <v>1</v>
      </c>
      <c r="C39" s="614">
        <f>GETPIVOTDATA("Sum of Other acts of aggression",AttacksPivot!$A$18,"Op","Non-Operational","FinYear",A39)</f>
        <v>1</v>
      </c>
      <c r="D39" s="614">
        <f>GETPIVOTDATA("Sum of Verbal abuse",AttacksPivot!$A$18,"Op","Non-Operational","FinYear",A39)</f>
        <v>12</v>
      </c>
      <c r="E39" s="614">
        <f>GETPIVOTDATA("Sum of Physical abuse",AttacksPivot!$A$18,"Op","Non-Operational","FinYear",A39)</f>
        <v>0</v>
      </c>
      <c r="F39" s="620">
        <f>GETPIVOTDATA("Sum of Total",AttacksPivot!$A$18,"Op","Non-Operational","FinYear",A39)</f>
        <v>14</v>
      </c>
      <c r="G39" s="211"/>
      <c r="H39" s="869" t="s">
        <v>1061</v>
      </c>
      <c r="I39" s="614">
        <f>GETPIVOTDATA("Sum of Objects thrown at firefighters/appliances",AttacksPivot!$A$48,"Op","Non-Operational","FinYear",H39)</f>
        <v>0</v>
      </c>
      <c r="J39" s="614">
        <f>GETPIVOTDATA("Sum of Other acts of aggression",AttacksPivot!$A$48,"Op","Non-Operational","FinYear",H39)</f>
        <v>0</v>
      </c>
      <c r="K39" s="614">
        <f>GETPIVOTDATA("Sum of Verbal abuse",AttacksPivot!$A$48,"Op","Non-Operational","FinYear",H39)</f>
        <v>0</v>
      </c>
      <c r="L39" s="614">
        <f>GETPIVOTDATA("Sum of Physical abuse",AttacksPivot!$A$48,"Op","Non-Operational","FinYear",H39)</f>
        <v>0</v>
      </c>
      <c r="M39" s="620">
        <f>GETPIVOTDATA("Sum of Total",AttacksPivot!$A$48,"Op","Non-Operational","FinYear",H39)</f>
        <v>0</v>
      </c>
      <c r="T39" s="376"/>
      <c r="X39" s="376"/>
      <c r="AA39" s="376"/>
      <c r="AB39" s="376"/>
      <c r="AC39" s="376"/>
      <c r="AD39" s="376"/>
      <c r="AE39" s="376"/>
    </row>
    <row r="40" spans="1:31" x14ac:dyDescent="0.25">
      <c r="A40" s="896" t="s">
        <v>1108</v>
      </c>
      <c r="B40" s="642">
        <f>GETPIVOTDATA("Sum of Objects thrown at firefighters/appliances",AttacksPivot!$A$18,"Op","Non-Operational","FinYear",A40)</f>
        <v>2</v>
      </c>
      <c r="C40" s="642">
        <f>GETPIVOTDATA("Sum of Other acts of aggression",AttacksPivot!$A$18,"Op","Non-Operational","FinYear",A40)</f>
        <v>1</v>
      </c>
      <c r="D40" s="642">
        <f>GETPIVOTDATA("Sum of Verbal abuse",AttacksPivot!$A$18,"Op","Non-Operational","FinYear",A40)</f>
        <v>4</v>
      </c>
      <c r="E40" s="642">
        <f>GETPIVOTDATA("Sum of Physical abuse",AttacksPivot!$A$18,"Op","Non-Operational","FinYear",A40)</f>
        <v>2</v>
      </c>
      <c r="F40" s="897">
        <f>GETPIVOTDATA("Sum of Total",AttacksPivot!$A$18,"Op","Non-Operational","FinYear",A40)</f>
        <v>9</v>
      </c>
      <c r="G40" s="365"/>
      <c r="H40" s="898" t="s">
        <v>1108</v>
      </c>
      <c r="I40" s="899">
        <f>GETPIVOTDATA("Sum of Objects thrown at firefighters/appliances",AttacksPivot!$A$48,"Op","Non-Operational","FinYear",H40)</f>
        <v>0</v>
      </c>
      <c r="J40" s="642">
        <f>GETPIVOTDATA("Sum of Other acts of aggression",AttacksPivot!$A$48,"Op","Non-Operational","FinYear",H40)</f>
        <v>0</v>
      </c>
      <c r="K40" s="642">
        <f>GETPIVOTDATA("Sum of Verbal abuse",AttacksPivot!$A$48,"Op","Non-Operational","FinYear",H40)</f>
        <v>0</v>
      </c>
      <c r="L40" s="642">
        <f>GETPIVOTDATA("Sum of Physical abuse",AttacksPivot!$A$48,"Op","Non-Operational","FinYear",H40)</f>
        <v>1</v>
      </c>
      <c r="M40" s="897">
        <f>GETPIVOTDATA("Sum of Total",AttacksPivot!$A$48,"Op","Non-Operational","FinYear",H40)</f>
        <v>1</v>
      </c>
      <c r="T40" s="376"/>
      <c r="X40" s="376"/>
      <c r="AA40" s="376"/>
      <c r="AB40" s="376"/>
      <c r="AC40" s="376"/>
      <c r="AD40" s="376"/>
      <c r="AE40" s="376"/>
    </row>
    <row r="41" spans="1:31" x14ac:dyDescent="0.25">
      <c r="A41" s="341"/>
      <c r="G41" s="365"/>
      <c r="H41" s="341"/>
      <c r="I41" s="581"/>
      <c r="T41" s="376"/>
      <c r="X41" s="376"/>
      <c r="AA41" s="376"/>
      <c r="AB41" s="376"/>
      <c r="AC41" s="376"/>
      <c r="AD41" s="376"/>
      <c r="AE41" s="376"/>
    </row>
    <row r="42" spans="1:31" x14ac:dyDescent="0.25">
      <c r="A42" s="363" t="s">
        <v>8</v>
      </c>
      <c r="B42" s="365"/>
      <c r="C42" s="365"/>
      <c r="D42" s="674"/>
      <c r="E42" s="365"/>
      <c r="F42" s="365"/>
      <c r="G42" s="430"/>
      <c r="T42" s="376"/>
      <c r="X42" s="376"/>
      <c r="AA42" s="376"/>
      <c r="AB42" s="376"/>
      <c r="AC42" s="376"/>
      <c r="AD42" s="376"/>
      <c r="AE42" s="376"/>
    </row>
    <row r="43" spans="1:31" ht="33.6" customHeight="1" x14ac:dyDescent="0.25">
      <c r="A43" s="1003" t="s">
        <v>1100</v>
      </c>
      <c r="B43" s="1003"/>
      <c r="C43" s="1003"/>
      <c r="D43" s="1003"/>
      <c r="E43" s="1003"/>
      <c r="F43" s="1003"/>
      <c r="G43" s="1003"/>
      <c r="H43" s="1003"/>
      <c r="T43" s="376"/>
      <c r="X43" s="376"/>
      <c r="AA43" s="376"/>
      <c r="AB43" s="376"/>
      <c r="AC43" s="376"/>
      <c r="AD43" s="376"/>
      <c r="AE43" s="376"/>
    </row>
    <row r="44" spans="1:31" ht="15.95" customHeight="1" x14ac:dyDescent="0.25">
      <c r="A44" s="1003" t="s">
        <v>1263</v>
      </c>
      <c r="B44" s="1003"/>
      <c r="C44" s="1003"/>
      <c r="D44" s="1003"/>
      <c r="E44" s="1003"/>
      <c r="F44" s="1003"/>
      <c r="G44" s="1003"/>
      <c r="H44" s="1003"/>
      <c r="T44" s="376"/>
      <c r="X44" s="376"/>
      <c r="AA44" s="376"/>
      <c r="AB44" s="376"/>
      <c r="AC44" s="376"/>
      <c r="AD44" s="376"/>
      <c r="AE44" s="376"/>
    </row>
    <row r="45" spans="1:31" ht="34.5" customHeight="1" x14ac:dyDescent="0.25">
      <c r="A45" s="343"/>
      <c r="B45" s="19"/>
      <c r="C45" s="19"/>
      <c r="D45" s="19"/>
      <c r="E45" s="19"/>
      <c r="F45" s="19"/>
      <c r="G45" s="581"/>
      <c r="T45" s="376"/>
      <c r="X45" s="376"/>
      <c r="AA45" s="376"/>
      <c r="AB45" s="376"/>
      <c r="AC45" s="376"/>
      <c r="AD45" s="376"/>
      <c r="AE45" s="376"/>
    </row>
    <row r="46" spans="1:31" ht="15.75" customHeight="1" x14ac:dyDescent="0.25">
      <c r="T46" s="376"/>
      <c r="X46" s="376"/>
      <c r="AA46" s="376"/>
      <c r="AB46" s="376"/>
      <c r="AC46" s="376"/>
      <c r="AD46" s="376"/>
      <c r="AE46" s="376"/>
    </row>
    <row r="47" spans="1:31" ht="15.75" customHeight="1" x14ac:dyDescent="0.25">
      <c r="T47" s="376"/>
      <c r="X47" s="376"/>
      <c r="AA47" s="376"/>
      <c r="AB47" s="376"/>
      <c r="AC47" s="376"/>
      <c r="AD47" s="376"/>
      <c r="AE47" s="376"/>
    </row>
    <row r="48" spans="1:31" ht="15.75" customHeight="1" x14ac:dyDescent="0.25">
      <c r="T48" s="376"/>
      <c r="X48" s="376"/>
      <c r="AA48" s="376"/>
      <c r="AB48" s="376"/>
      <c r="AC48" s="376"/>
      <c r="AD48" s="376"/>
      <c r="AE48" s="376"/>
    </row>
    <row r="49" spans="20:31" ht="15.75" customHeight="1" x14ac:dyDescent="0.25">
      <c r="T49" s="376"/>
      <c r="X49" s="376"/>
      <c r="AA49" s="376"/>
      <c r="AB49" s="376"/>
      <c r="AC49" s="376"/>
      <c r="AD49" s="376"/>
      <c r="AE49" s="376"/>
    </row>
    <row r="50" spans="20:31" ht="49.5" customHeight="1" x14ac:dyDescent="0.25">
      <c r="T50" s="376"/>
      <c r="X50" s="376"/>
      <c r="AA50" s="376"/>
      <c r="AB50" s="376"/>
      <c r="AC50" s="376"/>
      <c r="AD50" s="376"/>
      <c r="AE50" s="376"/>
    </row>
    <row r="51" spans="20:31" x14ac:dyDescent="0.25">
      <c r="T51" s="21"/>
      <c r="X51" s="376"/>
      <c r="AA51" s="376"/>
      <c r="AB51" s="376"/>
      <c r="AC51" s="376"/>
      <c r="AD51" s="376"/>
      <c r="AE51" s="376"/>
    </row>
    <row r="52" spans="20:31" ht="30" customHeight="1" x14ac:dyDescent="0.25">
      <c r="T52" s="376"/>
    </row>
    <row r="53" spans="20:31" x14ac:dyDescent="0.25">
      <c r="T53" s="376"/>
    </row>
    <row r="54" spans="20:31" x14ac:dyDescent="0.25">
      <c r="T54" s="376"/>
    </row>
    <row r="55" spans="20:31" x14ac:dyDescent="0.25">
      <c r="T55" s="376"/>
    </row>
    <row r="56" spans="20:31" x14ac:dyDescent="0.25">
      <c r="T56" s="376"/>
    </row>
    <row r="57" spans="20:31" x14ac:dyDescent="0.25">
      <c r="T57" s="376"/>
    </row>
    <row r="58" spans="20:31" x14ac:dyDescent="0.25">
      <c r="T58" s="376"/>
    </row>
    <row r="59" spans="20:31" x14ac:dyDescent="0.25">
      <c r="T59" s="376"/>
    </row>
    <row r="60" spans="20:31" x14ac:dyDescent="0.25">
      <c r="T60" s="376"/>
    </row>
    <row r="61" spans="20:31" x14ac:dyDescent="0.25">
      <c r="T61" s="376"/>
    </row>
    <row r="62" spans="20:31" ht="30" customHeight="1" x14ac:dyDescent="0.25">
      <c r="T62" s="376"/>
    </row>
    <row r="63" spans="20:31" ht="30" customHeight="1" x14ac:dyDescent="0.25"/>
    <row r="79" ht="15" customHeight="1" x14ac:dyDescent="0.25"/>
    <row r="80" ht="15" customHeight="1" x14ac:dyDescent="0.25"/>
    <row r="81" ht="30" customHeight="1" x14ac:dyDescent="0.25"/>
    <row r="82" ht="45" customHeight="1" x14ac:dyDescent="0.25"/>
  </sheetData>
  <sheetProtection algorithmName="SHA-512" hashValue="pWCUzPA5EquNitht+a+GDdjmKI0O5jOQGsgtK99592t9tBJHGJcqUCY7hciUsy3L5f3DmhPAgo+jG5dgciE8hw==" saltValue="FCtKuro8bP5/QF5nRaX/jg==" spinCount="100000" sheet="1" scenarios="1" formatCells="0" sort="0" autoFilter="0" pivotTables="0"/>
  <mergeCells count="7">
    <mergeCell ref="A43:H43"/>
    <mergeCell ref="A44:H44"/>
    <mergeCell ref="A4:K4"/>
    <mergeCell ref="H9:I9"/>
    <mergeCell ref="A22:G22"/>
    <mergeCell ref="A23:G23"/>
    <mergeCell ref="A25:C25"/>
  </mergeCells>
  <hyperlinks>
    <hyperlink ref="A2" location="'Table of Contents'!A1" display="Back to Table of Contents" xr:uid="{00000000-0004-0000-7900-000000000000}"/>
  </hyperlinks>
  <pageMargins left="0.70866141732283472" right="0.70866141732283472" top="0.74803149606299213" bottom="0.74803149606299213" header="0.31496062992125984" footer="0.31496062992125984"/>
  <pageSetup paperSize="9" scale="54"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B70E8-465D-42A6-801A-5FBD45464040}">
  <sheetPr>
    <tabColor theme="5" tint="0.39997558519241921"/>
  </sheetPr>
  <dimension ref="A1:J34"/>
  <sheetViews>
    <sheetView topLeftCell="C1" workbookViewId="0">
      <selection activeCell="F19" sqref="F19"/>
    </sheetView>
  </sheetViews>
  <sheetFormatPr defaultRowHeight="15" x14ac:dyDescent="0.25"/>
  <cols>
    <col min="1" max="1" width="30.5703125" bestFit="1" customWidth="1"/>
    <col min="2" max="10" width="13.85546875" bestFit="1" customWidth="1"/>
  </cols>
  <sheetData>
    <row r="1" spans="1:10" x14ac:dyDescent="0.25">
      <c r="A1" s="394" t="s">
        <v>231</v>
      </c>
      <c r="B1" t="s">
        <v>430</v>
      </c>
      <c r="C1" t="s">
        <v>327</v>
      </c>
      <c r="D1" t="s">
        <v>320</v>
      </c>
      <c r="E1" t="s">
        <v>431</v>
      </c>
      <c r="F1" t="s">
        <v>763</v>
      </c>
      <c r="G1" t="s">
        <v>1167</v>
      </c>
      <c r="H1" t="s">
        <v>1164</v>
      </c>
      <c r="I1" t="s">
        <v>1165</v>
      </c>
      <c r="J1" t="s">
        <v>1166</v>
      </c>
    </row>
    <row r="2" spans="1:10" x14ac:dyDescent="0.25">
      <c r="A2" s="395" t="s">
        <v>31</v>
      </c>
      <c r="B2">
        <v>8</v>
      </c>
      <c r="C2">
        <v>1</v>
      </c>
      <c r="D2">
        <v>1</v>
      </c>
      <c r="E2">
        <v>1</v>
      </c>
      <c r="G2">
        <v>2</v>
      </c>
      <c r="H2">
        <v>1</v>
      </c>
      <c r="I2">
        <v>2</v>
      </c>
    </row>
    <row r="3" spans="1:10" x14ac:dyDescent="0.25">
      <c r="A3" s="395" t="s">
        <v>32</v>
      </c>
      <c r="B3">
        <v>1</v>
      </c>
      <c r="C3">
        <v>3</v>
      </c>
      <c r="D3">
        <v>1</v>
      </c>
      <c r="E3">
        <v>1</v>
      </c>
      <c r="F3">
        <v>3</v>
      </c>
      <c r="G3">
        <v>1</v>
      </c>
      <c r="H3">
        <v>1</v>
      </c>
      <c r="J3">
        <v>1</v>
      </c>
    </row>
    <row r="4" spans="1:10" x14ac:dyDescent="0.25">
      <c r="A4" s="395" t="s">
        <v>33</v>
      </c>
    </row>
    <row r="5" spans="1:10" x14ac:dyDescent="0.25">
      <c r="A5" s="395" t="s">
        <v>34</v>
      </c>
      <c r="B5">
        <v>1</v>
      </c>
      <c r="C5">
        <v>3</v>
      </c>
      <c r="E5">
        <v>1</v>
      </c>
      <c r="H5">
        <v>1</v>
      </c>
    </row>
    <row r="6" spans="1:10" x14ac:dyDescent="0.25">
      <c r="A6" s="395" t="s">
        <v>243</v>
      </c>
      <c r="B6">
        <v>6</v>
      </c>
      <c r="C6">
        <v>5</v>
      </c>
      <c r="D6">
        <v>2</v>
      </c>
      <c r="E6">
        <v>8</v>
      </c>
      <c r="F6">
        <v>6</v>
      </c>
      <c r="G6">
        <v>3</v>
      </c>
      <c r="H6">
        <v>15</v>
      </c>
      <c r="I6">
        <v>8</v>
      </c>
      <c r="J6">
        <v>6</v>
      </c>
    </row>
    <row r="7" spans="1:10" x14ac:dyDescent="0.25">
      <c r="A7" s="395" t="s">
        <v>35</v>
      </c>
      <c r="B7">
        <v>1</v>
      </c>
      <c r="I7">
        <v>2</v>
      </c>
    </row>
    <row r="8" spans="1:10" x14ac:dyDescent="0.25">
      <c r="A8" s="395" t="s">
        <v>36</v>
      </c>
      <c r="B8">
        <v>2</v>
      </c>
      <c r="C8">
        <v>1</v>
      </c>
      <c r="F8">
        <v>3</v>
      </c>
      <c r="G8">
        <v>2</v>
      </c>
      <c r="H8">
        <v>1</v>
      </c>
      <c r="I8">
        <v>1</v>
      </c>
      <c r="J8">
        <v>1</v>
      </c>
    </row>
    <row r="9" spans="1:10" x14ac:dyDescent="0.25">
      <c r="A9" s="395" t="s">
        <v>37</v>
      </c>
      <c r="B9">
        <v>2</v>
      </c>
      <c r="C9">
        <v>9</v>
      </c>
      <c r="D9">
        <v>3</v>
      </c>
      <c r="E9">
        <v>3</v>
      </c>
      <c r="F9">
        <v>3</v>
      </c>
      <c r="G9">
        <v>5</v>
      </c>
      <c r="H9">
        <v>13</v>
      </c>
      <c r="I9">
        <v>4</v>
      </c>
    </row>
    <row r="10" spans="1:10" x14ac:dyDescent="0.25">
      <c r="A10" s="395" t="s">
        <v>38</v>
      </c>
      <c r="B10">
        <v>3</v>
      </c>
      <c r="C10">
        <v>1</v>
      </c>
      <c r="D10">
        <v>1</v>
      </c>
      <c r="E10">
        <v>3</v>
      </c>
      <c r="G10">
        <v>1</v>
      </c>
      <c r="H10">
        <v>1</v>
      </c>
      <c r="J10">
        <v>1</v>
      </c>
    </row>
    <row r="11" spans="1:10" x14ac:dyDescent="0.25">
      <c r="A11" s="395" t="s">
        <v>39</v>
      </c>
      <c r="B11">
        <v>1</v>
      </c>
      <c r="C11">
        <v>3</v>
      </c>
      <c r="E11">
        <v>4</v>
      </c>
      <c r="G11">
        <v>1</v>
      </c>
      <c r="I11">
        <v>1</v>
      </c>
    </row>
    <row r="12" spans="1:10" x14ac:dyDescent="0.25">
      <c r="A12" s="395" t="s">
        <v>40</v>
      </c>
      <c r="B12">
        <v>2</v>
      </c>
      <c r="C12">
        <v>2</v>
      </c>
      <c r="G12">
        <v>2</v>
      </c>
      <c r="H12">
        <v>1</v>
      </c>
      <c r="I12">
        <v>1</v>
      </c>
      <c r="J12">
        <v>1</v>
      </c>
    </row>
    <row r="13" spans="1:10" x14ac:dyDescent="0.25">
      <c r="A13" s="395" t="s">
        <v>41</v>
      </c>
      <c r="I13">
        <v>2</v>
      </c>
    </row>
    <row r="14" spans="1:10" x14ac:dyDescent="0.25">
      <c r="A14" s="395" t="s">
        <v>42</v>
      </c>
      <c r="B14">
        <v>5</v>
      </c>
      <c r="C14">
        <v>2</v>
      </c>
      <c r="G14">
        <v>2</v>
      </c>
      <c r="H14">
        <v>3</v>
      </c>
      <c r="I14">
        <v>4</v>
      </c>
      <c r="J14">
        <v>1</v>
      </c>
    </row>
    <row r="15" spans="1:10" x14ac:dyDescent="0.25">
      <c r="A15" s="395" t="s">
        <v>43</v>
      </c>
      <c r="B15">
        <v>6</v>
      </c>
      <c r="D15">
        <v>3</v>
      </c>
      <c r="E15">
        <v>6</v>
      </c>
      <c r="F15">
        <v>2</v>
      </c>
      <c r="G15">
        <v>7</v>
      </c>
      <c r="H15">
        <v>1</v>
      </c>
      <c r="I15">
        <v>7</v>
      </c>
      <c r="J15">
        <v>2</v>
      </c>
    </row>
    <row r="16" spans="1:10" x14ac:dyDescent="0.25">
      <c r="A16" s="395" t="s">
        <v>117</v>
      </c>
      <c r="B16">
        <v>16</v>
      </c>
      <c r="C16">
        <v>19</v>
      </c>
      <c r="D16">
        <v>20</v>
      </c>
      <c r="E16">
        <v>23</v>
      </c>
      <c r="F16">
        <v>12</v>
      </c>
      <c r="G16">
        <v>14</v>
      </c>
      <c r="H16">
        <v>9</v>
      </c>
      <c r="I16">
        <v>8</v>
      </c>
      <c r="J16">
        <v>9</v>
      </c>
    </row>
    <row r="17" spans="1:10" x14ac:dyDescent="0.25">
      <c r="A17" s="395" t="s">
        <v>44</v>
      </c>
      <c r="B17">
        <v>2</v>
      </c>
      <c r="C17">
        <v>1</v>
      </c>
      <c r="H17">
        <v>1</v>
      </c>
      <c r="I17">
        <v>1</v>
      </c>
    </row>
    <row r="18" spans="1:10" x14ac:dyDescent="0.25">
      <c r="A18" s="395" t="s">
        <v>45</v>
      </c>
      <c r="B18">
        <v>4</v>
      </c>
      <c r="C18">
        <v>4</v>
      </c>
      <c r="D18">
        <v>3</v>
      </c>
      <c r="E18">
        <v>2</v>
      </c>
      <c r="F18">
        <v>1</v>
      </c>
      <c r="G18">
        <v>2</v>
      </c>
      <c r="H18">
        <v>2</v>
      </c>
      <c r="I18">
        <v>2</v>
      </c>
      <c r="J18">
        <v>2</v>
      </c>
    </row>
    <row r="19" spans="1:10" x14ac:dyDescent="0.25">
      <c r="A19" s="395" t="s">
        <v>46</v>
      </c>
      <c r="C19">
        <v>3</v>
      </c>
      <c r="D19">
        <v>2</v>
      </c>
      <c r="E19">
        <v>1</v>
      </c>
      <c r="F19">
        <v>3</v>
      </c>
      <c r="G19">
        <v>1</v>
      </c>
      <c r="I19">
        <v>1</v>
      </c>
    </row>
    <row r="20" spans="1:10" x14ac:dyDescent="0.25">
      <c r="A20" s="395" t="s">
        <v>47</v>
      </c>
      <c r="E20">
        <v>1</v>
      </c>
      <c r="F20">
        <v>3</v>
      </c>
      <c r="H20">
        <v>2</v>
      </c>
      <c r="I20">
        <v>1</v>
      </c>
      <c r="J20">
        <v>1</v>
      </c>
    </row>
    <row r="21" spans="1:10" x14ac:dyDescent="0.25">
      <c r="A21" s="395" t="s">
        <v>48</v>
      </c>
    </row>
    <row r="22" spans="1:10" x14ac:dyDescent="0.25">
      <c r="A22" s="395" t="s">
        <v>49</v>
      </c>
      <c r="B22">
        <v>4</v>
      </c>
      <c r="C22">
        <v>5</v>
      </c>
      <c r="D22">
        <v>2</v>
      </c>
      <c r="E22">
        <v>2</v>
      </c>
      <c r="F22">
        <v>3</v>
      </c>
      <c r="G22">
        <v>1</v>
      </c>
      <c r="H22">
        <v>3</v>
      </c>
      <c r="I22">
        <v>2</v>
      </c>
      <c r="J22">
        <v>5</v>
      </c>
    </row>
    <row r="23" spans="1:10" x14ac:dyDescent="0.25">
      <c r="A23" s="395" t="s">
        <v>50</v>
      </c>
      <c r="B23">
        <v>7</v>
      </c>
      <c r="C23">
        <v>3</v>
      </c>
      <c r="D23">
        <v>6</v>
      </c>
      <c r="E23">
        <v>3</v>
      </c>
      <c r="F23">
        <v>8</v>
      </c>
      <c r="G23">
        <v>4</v>
      </c>
      <c r="H23">
        <v>5</v>
      </c>
      <c r="I23">
        <v>8</v>
      </c>
      <c r="J23">
        <v>7</v>
      </c>
    </row>
    <row r="24" spans="1:10" x14ac:dyDescent="0.25">
      <c r="A24" s="395" t="s">
        <v>51</v>
      </c>
    </row>
    <row r="25" spans="1:10" x14ac:dyDescent="0.25">
      <c r="A25" s="395" t="s">
        <v>52</v>
      </c>
      <c r="J25">
        <v>1</v>
      </c>
    </row>
    <row r="26" spans="1:10" x14ac:dyDescent="0.25">
      <c r="A26" s="395" t="s">
        <v>53</v>
      </c>
      <c r="B26">
        <v>3</v>
      </c>
      <c r="C26">
        <v>2</v>
      </c>
      <c r="D26">
        <v>1</v>
      </c>
      <c r="E26">
        <v>1</v>
      </c>
      <c r="F26">
        <v>2</v>
      </c>
      <c r="G26">
        <v>3</v>
      </c>
      <c r="H26">
        <v>1</v>
      </c>
      <c r="I26">
        <v>1</v>
      </c>
      <c r="J26">
        <v>3</v>
      </c>
    </row>
    <row r="27" spans="1:10" x14ac:dyDescent="0.25">
      <c r="A27" s="395" t="s">
        <v>54</v>
      </c>
      <c r="C27">
        <v>2</v>
      </c>
      <c r="D27">
        <v>3</v>
      </c>
      <c r="E27">
        <v>3</v>
      </c>
      <c r="F27">
        <v>1</v>
      </c>
      <c r="G27">
        <v>2</v>
      </c>
    </row>
    <row r="28" spans="1:10" x14ac:dyDescent="0.25">
      <c r="A28" s="395" t="s">
        <v>55</v>
      </c>
    </row>
    <row r="29" spans="1:10" x14ac:dyDescent="0.25">
      <c r="A29" s="395" t="s">
        <v>56</v>
      </c>
      <c r="B29">
        <v>3</v>
      </c>
      <c r="D29">
        <v>1</v>
      </c>
      <c r="G29">
        <v>2</v>
      </c>
      <c r="H29">
        <v>1</v>
      </c>
      <c r="J29">
        <v>1</v>
      </c>
    </row>
    <row r="30" spans="1:10" x14ac:dyDescent="0.25">
      <c r="A30" s="395" t="s">
        <v>57</v>
      </c>
      <c r="B30">
        <v>5</v>
      </c>
      <c r="C30">
        <v>2</v>
      </c>
      <c r="E30">
        <v>1</v>
      </c>
      <c r="F30">
        <v>1</v>
      </c>
      <c r="G30">
        <v>5</v>
      </c>
      <c r="H30">
        <v>2</v>
      </c>
      <c r="I30">
        <v>2</v>
      </c>
      <c r="J30">
        <v>5</v>
      </c>
    </row>
    <row r="31" spans="1:10" x14ac:dyDescent="0.25">
      <c r="A31" s="395" t="s">
        <v>58</v>
      </c>
      <c r="B31">
        <v>2</v>
      </c>
      <c r="C31">
        <v>3</v>
      </c>
      <c r="E31">
        <v>1</v>
      </c>
      <c r="G31">
        <v>1</v>
      </c>
    </row>
    <row r="32" spans="1:10" x14ac:dyDescent="0.25">
      <c r="A32" s="395" t="s">
        <v>59</v>
      </c>
      <c r="B32">
        <v>2</v>
      </c>
      <c r="C32">
        <v>1</v>
      </c>
      <c r="E32">
        <v>2</v>
      </c>
      <c r="I32">
        <v>1</v>
      </c>
    </row>
    <row r="33" spans="1:10" x14ac:dyDescent="0.25">
      <c r="A33" s="395" t="s">
        <v>60</v>
      </c>
      <c r="B33">
        <v>4</v>
      </c>
      <c r="C33">
        <v>3</v>
      </c>
      <c r="D33">
        <v>4</v>
      </c>
      <c r="E33">
        <v>5</v>
      </c>
      <c r="F33">
        <v>2</v>
      </c>
      <c r="G33">
        <v>2</v>
      </c>
      <c r="H33">
        <v>2</v>
      </c>
      <c r="I33">
        <v>7</v>
      </c>
      <c r="J33">
        <v>4</v>
      </c>
    </row>
    <row r="34" spans="1:10" x14ac:dyDescent="0.25">
      <c r="A34" s="395" t="s">
        <v>236</v>
      </c>
      <c r="B34">
        <v>90</v>
      </c>
      <c r="C34">
        <v>78</v>
      </c>
      <c r="D34">
        <v>53</v>
      </c>
      <c r="E34">
        <v>72</v>
      </c>
      <c r="F34">
        <v>53</v>
      </c>
      <c r="G34">
        <v>63</v>
      </c>
      <c r="H34">
        <v>66</v>
      </c>
      <c r="I34">
        <v>66</v>
      </c>
      <c r="J34">
        <v>51</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88C61-4E56-48EC-86D9-4370CEEAB84A}">
  <sheetPr>
    <tabColor theme="5" tint="0.39997558519241921"/>
  </sheetPr>
  <dimension ref="A1:K33"/>
  <sheetViews>
    <sheetView workbookViewId="0">
      <selection activeCell="D20" sqref="D20"/>
    </sheetView>
  </sheetViews>
  <sheetFormatPr defaultRowHeight="15" x14ac:dyDescent="0.25"/>
  <cols>
    <col min="1" max="1" width="20.85546875" bestFit="1" customWidth="1"/>
    <col min="2" max="2" width="10.140625" bestFit="1" customWidth="1"/>
    <col min="3" max="10" width="9.7109375" bestFit="1" customWidth="1"/>
    <col min="11" max="11" width="9.7109375" customWidth="1"/>
  </cols>
  <sheetData>
    <row r="1" spans="1:11" x14ac:dyDescent="0.25">
      <c r="A1" t="s">
        <v>116</v>
      </c>
      <c r="B1" t="s">
        <v>458</v>
      </c>
      <c r="C1" t="s">
        <v>190</v>
      </c>
      <c r="D1" t="s">
        <v>257</v>
      </c>
      <c r="E1" t="s">
        <v>240</v>
      </c>
      <c r="F1" t="s">
        <v>239</v>
      </c>
      <c r="G1" t="s">
        <v>760</v>
      </c>
      <c r="H1" t="s">
        <v>917</v>
      </c>
      <c r="I1" t="s">
        <v>1010</v>
      </c>
      <c r="J1" t="s">
        <v>1061</v>
      </c>
      <c r="K1" t="s">
        <v>1108</v>
      </c>
    </row>
    <row r="2" spans="1:11" x14ac:dyDescent="0.25">
      <c r="A2" t="s">
        <v>31</v>
      </c>
      <c r="B2" t="s">
        <v>285</v>
      </c>
      <c r="C2">
        <v>8</v>
      </c>
      <c r="D2">
        <v>1</v>
      </c>
      <c r="E2">
        <v>1</v>
      </c>
      <c r="F2">
        <v>1</v>
      </c>
      <c r="H2">
        <v>2</v>
      </c>
      <c r="I2">
        <v>1</v>
      </c>
      <c r="J2">
        <v>2</v>
      </c>
    </row>
    <row r="3" spans="1:11" x14ac:dyDescent="0.25">
      <c r="A3" t="s">
        <v>32</v>
      </c>
      <c r="B3" t="s">
        <v>286</v>
      </c>
      <c r="C3">
        <v>1</v>
      </c>
      <c r="D3">
        <v>3</v>
      </c>
      <c r="E3">
        <v>1</v>
      </c>
      <c r="F3">
        <v>1</v>
      </c>
      <c r="G3">
        <v>3</v>
      </c>
      <c r="H3">
        <v>1</v>
      </c>
      <c r="I3">
        <v>1</v>
      </c>
      <c r="K3">
        <v>1</v>
      </c>
    </row>
    <row r="4" spans="1:11" x14ac:dyDescent="0.25">
      <c r="A4" t="s">
        <v>33</v>
      </c>
      <c r="B4" t="s">
        <v>292</v>
      </c>
    </row>
    <row r="5" spans="1:11" x14ac:dyDescent="0.25">
      <c r="A5" t="s">
        <v>34</v>
      </c>
      <c r="B5" t="s">
        <v>287</v>
      </c>
      <c r="C5">
        <v>1</v>
      </c>
      <c r="D5">
        <v>3</v>
      </c>
      <c r="F5">
        <v>1</v>
      </c>
      <c r="I5">
        <v>1</v>
      </c>
    </row>
    <row r="6" spans="1:11" x14ac:dyDescent="0.25">
      <c r="A6" t="s">
        <v>243</v>
      </c>
      <c r="B6" t="s">
        <v>288</v>
      </c>
      <c r="C6">
        <v>6</v>
      </c>
      <c r="D6">
        <v>5</v>
      </c>
      <c r="E6">
        <v>2</v>
      </c>
      <c r="F6">
        <v>8</v>
      </c>
      <c r="G6">
        <v>6</v>
      </c>
      <c r="H6">
        <v>3</v>
      </c>
      <c r="I6">
        <v>15</v>
      </c>
      <c r="J6">
        <v>8</v>
      </c>
      <c r="K6">
        <v>6</v>
      </c>
    </row>
    <row r="7" spans="1:11" x14ac:dyDescent="0.25">
      <c r="A7" t="s">
        <v>35</v>
      </c>
      <c r="B7" t="s">
        <v>266</v>
      </c>
      <c r="C7">
        <v>1</v>
      </c>
      <c r="J7">
        <v>2</v>
      </c>
    </row>
    <row r="8" spans="1:11" x14ac:dyDescent="0.25">
      <c r="A8" t="s">
        <v>36</v>
      </c>
      <c r="B8" t="s">
        <v>267</v>
      </c>
      <c r="C8">
        <v>2</v>
      </c>
      <c r="D8">
        <v>1</v>
      </c>
      <c r="G8">
        <v>3</v>
      </c>
      <c r="H8">
        <v>2</v>
      </c>
      <c r="I8">
        <v>1</v>
      </c>
      <c r="J8">
        <v>1</v>
      </c>
      <c r="K8">
        <v>1</v>
      </c>
    </row>
    <row r="9" spans="1:11" x14ac:dyDescent="0.25">
      <c r="A9" t="s">
        <v>37</v>
      </c>
      <c r="B9" t="s">
        <v>293</v>
      </c>
      <c r="C9">
        <v>2</v>
      </c>
      <c r="D9">
        <v>9</v>
      </c>
      <c r="E9">
        <v>3</v>
      </c>
      <c r="F9">
        <v>3</v>
      </c>
      <c r="G9">
        <v>3</v>
      </c>
      <c r="H9">
        <v>5</v>
      </c>
      <c r="I9">
        <v>13</v>
      </c>
      <c r="J9">
        <v>4</v>
      </c>
    </row>
    <row r="10" spans="1:11" x14ac:dyDescent="0.25">
      <c r="A10" t="s">
        <v>38</v>
      </c>
      <c r="B10" t="s">
        <v>268</v>
      </c>
      <c r="C10">
        <v>3</v>
      </c>
      <c r="D10">
        <v>1</v>
      </c>
      <c r="E10">
        <v>1</v>
      </c>
      <c r="F10">
        <v>3</v>
      </c>
      <c r="H10">
        <v>1</v>
      </c>
      <c r="I10">
        <v>1</v>
      </c>
      <c r="K10">
        <v>1</v>
      </c>
    </row>
    <row r="11" spans="1:11" x14ac:dyDescent="0.25">
      <c r="A11" t="s">
        <v>39</v>
      </c>
      <c r="B11" t="s">
        <v>295</v>
      </c>
      <c r="C11">
        <v>1</v>
      </c>
      <c r="D11">
        <v>3</v>
      </c>
      <c r="F11">
        <v>4</v>
      </c>
      <c r="H11">
        <v>1</v>
      </c>
      <c r="J11">
        <v>1</v>
      </c>
    </row>
    <row r="12" spans="1:11" x14ac:dyDescent="0.25">
      <c r="A12" t="s">
        <v>40</v>
      </c>
      <c r="B12" t="s">
        <v>269</v>
      </c>
      <c r="C12">
        <v>2</v>
      </c>
      <c r="D12">
        <v>2</v>
      </c>
      <c r="H12">
        <v>2</v>
      </c>
      <c r="I12">
        <v>1</v>
      </c>
      <c r="J12">
        <v>1</v>
      </c>
      <c r="K12">
        <v>1</v>
      </c>
    </row>
    <row r="13" spans="1:11" x14ac:dyDescent="0.25">
      <c r="A13" t="s">
        <v>41</v>
      </c>
      <c r="B13" t="s">
        <v>270</v>
      </c>
      <c r="J13">
        <v>2</v>
      </c>
    </row>
    <row r="14" spans="1:11" x14ac:dyDescent="0.25">
      <c r="A14" t="s">
        <v>42</v>
      </c>
      <c r="B14" t="s">
        <v>272</v>
      </c>
      <c r="C14">
        <v>5</v>
      </c>
      <c r="D14">
        <v>2</v>
      </c>
      <c r="H14">
        <v>2</v>
      </c>
      <c r="I14">
        <v>3</v>
      </c>
      <c r="J14">
        <v>4</v>
      </c>
      <c r="K14">
        <v>1</v>
      </c>
    </row>
    <row r="15" spans="1:11" x14ac:dyDescent="0.25">
      <c r="A15" t="s">
        <v>43</v>
      </c>
      <c r="B15" t="s">
        <v>297</v>
      </c>
      <c r="C15">
        <v>6</v>
      </c>
      <c r="E15">
        <v>3</v>
      </c>
      <c r="F15">
        <v>6</v>
      </c>
      <c r="G15">
        <v>2</v>
      </c>
      <c r="H15">
        <v>7</v>
      </c>
      <c r="I15">
        <v>1</v>
      </c>
      <c r="J15">
        <v>7</v>
      </c>
      <c r="K15">
        <v>2</v>
      </c>
    </row>
    <row r="16" spans="1:11" x14ac:dyDescent="0.25">
      <c r="A16" t="s">
        <v>117</v>
      </c>
      <c r="B16" t="s">
        <v>921</v>
      </c>
      <c r="C16">
        <v>16</v>
      </c>
      <c r="D16">
        <v>19</v>
      </c>
      <c r="E16">
        <v>20</v>
      </c>
      <c r="F16">
        <v>23</v>
      </c>
      <c r="G16">
        <v>12</v>
      </c>
      <c r="H16">
        <v>14</v>
      </c>
      <c r="I16">
        <v>9</v>
      </c>
      <c r="J16">
        <v>8</v>
      </c>
      <c r="K16">
        <v>9</v>
      </c>
    </row>
    <row r="17" spans="1:11" x14ac:dyDescent="0.25">
      <c r="A17" t="s">
        <v>44</v>
      </c>
      <c r="B17" t="s">
        <v>273</v>
      </c>
      <c r="C17">
        <v>2</v>
      </c>
      <c r="D17">
        <v>1</v>
      </c>
      <c r="I17">
        <v>1</v>
      </c>
      <c r="J17">
        <v>1</v>
      </c>
    </row>
    <row r="18" spans="1:11" x14ac:dyDescent="0.25">
      <c r="A18" t="s">
        <v>45</v>
      </c>
      <c r="B18" t="s">
        <v>274</v>
      </c>
      <c r="C18">
        <v>4</v>
      </c>
      <c r="D18">
        <v>4</v>
      </c>
      <c r="E18">
        <v>3</v>
      </c>
      <c r="F18">
        <v>2</v>
      </c>
      <c r="G18">
        <v>1</v>
      </c>
      <c r="H18">
        <v>2</v>
      </c>
      <c r="I18">
        <v>2</v>
      </c>
      <c r="J18">
        <v>2</v>
      </c>
      <c r="K18">
        <v>2</v>
      </c>
    </row>
    <row r="19" spans="1:11" x14ac:dyDescent="0.25">
      <c r="A19" t="s">
        <v>46</v>
      </c>
      <c r="B19" t="s">
        <v>275</v>
      </c>
      <c r="D19">
        <v>3</v>
      </c>
      <c r="E19">
        <v>2</v>
      </c>
      <c r="F19">
        <v>1</v>
      </c>
      <c r="G19">
        <v>3</v>
      </c>
      <c r="H19">
        <v>1</v>
      </c>
      <c r="J19">
        <v>1</v>
      </c>
    </row>
    <row r="20" spans="1:11" x14ac:dyDescent="0.25">
      <c r="A20" t="s">
        <v>47</v>
      </c>
      <c r="B20" t="s">
        <v>276</v>
      </c>
      <c r="F20">
        <v>1</v>
      </c>
      <c r="G20">
        <v>3</v>
      </c>
      <c r="I20">
        <v>2</v>
      </c>
      <c r="J20">
        <v>1</v>
      </c>
      <c r="K20">
        <v>1</v>
      </c>
    </row>
    <row r="21" spans="1:11" x14ac:dyDescent="0.25">
      <c r="A21" t="s">
        <v>48</v>
      </c>
      <c r="B21" t="s">
        <v>271</v>
      </c>
    </row>
    <row r="22" spans="1:11" x14ac:dyDescent="0.25">
      <c r="A22" t="s">
        <v>49</v>
      </c>
      <c r="B22" t="s">
        <v>277</v>
      </c>
      <c r="C22">
        <v>4</v>
      </c>
      <c r="D22">
        <v>5</v>
      </c>
      <c r="E22">
        <v>2</v>
      </c>
      <c r="F22">
        <v>2</v>
      </c>
      <c r="G22">
        <v>3</v>
      </c>
      <c r="H22">
        <v>1</v>
      </c>
      <c r="I22">
        <v>3</v>
      </c>
      <c r="J22">
        <v>2</v>
      </c>
      <c r="K22">
        <v>5</v>
      </c>
    </row>
    <row r="23" spans="1:11" x14ac:dyDescent="0.25">
      <c r="A23" t="s">
        <v>50</v>
      </c>
      <c r="B23" t="s">
        <v>922</v>
      </c>
      <c r="C23">
        <v>7</v>
      </c>
      <c r="D23">
        <v>3</v>
      </c>
      <c r="E23">
        <v>6</v>
      </c>
      <c r="F23">
        <v>3</v>
      </c>
      <c r="G23">
        <v>8</v>
      </c>
      <c r="H23">
        <v>4</v>
      </c>
      <c r="I23">
        <v>5</v>
      </c>
      <c r="J23">
        <v>8</v>
      </c>
      <c r="K23">
        <v>7</v>
      </c>
    </row>
    <row r="24" spans="1:11" x14ac:dyDescent="0.25">
      <c r="A24" t="s">
        <v>51</v>
      </c>
      <c r="B24" t="s">
        <v>278</v>
      </c>
    </row>
    <row r="25" spans="1:11" x14ac:dyDescent="0.25">
      <c r="A25" t="s">
        <v>52</v>
      </c>
      <c r="B25" t="s">
        <v>945</v>
      </c>
      <c r="K25">
        <v>1</v>
      </c>
    </row>
    <row r="26" spans="1:11" x14ac:dyDescent="0.25">
      <c r="A26" t="s">
        <v>53</v>
      </c>
      <c r="B26" t="s">
        <v>289</v>
      </c>
      <c r="C26">
        <v>3</v>
      </c>
      <c r="D26">
        <v>2</v>
      </c>
      <c r="E26">
        <v>1</v>
      </c>
      <c r="F26">
        <v>1</v>
      </c>
      <c r="G26">
        <v>2</v>
      </c>
      <c r="H26">
        <v>3</v>
      </c>
      <c r="I26">
        <v>1</v>
      </c>
      <c r="J26">
        <v>1</v>
      </c>
      <c r="K26">
        <v>3</v>
      </c>
    </row>
    <row r="27" spans="1:11" x14ac:dyDescent="0.25">
      <c r="A27" t="s">
        <v>54</v>
      </c>
      <c r="B27" t="s">
        <v>280</v>
      </c>
      <c r="D27">
        <v>2</v>
      </c>
      <c r="E27">
        <v>3</v>
      </c>
      <c r="F27">
        <v>3</v>
      </c>
      <c r="G27">
        <v>1</v>
      </c>
      <c r="H27">
        <v>2</v>
      </c>
    </row>
    <row r="28" spans="1:11" x14ac:dyDescent="0.25">
      <c r="A28" t="s">
        <v>55</v>
      </c>
      <c r="B28" t="s">
        <v>281</v>
      </c>
    </row>
    <row r="29" spans="1:11" x14ac:dyDescent="0.25">
      <c r="A29" t="s">
        <v>56</v>
      </c>
      <c r="B29" t="s">
        <v>282</v>
      </c>
      <c r="C29">
        <v>3</v>
      </c>
      <c r="E29">
        <v>1</v>
      </c>
      <c r="H29">
        <v>2</v>
      </c>
      <c r="I29">
        <v>1</v>
      </c>
      <c r="K29">
        <v>1</v>
      </c>
    </row>
    <row r="30" spans="1:11" x14ac:dyDescent="0.25">
      <c r="A30" t="s">
        <v>57</v>
      </c>
      <c r="B30" t="s">
        <v>283</v>
      </c>
      <c r="C30">
        <v>5</v>
      </c>
      <c r="D30">
        <v>2</v>
      </c>
      <c r="F30">
        <v>1</v>
      </c>
      <c r="G30">
        <v>1</v>
      </c>
      <c r="H30">
        <v>5</v>
      </c>
      <c r="I30">
        <v>2</v>
      </c>
      <c r="J30">
        <v>2</v>
      </c>
      <c r="K30">
        <v>5</v>
      </c>
    </row>
    <row r="31" spans="1:11" x14ac:dyDescent="0.25">
      <c r="A31" t="s">
        <v>58</v>
      </c>
      <c r="B31" t="s">
        <v>284</v>
      </c>
      <c r="C31">
        <v>2</v>
      </c>
      <c r="D31">
        <v>3</v>
      </c>
      <c r="F31">
        <v>1</v>
      </c>
      <c r="H31">
        <v>1</v>
      </c>
    </row>
    <row r="32" spans="1:11" x14ac:dyDescent="0.25">
      <c r="A32" t="s">
        <v>59</v>
      </c>
      <c r="B32" t="s">
        <v>290</v>
      </c>
      <c r="C32">
        <v>2</v>
      </c>
      <c r="D32">
        <v>1</v>
      </c>
      <c r="F32">
        <v>2</v>
      </c>
      <c r="J32">
        <v>1</v>
      </c>
    </row>
    <row r="33" spans="1:11" x14ac:dyDescent="0.25">
      <c r="A33" t="s">
        <v>60</v>
      </c>
      <c r="B33" t="s">
        <v>291</v>
      </c>
      <c r="C33">
        <v>4</v>
      </c>
      <c r="D33">
        <v>3</v>
      </c>
      <c r="E33">
        <v>4</v>
      </c>
      <c r="F33">
        <v>5</v>
      </c>
      <c r="G33">
        <v>2</v>
      </c>
      <c r="H33">
        <v>2</v>
      </c>
      <c r="I33">
        <v>2</v>
      </c>
      <c r="J33">
        <v>7</v>
      </c>
      <c r="K33">
        <v>4</v>
      </c>
    </row>
  </sheetData>
  <phoneticPr fontId="53" type="noConversion"/>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26">
    <tabColor theme="5" tint="0.39997558519241921"/>
    <pageSetUpPr fitToPage="1"/>
  </sheetPr>
  <dimension ref="A1:N45"/>
  <sheetViews>
    <sheetView showGridLines="0" zoomScaleNormal="100" workbookViewId="0">
      <pane ySplit="2" topLeftCell="A3" activePane="bottomLeft" state="frozen"/>
      <selection pane="bottomLeft" sqref="A1:C1"/>
    </sheetView>
  </sheetViews>
  <sheetFormatPr defaultRowHeight="15" x14ac:dyDescent="0.25"/>
  <cols>
    <col min="1" max="1" width="19.7109375" customWidth="1"/>
    <col min="2" max="2" width="21" bestFit="1" customWidth="1"/>
    <col min="3" max="3" width="9.140625" customWidth="1"/>
    <col min="4" max="4" width="9.42578125" customWidth="1"/>
    <col min="5" max="5" width="9.140625" customWidth="1"/>
    <col min="6" max="6" width="9.5703125" customWidth="1"/>
    <col min="7" max="7" width="9.85546875" customWidth="1"/>
    <col min="8" max="8" width="9" customWidth="1"/>
    <col min="9" max="9" width="8.85546875" customWidth="1"/>
    <col min="10" max="10" width="8.42578125" customWidth="1"/>
  </cols>
  <sheetData>
    <row r="1" spans="1:12" ht="15.75" x14ac:dyDescent="0.25">
      <c r="A1" s="993" t="s">
        <v>528</v>
      </c>
      <c r="B1" s="993"/>
      <c r="C1" s="993"/>
    </row>
    <row r="2" spans="1:12" ht="15.75" x14ac:dyDescent="0.25">
      <c r="A2" s="507" t="s">
        <v>511</v>
      </c>
      <c r="B2" s="449"/>
      <c r="C2" s="449"/>
    </row>
    <row r="3" spans="1:12" x14ac:dyDescent="0.25">
      <c r="D3" s="214"/>
      <c r="E3" s="214"/>
      <c r="F3" s="214"/>
    </row>
    <row r="4" spans="1:12" ht="15.75" customHeight="1" x14ac:dyDescent="0.25">
      <c r="A4" s="1033" t="s">
        <v>590</v>
      </c>
      <c r="B4" s="1033"/>
      <c r="C4" s="1033"/>
      <c r="D4" s="1033"/>
      <c r="E4" s="1033"/>
      <c r="F4" s="1033"/>
      <c r="G4" s="1033"/>
      <c r="H4" s="1033"/>
      <c r="I4" s="1033"/>
      <c r="J4" s="1033"/>
      <c r="K4" s="1033"/>
      <c r="L4" s="1033"/>
    </row>
    <row r="5" spans="1:12" ht="15.75" customHeight="1" x14ac:dyDescent="0.25">
      <c r="A5" t="s">
        <v>328</v>
      </c>
      <c r="B5" t="s">
        <v>660</v>
      </c>
      <c r="C5" s="232"/>
      <c r="D5" s="232"/>
      <c r="E5" s="232"/>
      <c r="F5" s="232"/>
    </row>
    <row r="6" spans="1:12" ht="15.75" customHeight="1" x14ac:dyDescent="0.25">
      <c r="A6" t="s">
        <v>329</v>
      </c>
      <c r="B6" t="s">
        <v>331</v>
      </c>
      <c r="C6" s="232"/>
      <c r="D6" s="232"/>
      <c r="E6" s="232"/>
      <c r="F6" s="232"/>
    </row>
    <row r="7" spans="1:12" ht="15.75" customHeight="1" x14ac:dyDescent="0.25">
      <c r="A7" t="s">
        <v>330</v>
      </c>
      <c r="B7" t="s">
        <v>530</v>
      </c>
      <c r="C7" s="232"/>
      <c r="D7" s="232"/>
      <c r="E7" s="232"/>
      <c r="F7" s="232"/>
    </row>
    <row r="8" spans="1:12" x14ac:dyDescent="0.25">
      <c r="B8" s="15"/>
      <c r="C8" s="15"/>
      <c r="D8" s="15"/>
      <c r="E8" s="15"/>
      <c r="F8" s="213"/>
      <c r="G8" s="213"/>
      <c r="H8" s="213"/>
      <c r="I8" s="213"/>
      <c r="J8" s="213"/>
    </row>
    <row r="9" spans="1:12" x14ac:dyDescent="0.25">
      <c r="A9" s="612" t="s">
        <v>458</v>
      </c>
      <c r="B9" s="870" t="s">
        <v>116</v>
      </c>
      <c r="C9" s="534" t="s">
        <v>190</v>
      </c>
      <c r="D9" s="534" t="s">
        <v>257</v>
      </c>
      <c r="E9" s="534" t="s">
        <v>240</v>
      </c>
      <c r="F9" s="534" t="s">
        <v>239</v>
      </c>
      <c r="G9" s="534" t="s">
        <v>760</v>
      </c>
      <c r="H9" s="534" t="s">
        <v>917</v>
      </c>
      <c r="I9" s="534" t="s">
        <v>1010</v>
      </c>
      <c r="J9" s="534" t="s">
        <v>1061</v>
      </c>
      <c r="K9" s="661" t="s">
        <v>1108</v>
      </c>
    </row>
    <row r="10" spans="1:12" x14ac:dyDescent="0.25">
      <c r="A10" s="739" t="s">
        <v>285</v>
      </c>
      <c r="B10" s="739" t="s">
        <v>31</v>
      </c>
      <c r="C10" s="614">
        <f>GETPIVOTDATA("Sum of 2015-16",AttacksAreaPivot!$A$1,"Local Authority",B10)</f>
        <v>8</v>
      </c>
      <c r="D10" s="614">
        <f>GETPIVOTDATA("Sum of 2016-17",AttacksAreaPivot!$A$1,"Local Authority",B10)</f>
        <v>1</v>
      </c>
      <c r="E10" s="614">
        <f>GETPIVOTDATA("Sum of 2017-18",AttacksAreaPivot!$A$1,"Local Authority",B10)</f>
        <v>1</v>
      </c>
      <c r="F10" s="614">
        <f>GETPIVOTDATA("Sum of 2018-19",AttacksAreaPivot!$A$1,"Local Authority",B10)</f>
        <v>1</v>
      </c>
      <c r="G10" s="614">
        <f>GETPIVOTDATA("Sum of 2019-20",AttacksAreaPivot!$A$1,"Local Authority",B10)</f>
        <v>0</v>
      </c>
      <c r="H10" s="614">
        <f>GETPIVOTDATA("Sum of 2020-21",AttacksAreaPivot!$A$1,"Local Authority",B10)</f>
        <v>2</v>
      </c>
      <c r="I10" s="614">
        <f>GETPIVOTDATA("Sum of 2021-22",AttacksAreaPivot!$A$1,"Local Authority",B10)</f>
        <v>1</v>
      </c>
      <c r="J10" s="614">
        <f>GETPIVOTDATA("Sum of 2022-23",AttacksAreaPivot!$A$1,"Local Authority",B10)</f>
        <v>2</v>
      </c>
      <c r="K10" s="614">
        <f>GETPIVOTDATA("Sum of 2023-24",AttacksAreaPivot!$A$1,"Local Authority",B10)</f>
        <v>0</v>
      </c>
      <c r="L10" s="614"/>
    </row>
    <row r="11" spans="1:12" x14ac:dyDescent="0.25">
      <c r="A11" s="739" t="s">
        <v>286</v>
      </c>
      <c r="B11" s="739" t="s">
        <v>32</v>
      </c>
      <c r="C11" s="614">
        <f>GETPIVOTDATA("Sum of 2015-16",AttacksAreaPivot!$A$1,"Local Authority",B11)</f>
        <v>1</v>
      </c>
      <c r="D11" s="614">
        <f>GETPIVOTDATA("Sum of 2016-17",AttacksAreaPivot!$A$1,"Local Authority",B11)</f>
        <v>3</v>
      </c>
      <c r="E11" s="614">
        <f>GETPIVOTDATA("Sum of 2017-18",AttacksAreaPivot!$A$1,"Local Authority",B11)</f>
        <v>1</v>
      </c>
      <c r="F11" s="614">
        <f>GETPIVOTDATA("Sum of 2018-19",AttacksAreaPivot!$A$1,"Local Authority",B11)</f>
        <v>1</v>
      </c>
      <c r="G11" s="614">
        <f>GETPIVOTDATA("Sum of 2019-20",AttacksAreaPivot!$A$1,"Local Authority",B11)</f>
        <v>3</v>
      </c>
      <c r="H11" s="614">
        <f>GETPIVOTDATA("Sum of 2020-21",AttacksAreaPivot!$A$1,"Local Authority",B11)</f>
        <v>1</v>
      </c>
      <c r="I11" s="614">
        <f>GETPIVOTDATA("Sum of 2021-22",AttacksAreaPivot!$A$1,"Local Authority",B11)</f>
        <v>1</v>
      </c>
      <c r="J11" s="614">
        <f>GETPIVOTDATA("Sum of 2022-23",AttacksAreaPivot!$A$1,"Local Authority",B11)</f>
        <v>0</v>
      </c>
      <c r="K11" s="614">
        <f>GETPIVOTDATA("Sum of 2023-24",AttacksAreaPivot!$A$1,"Local Authority",B11)</f>
        <v>1</v>
      </c>
      <c r="L11" s="614"/>
    </row>
    <row r="12" spans="1:12" x14ac:dyDescent="0.25">
      <c r="A12" s="739" t="s">
        <v>292</v>
      </c>
      <c r="B12" s="739" t="s">
        <v>33</v>
      </c>
      <c r="C12" s="614">
        <f>GETPIVOTDATA("Sum of 2015-16",AttacksAreaPivot!$A$1,"Local Authority",B12)</f>
        <v>0</v>
      </c>
      <c r="D12" s="614">
        <f>GETPIVOTDATA("Sum of 2016-17",AttacksAreaPivot!$A$1,"Local Authority",B12)</f>
        <v>0</v>
      </c>
      <c r="E12" s="614">
        <f>GETPIVOTDATA("Sum of 2017-18",AttacksAreaPivot!$A$1,"Local Authority",B12)</f>
        <v>0</v>
      </c>
      <c r="F12" s="614">
        <f>GETPIVOTDATA("Sum of 2018-19",AttacksAreaPivot!$A$1,"Local Authority",B12)</f>
        <v>0</v>
      </c>
      <c r="G12" s="614">
        <f>GETPIVOTDATA("Sum of 2019-20",AttacksAreaPivot!$A$1,"Local Authority",B12)</f>
        <v>0</v>
      </c>
      <c r="H12" s="614">
        <f>GETPIVOTDATA("Sum of 2020-21",AttacksAreaPivot!$A$1,"Local Authority",B12)</f>
        <v>0</v>
      </c>
      <c r="I12" s="614">
        <f>GETPIVOTDATA("Sum of 2021-22",AttacksAreaPivot!$A$1,"Local Authority",B12)</f>
        <v>0</v>
      </c>
      <c r="J12" s="614">
        <f>GETPIVOTDATA("Sum of 2022-23",AttacksAreaPivot!$A$1,"Local Authority",B12)</f>
        <v>0</v>
      </c>
      <c r="K12" s="614">
        <f>GETPIVOTDATA("Sum of 2023-24",AttacksAreaPivot!$A$1,"Local Authority",B12)</f>
        <v>0</v>
      </c>
      <c r="L12" s="614"/>
    </row>
    <row r="13" spans="1:12" x14ac:dyDescent="0.25">
      <c r="A13" s="739" t="s">
        <v>287</v>
      </c>
      <c r="B13" s="739" t="s">
        <v>34</v>
      </c>
      <c r="C13" s="614">
        <f>GETPIVOTDATA("Sum of 2015-16",AttacksAreaPivot!$A$1,"Local Authority",B13)</f>
        <v>1</v>
      </c>
      <c r="D13" s="614">
        <f>GETPIVOTDATA("Sum of 2016-17",AttacksAreaPivot!$A$1,"Local Authority",B13)</f>
        <v>3</v>
      </c>
      <c r="E13" s="614">
        <f>GETPIVOTDATA("Sum of 2017-18",AttacksAreaPivot!$A$1,"Local Authority",B13)</f>
        <v>0</v>
      </c>
      <c r="F13" s="614">
        <f>GETPIVOTDATA("Sum of 2018-19",AttacksAreaPivot!$A$1,"Local Authority",B13)</f>
        <v>1</v>
      </c>
      <c r="G13" s="614">
        <f>GETPIVOTDATA("Sum of 2019-20",AttacksAreaPivot!$A$1,"Local Authority",B13)</f>
        <v>0</v>
      </c>
      <c r="H13" s="614">
        <f>GETPIVOTDATA("Sum of 2020-21",AttacksAreaPivot!$A$1,"Local Authority",B13)</f>
        <v>0</v>
      </c>
      <c r="I13" s="614">
        <f>GETPIVOTDATA("Sum of 2021-22",AttacksAreaPivot!$A$1,"Local Authority",B13)</f>
        <v>1</v>
      </c>
      <c r="J13" s="614">
        <f>GETPIVOTDATA("Sum of 2022-23",AttacksAreaPivot!$A$1,"Local Authority",B13)</f>
        <v>0</v>
      </c>
      <c r="K13" s="614">
        <f>GETPIVOTDATA("Sum of 2023-24",AttacksAreaPivot!$A$1,"Local Authority",B13)</f>
        <v>0</v>
      </c>
      <c r="L13" s="614"/>
    </row>
    <row r="14" spans="1:12" x14ac:dyDescent="0.25">
      <c r="A14" s="739" t="s">
        <v>288</v>
      </c>
      <c r="B14" s="739" t="s">
        <v>243</v>
      </c>
      <c r="C14" s="614">
        <f>GETPIVOTDATA("Sum of 2015-16",AttacksAreaPivot!$A$1,"Local Authority",B14)</f>
        <v>6</v>
      </c>
      <c r="D14" s="614">
        <f>GETPIVOTDATA("Sum of 2016-17",AttacksAreaPivot!$A$1,"Local Authority",B14)</f>
        <v>5</v>
      </c>
      <c r="E14" s="614">
        <f>GETPIVOTDATA("Sum of 2017-18",AttacksAreaPivot!$A$1,"Local Authority",B14)</f>
        <v>2</v>
      </c>
      <c r="F14" s="614">
        <f>GETPIVOTDATA("Sum of 2018-19",AttacksAreaPivot!$A$1,"Local Authority",B14)</f>
        <v>8</v>
      </c>
      <c r="G14" s="614">
        <f>GETPIVOTDATA("Sum of 2019-20",AttacksAreaPivot!$A$1,"Local Authority",B14)</f>
        <v>6</v>
      </c>
      <c r="H14" s="614">
        <f>GETPIVOTDATA("Sum of 2020-21",AttacksAreaPivot!$A$1,"Local Authority",B14)</f>
        <v>3</v>
      </c>
      <c r="I14" s="614">
        <f>GETPIVOTDATA("Sum of 2021-22",AttacksAreaPivot!$A$1,"Local Authority",B14)</f>
        <v>15</v>
      </c>
      <c r="J14" s="614">
        <f>GETPIVOTDATA("Sum of 2022-23",AttacksAreaPivot!$A$1,"Local Authority",B14)</f>
        <v>8</v>
      </c>
      <c r="K14" s="614">
        <f>GETPIVOTDATA("Sum of 2023-24",AttacksAreaPivot!$A$1,"Local Authority",B14)</f>
        <v>6</v>
      </c>
      <c r="L14" s="614"/>
    </row>
    <row r="15" spans="1:12" x14ac:dyDescent="0.25">
      <c r="A15" s="739" t="s">
        <v>266</v>
      </c>
      <c r="B15" s="739" t="s">
        <v>35</v>
      </c>
      <c r="C15" s="614">
        <f>GETPIVOTDATA("Sum of 2015-16",AttacksAreaPivot!$A$1,"Local Authority",B15)</f>
        <v>1</v>
      </c>
      <c r="D15" s="614">
        <f>GETPIVOTDATA("Sum of 2016-17",AttacksAreaPivot!$A$1,"Local Authority",B15)</f>
        <v>0</v>
      </c>
      <c r="E15" s="614">
        <f>GETPIVOTDATA("Sum of 2017-18",AttacksAreaPivot!$A$1,"Local Authority",B15)</f>
        <v>0</v>
      </c>
      <c r="F15" s="614">
        <f>GETPIVOTDATA("Sum of 2018-19",AttacksAreaPivot!$A$1,"Local Authority",B15)</f>
        <v>0</v>
      </c>
      <c r="G15" s="614">
        <f>GETPIVOTDATA("Sum of 2019-20",AttacksAreaPivot!$A$1,"Local Authority",B15)</f>
        <v>0</v>
      </c>
      <c r="H15" s="614">
        <f>GETPIVOTDATA("Sum of 2020-21",AttacksAreaPivot!$A$1,"Local Authority",B15)</f>
        <v>0</v>
      </c>
      <c r="I15" s="614">
        <f>GETPIVOTDATA("Sum of 2021-22",AttacksAreaPivot!$A$1,"Local Authority",B15)</f>
        <v>0</v>
      </c>
      <c r="J15" s="614">
        <f>GETPIVOTDATA("Sum of 2022-23",AttacksAreaPivot!$A$1,"Local Authority",B15)</f>
        <v>2</v>
      </c>
      <c r="K15" s="614">
        <f>GETPIVOTDATA("Sum of 2023-24",AttacksAreaPivot!$A$1,"Local Authority",B15)</f>
        <v>0</v>
      </c>
      <c r="L15" s="614"/>
    </row>
    <row r="16" spans="1:12" x14ac:dyDescent="0.25">
      <c r="A16" s="739" t="s">
        <v>267</v>
      </c>
      <c r="B16" s="739" t="s">
        <v>36</v>
      </c>
      <c r="C16" s="614">
        <f>GETPIVOTDATA("Sum of 2015-16",AttacksAreaPivot!$A$1,"Local Authority",B16)</f>
        <v>2</v>
      </c>
      <c r="D16" s="614">
        <f>GETPIVOTDATA("Sum of 2016-17",AttacksAreaPivot!$A$1,"Local Authority",B16)</f>
        <v>1</v>
      </c>
      <c r="E16" s="614">
        <f>GETPIVOTDATA("Sum of 2017-18",AttacksAreaPivot!$A$1,"Local Authority",B16)</f>
        <v>0</v>
      </c>
      <c r="F16" s="614">
        <f>GETPIVOTDATA("Sum of 2018-19",AttacksAreaPivot!$A$1,"Local Authority",B16)</f>
        <v>0</v>
      </c>
      <c r="G16" s="614">
        <f>GETPIVOTDATA("Sum of 2019-20",AttacksAreaPivot!$A$1,"Local Authority",B16)</f>
        <v>3</v>
      </c>
      <c r="H16" s="614">
        <f>GETPIVOTDATA("Sum of 2020-21",AttacksAreaPivot!$A$1,"Local Authority",B16)</f>
        <v>2</v>
      </c>
      <c r="I16" s="614">
        <f>GETPIVOTDATA("Sum of 2021-22",AttacksAreaPivot!$A$1,"Local Authority",B16)</f>
        <v>1</v>
      </c>
      <c r="J16" s="614">
        <f>GETPIVOTDATA("Sum of 2022-23",AttacksAreaPivot!$A$1,"Local Authority",B16)</f>
        <v>1</v>
      </c>
      <c r="K16" s="614">
        <f>GETPIVOTDATA("Sum of 2023-24",AttacksAreaPivot!$A$1,"Local Authority",B16)</f>
        <v>1</v>
      </c>
      <c r="L16" s="614"/>
    </row>
    <row r="17" spans="1:12" x14ac:dyDescent="0.25">
      <c r="A17" s="739" t="s">
        <v>293</v>
      </c>
      <c r="B17" s="739" t="s">
        <v>37</v>
      </c>
      <c r="C17" s="614">
        <f>GETPIVOTDATA("Sum of 2015-16",AttacksAreaPivot!$A$1,"Local Authority",B17)</f>
        <v>2</v>
      </c>
      <c r="D17" s="614">
        <f>GETPIVOTDATA("Sum of 2016-17",AttacksAreaPivot!$A$1,"Local Authority",B17)</f>
        <v>9</v>
      </c>
      <c r="E17" s="614">
        <f>GETPIVOTDATA("Sum of 2017-18",AttacksAreaPivot!$A$1,"Local Authority",B17)</f>
        <v>3</v>
      </c>
      <c r="F17" s="614">
        <f>GETPIVOTDATA("Sum of 2018-19",AttacksAreaPivot!$A$1,"Local Authority",B17)</f>
        <v>3</v>
      </c>
      <c r="G17" s="614">
        <f>GETPIVOTDATA("Sum of 2019-20",AttacksAreaPivot!$A$1,"Local Authority",B17)</f>
        <v>3</v>
      </c>
      <c r="H17" s="614">
        <f>GETPIVOTDATA("Sum of 2020-21",AttacksAreaPivot!$A$1,"Local Authority",B17)</f>
        <v>5</v>
      </c>
      <c r="I17" s="614">
        <f>GETPIVOTDATA("Sum of 2021-22",AttacksAreaPivot!$A$1,"Local Authority",B17)</f>
        <v>13</v>
      </c>
      <c r="J17" s="614">
        <f>GETPIVOTDATA("Sum of 2022-23",AttacksAreaPivot!$A$1,"Local Authority",B17)</f>
        <v>4</v>
      </c>
      <c r="K17" s="614">
        <f>GETPIVOTDATA("Sum of 2023-24",AttacksAreaPivot!$A$1,"Local Authority",B17)</f>
        <v>0</v>
      </c>
      <c r="L17" s="614"/>
    </row>
    <row r="18" spans="1:12" x14ac:dyDescent="0.25">
      <c r="A18" s="739" t="s">
        <v>268</v>
      </c>
      <c r="B18" s="739" t="s">
        <v>38</v>
      </c>
      <c r="C18" s="614">
        <f>GETPIVOTDATA("Sum of 2015-16",AttacksAreaPivot!$A$1,"Local Authority",B18)</f>
        <v>3</v>
      </c>
      <c r="D18" s="614">
        <f>GETPIVOTDATA("Sum of 2016-17",AttacksAreaPivot!$A$1,"Local Authority",B18)</f>
        <v>1</v>
      </c>
      <c r="E18" s="614">
        <f>GETPIVOTDATA("Sum of 2017-18",AttacksAreaPivot!$A$1,"Local Authority",B18)</f>
        <v>1</v>
      </c>
      <c r="F18" s="614">
        <f>GETPIVOTDATA("Sum of 2018-19",AttacksAreaPivot!$A$1,"Local Authority",B18)</f>
        <v>3</v>
      </c>
      <c r="G18" s="614">
        <f>GETPIVOTDATA("Sum of 2019-20",AttacksAreaPivot!$A$1,"Local Authority",B18)</f>
        <v>0</v>
      </c>
      <c r="H18" s="614">
        <f>GETPIVOTDATA("Sum of 2020-21",AttacksAreaPivot!$A$1,"Local Authority",B18)</f>
        <v>1</v>
      </c>
      <c r="I18" s="614">
        <f>GETPIVOTDATA("Sum of 2021-22",AttacksAreaPivot!$A$1,"Local Authority",B18)</f>
        <v>1</v>
      </c>
      <c r="J18" s="614">
        <f>GETPIVOTDATA("Sum of 2022-23",AttacksAreaPivot!$A$1,"Local Authority",B18)</f>
        <v>0</v>
      </c>
      <c r="K18" s="614">
        <f>GETPIVOTDATA("Sum of 2023-24",AttacksAreaPivot!$A$1,"Local Authority",B18)</f>
        <v>1</v>
      </c>
      <c r="L18" s="614"/>
    </row>
    <row r="19" spans="1:12" x14ac:dyDescent="0.25">
      <c r="A19" s="739" t="s">
        <v>295</v>
      </c>
      <c r="B19" s="739" t="s">
        <v>39</v>
      </c>
      <c r="C19" s="614">
        <f>GETPIVOTDATA("Sum of 2015-16",AttacksAreaPivot!$A$1,"Local Authority",B19)</f>
        <v>1</v>
      </c>
      <c r="D19" s="614">
        <f>GETPIVOTDATA("Sum of 2016-17",AttacksAreaPivot!$A$1,"Local Authority",B19)</f>
        <v>3</v>
      </c>
      <c r="E19" s="614">
        <f>GETPIVOTDATA("Sum of 2017-18",AttacksAreaPivot!$A$1,"Local Authority",B19)</f>
        <v>0</v>
      </c>
      <c r="F19" s="614">
        <f>GETPIVOTDATA("Sum of 2018-19",AttacksAreaPivot!$A$1,"Local Authority",B19)</f>
        <v>4</v>
      </c>
      <c r="G19" s="614">
        <f>GETPIVOTDATA("Sum of 2019-20",AttacksAreaPivot!$A$1,"Local Authority",B19)</f>
        <v>0</v>
      </c>
      <c r="H19" s="614">
        <f>GETPIVOTDATA("Sum of 2020-21",AttacksAreaPivot!$A$1,"Local Authority",B19)</f>
        <v>1</v>
      </c>
      <c r="I19" s="614">
        <f>GETPIVOTDATA("Sum of 2021-22",AttacksAreaPivot!$A$1,"Local Authority",B19)</f>
        <v>0</v>
      </c>
      <c r="J19" s="614">
        <f>GETPIVOTDATA("Sum of 2022-23",AttacksAreaPivot!$A$1,"Local Authority",B19)</f>
        <v>1</v>
      </c>
      <c r="K19" s="614">
        <f>GETPIVOTDATA("Sum of 2023-24",AttacksAreaPivot!$A$1,"Local Authority",B19)</f>
        <v>0</v>
      </c>
      <c r="L19" s="614"/>
    </row>
    <row r="20" spans="1:12" x14ac:dyDescent="0.25">
      <c r="A20" s="739" t="s">
        <v>269</v>
      </c>
      <c r="B20" s="739" t="s">
        <v>40</v>
      </c>
      <c r="C20" s="614">
        <f>GETPIVOTDATA("Sum of 2015-16",AttacksAreaPivot!$A$1,"Local Authority",B20)</f>
        <v>2</v>
      </c>
      <c r="D20" s="614">
        <f>GETPIVOTDATA("Sum of 2016-17",AttacksAreaPivot!$A$1,"Local Authority",B20)</f>
        <v>2</v>
      </c>
      <c r="E20" s="614">
        <f>GETPIVOTDATA("Sum of 2017-18",AttacksAreaPivot!$A$1,"Local Authority",B20)</f>
        <v>0</v>
      </c>
      <c r="F20" s="614">
        <f>GETPIVOTDATA("Sum of 2018-19",AttacksAreaPivot!$A$1,"Local Authority",B20)</f>
        <v>0</v>
      </c>
      <c r="G20" s="614">
        <f>GETPIVOTDATA("Sum of 2019-20",AttacksAreaPivot!$A$1,"Local Authority",B20)</f>
        <v>0</v>
      </c>
      <c r="H20" s="614">
        <f>GETPIVOTDATA("Sum of 2020-21",AttacksAreaPivot!$A$1,"Local Authority",B20)</f>
        <v>2</v>
      </c>
      <c r="I20" s="614">
        <f>GETPIVOTDATA("Sum of 2021-22",AttacksAreaPivot!$A$1,"Local Authority",B20)</f>
        <v>1</v>
      </c>
      <c r="J20" s="614">
        <f>GETPIVOTDATA("Sum of 2022-23",AttacksAreaPivot!$A$1,"Local Authority",B20)</f>
        <v>1</v>
      </c>
      <c r="K20" s="614">
        <f>GETPIVOTDATA("Sum of 2023-24",AttacksAreaPivot!$A$1,"Local Authority",B20)</f>
        <v>1</v>
      </c>
      <c r="L20" s="614"/>
    </row>
    <row r="21" spans="1:12" x14ac:dyDescent="0.25">
      <c r="A21" s="739" t="s">
        <v>270</v>
      </c>
      <c r="B21" s="739" t="s">
        <v>41</v>
      </c>
      <c r="C21" s="614">
        <f>GETPIVOTDATA("Sum of 2015-16",AttacksAreaPivot!$A$1,"Local Authority",B21)</f>
        <v>0</v>
      </c>
      <c r="D21" s="614">
        <f>GETPIVOTDATA("Sum of 2016-17",AttacksAreaPivot!$A$1,"Local Authority",B21)</f>
        <v>0</v>
      </c>
      <c r="E21" s="614">
        <f>GETPIVOTDATA("Sum of 2017-18",AttacksAreaPivot!$A$1,"Local Authority",B21)</f>
        <v>0</v>
      </c>
      <c r="F21" s="614">
        <f>GETPIVOTDATA("Sum of 2018-19",AttacksAreaPivot!$A$1,"Local Authority",B21)</f>
        <v>0</v>
      </c>
      <c r="G21" s="614">
        <f>GETPIVOTDATA("Sum of 2019-20",AttacksAreaPivot!$A$1,"Local Authority",B21)</f>
        <v>0</v>
      </c>
      <c r="H21" s="614">
        <f>GETPIVOTDATA("Sum of 2020-21",AttacksAreaPivot!$A$1,"Local Authority",B21)</f>
        <v>0</v>
      </c>
      <c r="I21" s="614">
        <f>GETPIVOTDATA("Sum of 2021-22",AttacksAreaPivot!$A$1,"Local Authority",B21)</f>
        <v>0</v>
      </c>
      <c r="J21" s="614">
        <f>GETPIVOTDATA("Sum of 2022-23",AttacksAreaPivot!$A$1,"Local Authority",B21)</f>
        <v>2</v>
      </c>
      <c r="K21" s="614">
        <f>GETPIVOTDATA("Sum of 2023-24",AttacksAreaPivot!$A$1,"Local Authority",B21)</f>
        <v>0</v>
      </c>
      <c r="L21" s="614"/>
    </row>
    <row r="22" spans="1:12" x14ac:dyDescent="0.25">
      <c r="A22" s="739" t="s">
        <v>272</v>
      </c>
      <c r="B22" s="739" t="s">
        <v>42</v>
      </c>
      <c r="C22" s="614">
        <f>GETPIVOTDATA("Sum of 2015-16",AttacksAreaPivot!$A$1,"Local Authority",B22)</f>
        <v>5</v>
      </c>
      <c r="D22" s="614">
        <f>GETPIVOTDATA("Sum of 2016-17",AttacksAreaPivot!$A$1,"Local Authority",B22)</f>
        <v>2</v>
      </c>
      <c r="E22" s="614">
        <f>GETPIVOTDATA("Sum of 2017-18",AttacksAreaPivot!$A$1,"Local Authority",B22)</f>
        <v>0</v>
      </c>
      <c r="F22" s="614">
        <f>GETPIVOTDATA("Sum of 2018-19",AttacksAreaPivot!$A$1,"Local Authority",B22)</f>
        <v>0</v>
      </c>
      <c r="G22" s="614">
        <f>GETPIVOTDATA("Sum of 2019-20",AttacksAreaPivot!$A$1,"Local Authority",B22)</f>
        <v>0</v>
      </c>
      <c r="H22" s="614">
        <f>GETPIVOTDATA("Sum of 2020-21",AttacksAreaPivot!$A$1,"Local Authority",B22)</f>
        <v>2</v>
      </c>
      <c r="I22" s="614">
        <f>GETPIVOTDATA("Sum of 2021-22",AttacksAreaPivot!$A$1,"Local Authority",B22)</f>
        <v>3</v>
      </c>
      <c r="J22" s="614">
        <f>GETPIVOTDATA("Sum of 2022-23",AttacksAreaPivot!$A$1,"Local Authority",B22)</f>
        <v>4</v>
      </c>
      <c r="K22" s="614">
        <f>GETPIVOTDATA("Sum of 2023-24",AttacksAreaPivot!$A$1,"Local Authority",B22)</f>
        <v>1</v>
      </c>
      <c r="L22" s="614"/>
    </row>
    <row r="23" spans="1:12" x14ac:dyDescent="0.25">
      <c r="A23" s="739" t="s">
        <v>297</v>
      </c>
      <c r="B23" s="739" t="s">
        <v>43</v>
      </c>
      <c r="C23" s="614">
        <f>GETPIVOTDATA("Sum of 2015-16",AttacksAreaPivot!$A$1,"Local Authority",B23)</f>
        <v>6</v>
      </c>
      <c r="D23" s="614">
        <f>GETPIVOTDATA("Sum of 2016-17",AttacksAreaPivot!$A$1,"Local Authority",B23)</f>
        <v>0</v>
      </c>
      <c r="E23" s="614">
        <f>GETPIVOTDATA("Sum of 2017-18",AttacksAreaPivot!$A$1,"Local Authority",B23)</f>
        <v>3</v>
      </c>
      <c r="F23" s="614">
        <f>GETPIVOTDATA("Sum of 2018-19",AttacksAreaPivot!$A$1,"Local Authority",B23)</f>
        <v>6</v>
      </c>
      <c r="G23" s="614">
        <f>GETPIVOTDATA("Sum of 2019-20",AttacksAreaPivot!$A$1,"Local Authority",B23)</f>
        <v>2</v>
      </c>
      <c r="H23" s="614">
        <f>GETPIVOTDATA("Sum of 2020-21",AttacksAreaPivot!$A$1,"Local Authority",B23)</f>
        <v>7</v>
      </c>
      <c r="I23" s="614">
        <f>GETPIVOTDATA("Sum of 2021-22",AttacksAreaPivot!$A$1,"Local Authority",B23)</f>
        <v>1</v>
      </c>
      <c r="J23" s="614">
        <f>GETPIVOTDATA("Sum of 2022-23",AttacksAreaPivot!$A$1,"Local Authority",B23)</f>
        <v>7</v>
      </c>
      <c r="K23" s="614">
        <f>GETPIVOTDATA("Sum of 2023-24",AttacksAreaPivot!$A$1,"Local Authority",B23)</f>
        <v>2</v>
      </c>
      <c r="L23" s="614"/>
    </row>
    <row r="24" spans="1:12" x14ac:dyDescent="0.25">
      <c r="A24" s="739" t="s">
        <v>921</v>
      </c>
      <c r="B24" s="739" t="s">
        <v>117</v>
      </c>
      <c r="C24" s="614">
        <f>GETPIVOTDATA("Sum of 2015-16",AttacksAreaPivot!$A$1,"Local Authority",B24)</f>
        <v>16</v>
      </c>
      <c r="D24" s="614">
        <f>GETPIVOTDATA("Sum of 2016-17",AttacksAreaPivot!$A$1,"Local Authority",B24)</f>
        <v>19</v>
      </c>
      <c r="E24" s="614">
        <f>GETPIVOTDATA("Sum of 2017-18",AttacksAreaPivot!$A$1,"Local Authority",B24)</f>
        <v>20</v>
      </c>
      <c r="F24" s="614">
        <f>GETPIVOTDATA("Sum of 2018-19",AttacksAreaPivot!$A$1,"Local Authority",B24)</f>
        <v>23</v>
      </c>
      <c r="G24" s="614">
        <f>GETPIVOTDATA("Sum of 2019-20",AttacksAreaPivot!$A$1,"Local Authority",B24)</f>
        <v>12</v>
      </c>
      <c r="H24" s="614">
        <f>GETPIVOTDATA("Sum of 2020-21",AttacksAreaPivot!$A$1,"Local Authority",B24)</f>
        <v>14</v>
      </c>
      <c r="I24" s="614">
        <f>GETPIVOTDATA("Sum of 2021-22",AttacksAreaPivot!$A$1,"Local Authority",B24)</f>
        <v>9</v>
      </c>
      <c r="J24" s="614">
        <f>GETPIVOTDATA("Sum of 2022-23",AttacksAreaPivot!$A$1,"Local Authority",B24)</f>
        <v>8</v>
      </c>
      <c r="K24" s="614">
        <f>GETPIVOTDATA("Sum of 2023-24",AttacksAreaPivot!$A$1,"Local Authority",B24)</f>
        <v>9</v>
      </c>
      <c r="L24" s="614"/>
    </row>
    <row r="25" spans="1:12" x14ac:dyDescent="0.25">
      <c r="A25" s="739" t="s">
        <v>273</v>
      </c>
      <c r="B25" s="739" t="s">
        <v>44</v>
      </c>
      <c r="C25" s="614">
        <f>GETPIVOTDATA("Sum of 2015-16",AttacksAreaPivot!$A$1,"Local Authority",B25)</f>
        <v>2</v>
      </c>
      <c r="D25" s="614">
        <f>GETPIVOTDATA("Sum of 2016-17",AttacksAreaPivot!$A$1,"Local Authority",B25)</f>
        <v>1</v>
      </c>
      <c r="E25" s="614">
        <f>GETPIVOTDATA("Sum of 2017-18",AttacksAreaPivot!$A$1,"Local Authority",B25)</f>
        <v>0</v>
      </c>
      <c r="F25" s="614">
        <f>GETPIVOTDATA("Sum of 2018-19",AttacksAreaPivot!$A$1,"Local Authority",B25)</f>
        <v>0</v>
      </c>
      <c r="G25" s="614">
        <f>GETPIVOTDATA("Sum of 2019-20",AttacksAreaPivot!$A$1,"Local Authority",B25)</f>
        <v>0</v>
      </c>
      <c r="H25" s="614">
        <f>GETPIVOTDATA("Sum of 2020-21",AttacksAreaPivot!$A$1,"Local Authority",B25)</f>
        <v>0</v>
      </c>
      <c r="I25" s="614">
        <f>GETPIVOTDATA("Sum of 2021-22",AttacksAreaPivot!$A$1,"Local Authority",B25)</f>
        <v>1</v>
      </c>
      <c r="J25" s="614">
        <f>GETPIVOTDATA("Sum of 2022-23",AttacksAreaPivot!$A$1,"Local Authority",B25)</f>
        <v>1</v>
      </c>
      <c r="K25" s="614">
        <f>GETPIVOTDATA("Sum of 2023-24",AttacksAreaPivot!$A$1,"Local Authority",B25)</f>
        <v>0</v>
      </c>
      <c r="L25" s="614"/>
    </row>
    <row r="26" spans="1:12" x14ac:dyDescent="0.25">
      <c r="A26" s="739" t="s">
        <v>274</v>
      </c>
      <c r="B26" s="739" t="s">
        <v>45</v>
      </c>
      <c r="C26" s="614">
        <f>GETPIVOTDATA("Sum of 2015-16",AttacksAreaPivot!$A$1,"Local Authority",B26)</f>
        <v>4</v>
      </c>
      <c r="D26" s="614">
        <f>GETPIVOTDATA("Sum of 2016-17",AttacksAreaPivot!$A$1,"Local Authority",B26)</f>
        <v>4</v>
      </c>
      <c r="E26" s="614">
        <f>GETPIVOTDATA("Sum of 2017-18",AttacksAreaPivot!$A$1,"Local Authority",B26)</f>
        <v>3</v>
      </c>
      <c r="F26" s="614">
        <f>GETPIVOTDATA("Sum of 2018-19",AttacksAreaPivot!$A$1,"Local Authority",B26)</f>
        <v>2</v>
      </c>
      <c r="G26" s="614">
        <f>GETPIVOTDATA("Sum of 2019-20",AttacksAreaPivot!$A$1,"Local Authority",B26)</f>
        <v>1</v>
      </c>
      <c r="H26" s="614">
        <f>GETPIVOTDATA("Sum of 2020-21",AttacksAreaPivot!$A$1,"Local Authority",B26)</f>
        <v>2</v>
      </c>
      <c r="I26" s="614">
        <f>GETPIVOTDATA("Sum of 2021-22",AttacksAreaPivot!$A$1,"Local Authority",B26)</f>
        <v>2</v>
      </c>
      <c r="J26" s="614">
        <f>GETPIVOTDATA("Sum of 2022-23",AttacksAreaPivot!$A$1,"Local Authority",B26)</f>
        <v>2</v>
      </c>
      <c r="K26" s="614">
        <f>GETPIVOTDATA("Sum of 2023-24",AttacksAreaPivot!$A$1,"Local Authority",B26)</f>
        <v>2</v>
      </c>
      <c r="L26" s="614"/>
    </row>
    <row r="27" spans="1:12" x14ac:dyDescent="0.25">
      <c r="A27" s="739" t="s">
        <v>275</v>
      </c>
      <c r="B27" s="739" t="s">
        <v>46</v>
      </c>
      <c r="C27" s="614">
        <f>GETPIVOTDATA("Sum of 2015-16",AttacksAreaPivot!$A$1,"Local Authority",B27)</f>
        <v>0</v>
      </c>
      <c r="D27" s="614">
        <f>GETPIVOTDATA("Sum of 2016-17",AttacksAreaPivot!$A$1,"Local Authority",B27)</f>
        <v>3</v>
      </c>
      <c r="E27" s="614">
        <f>GETPIVOTDATA("Sum of 2017-18",AttacksAreaPivot!$A$1,"Local Authority",B27)</f>
        <v>2</v>
      </c>
      <c r="F27" s="614">
        <f>GETPIVOTDATA("Sum of 2018-19",AttacksAreaPivot!$A$1,"Local Authority",B27)</f>
        <v>1</v>
      </c>
      <c r="G27" s="614">
        <f>GETPIVOTDATA("Sum of 2019-20",AttacksAreaPivot!$A$1,"Local Authority",B27)</f>
        <v>3</v>
      </c>
      <c r="H27" s="614">
        <f>GETPIVOTDATA("Sum of 2020-21",AttacksAreaPivot!$A$1,"Local Authority",B27)</f>
        <v>1</v>
      </c>
      <c r="I27" s="614">
        <f>GETPIVOTDATA("Sum of 2021-22",AttacksAreaPivot!$A$1,"Local Authority",B27)</f>
        <v>0</v>
      </c>
      <c r="J27" s="614">
        <f>GETPIVOTDATA("Sum of 2022-23",AttacksAreaPivot!$A$1,"Local Authority",B27)</f>
        <v>1</v>
      </c>
      <c r="K27" s="614">
        <f>GETPIVOTDATA("Sum of 2023-24",AttacksAreaPivot!$A$1,"Local Authority",B27)</f>
        <v>0</v>
      </c>
      <c r="L27" s="614"/>
    </row>
    <row r="28" spans="1:12" x14ac:dyDescent="0.25">
      <c r="A28" s="739" t="s">
        <v>276</v>
      </c>
      <c r="B28" s="739" t="s">
        <v>47</v>
      </c>
      <c r="C28" s="614">
        <f>GETPIVOTDATA("Sum of 2015-16",AttacksAreaPivot!$A$1,"Local Authority",B28)</f>
        <v>0</v>
      </c>
      <c r="D28" s="614">
        <f>GETPIVOTDATA("Sum of 2016-17",AttacksAreaPivot!$A$1,"Local Authority",B28)</f>
        <v>0</v>
      </c>
      <c r="E28" s="614">
        <f>GETPIVOTDATA("Sum of 2017-18",AttacksAreaPivot!$A$1,"Local Authority",B28)</f>
        <v>0</v>
      </c>
      <c r="F28" s="614">
        <f>GETPIVOTDATA("Sum of 2018-19",AttacksAreaPivot!$A$1,"Local Authority",B28)</f>
        <v>1</v>
      </c>
      <c r="G28" s="614">
        <f>GETPIVOTDATA("Sum of 2019-20",AttacksAreaPivot!$A$1,"Local Authority",B28)</f>
        <v>3</v>
      </c>
      <c r="H28" s="614">
        <f>GETPIVOTDATA("Sum of 2020-21",AttacksAreaPivot!$A$1,"Local Authority",B28)</f>
        <v>0</v>
      </c>
      <c r="I28" s="614">
        <f>GETPIVOTDATA("Sum of 2021-22",AttacksAreaPivot!$A$1,"Local Authority",B28)</f>
        <v>2</v>
      </c>
      <c r="J28" s="614">
        <f>GETPIVOTDATA("Sum of 2022-23",AttacksAreaPivot!$A$1,"Local Authority",B28)</f>
        <v>1</v>
      </c>
      <c r="K28" s="614">
        <f>GETPIVOTDATA("Sum of 2023-24",AttacksAreaPivot!$A$1,"Local Authority",B28)</f>
        <v>1</v>
      </c>
      <c r="L28" s="614"/>
    </row>
    <row r="29" spans="1:12" x14ac:dyDescent="0.25">
      <c r="A29" s="739" t="s">
        <v>271</v>
      </c>
      <c r="B29" s="739" t="s">
        <v>48</v>
      </c>
      <c r="C29" s="614">
        <f>GETPIVOTDATA("Sum of 2015-16",AttacksAreaPivot!$A$1,"Local Authority",B29)</f>
        <v>0</v>
      </c>
      <c r="D29" s="614">
        <f>GETPIVOTDATA("Sum of 2016-17",AttacksAreaPivot!$A$1,"Local Authority",B29)</f>
        <v>0</v>
      </c>
      <c r="E29" s="614">
        <f>GETPIVOTDATA("Sum of 2017-18",AttacksAreaPivot!$A$1,"Local Authority",B29)</f>
        <v>0</v>
      </c>
      <c r="F29" s="614">
        <f>GETPIVOTDATA("Sum of 2018-19",AttacksAreaPivot!$A$1,"Local Authority",B29)</f>
        <v>0</v>
      </c>
      <c r="G29" s="614">
        <f>GETPIVOTDATA("Sum of 2019-20",AttacksAreaPivot!$A$1,"Local Authority",B29)</f>
        <v>0</v>
      </c>
      <c r="H29" s="614">
        <f>GETPIVOTDATA("Sum of 2020-21",AttacksAreaPivot!$A$1,"Local Authority",B29)</f>
        <v>0</v>
      </c>
      <c r="I29" s="614">
        <f>GETPIVOTDATA("Sum of 2021-22",AttacksAreaPivot!$A$1,"Local Authority",B29)</f>
        <v>0</v>
      </c>
      <c r="J29" s="614">
        <f>GETPIVOTDATA("Sum of 2022-23",AttacksAreaPivot!$A$1,"Local Authority",B29)</f>
        <v>0</v>
      </c>
      <c r="K29" s="614">
        <f>GETPIVOTDATA("Sum of 2023-24",AttacksAreaPivot!$A$1,"Local Authority",B29)</f>
        <v>0</v>
      </c>
      <c r="L29" s="614"/>
    </row>
    <row r="30" spans="1:12" x14ac:dyDescent="0.25">
      <c r="A30" s="739" t="s">
        <v>277</v>
      </c>
      <c r="B30" s="739" t="s">
        <v>49</v>
      </c>
      <c r="C30" s="614">
        <f>GETPIVOTDATA("Sum of 2015-16",AttacksAreaPivot!$A$1,"Local Authority",B30)</f>
        <v>4</v>
      </c>
      <c r="D30" s="614">
        <f>GETPIVOTDATA("Sum of 2016-17",AttacksAreaPivot!$A$1,"Local Authority",B30)</f>
        <v>5</v>
      </c>
      <c r="E30" s="614">
        <f>GETPIVOTDATA("Sum of 2017-18",AttacksAreaPivot!$A$1,"Local Authority",B30)</f>
        <v>2</v>
      </c>
      <c r="F30" s="614">
        <f>GETPIVOTDATA("Sum of 2018-19",AttacksAreaPivot!$A$1,"Local Authority",B30)</f>
        <v>2</v>
      </c>
      <c r="G30" s="614">
        <f>GETPIVOTDATA("Sum of 2019-20",AttacksAreaPivot!$A$1,"Local Authority",B30)</f>
        <v>3</v>
      </c>
      <c r="H30" s="614">
        <f>GETPIVOTDATA("Sum of 2020-21",AttacksAreaPivot!$A$1,"Local Authority",B30)</f>
        <v>1</v>
      </c>
      <c r="I30" s="614">
        <f>GETPIVOTDATA("Sum of 2021-22",AttacksAreaPivot!$A$1,"Local Authority",B30)</f>
        <v>3</v>
      </c>
      <c r="J30" s="614">
        <f>GETPIVOTDATA("Sum of 2022-23",AttacksAreaPivot!$A$1,"Local Authority",B30)</f>
        <v>2</v>
      </c>
      <c r="K30" s="614">
        <f>GETPIVOTDATA("Sum of 2023-24",AttacksAreaPivot!$A$1,"Local Authority",B30)</f>
        <v>5</v>
      </c>
      <c r="L30" s="614"/>
    </row>
    <row r="31" spans="1:12" x14ac:dyDescent="0.25">
      <c r="A31" s="739" t="s">
        <v>922</v>
      </c>
      <c r="B31" s="739" t="s">
        <v>50</v>
      </c>
      <c r="C31" s="614">
        <f>GETPIVOTDATA("Sum of 2015-16",AttacksAreaPivot!$A$1,"Local Authority",B31)</f>
        <v>7</v>
      </c>
      <c r="D31" s="614">
        <f>GETPIVOTDATA("Sum of 2016-17",AttacksAreaPivot!$A$1,"Local Authority",B31)</f>
        <v>3</v>
      </c>
      <c r="E31" s="614">
        <f>GETPIVOTDATA("Sum of 2017-18",AttacksAreaPivot!$A$1,"Local Authority",B31)</f>
        <v>6</v>
      </c>
      <c r="F31" s="614">
        <f>GETPIVOTDATA("Sum of 2018-19",AttacksAreaPivot!$A$1,"Local Authority",B31)</f>
        <v>3</v>
      </c>
      <c r="G31" s="614">
        <f>GETPIVOTDATA("Sum of 2019-20",AttacksAreaPivot!$A$1,"Local Authority",B31)</f>
        <v>8</v>
      </c>
      <c r="H31" s="614">
        <f>GETPIVOTDATA("Sum of 2020-21",AttacksAreaPivot!$A$1,"Local Authority",B31)</f>
        <v>4</v>
      </c>
      <c r="I31" s="614">
        <f>GETPIVOTDATA("Sum of 2021-22",AttacksAreaPivot!$A$1,"Local Authority",B31)</f>
        <v>5</v>
      </c>
      <c r="J31" s="614">
        <f>GETPIVOTDATA("Sum of 2022-23",AttacksAreaPivot!$A$1,"Local Authority",B31)</f>
        <v>8</v>
      </c>
      <c r="K31" s="614">
        <f>GETPIVOTDATA("Sum of 2023-24",AttacksAreaPivot!$A$1,"Local Authority",B31)</f>
        <v>7</v>
      </c>
      <c r="L31" s="614"/>
    </row>
    <row r="32" spans="1:12" x14ac:dyDescent="0.25">
      <c r="A32" s="739" t="s">
        <v>278</v>
      </c>
      <c r="B32" s="739" t="s">
        <v>51</v>
      </c>
      <c r="C32" s="614">
        <f>GETPIVOTDATA("Sum of 2015-16",AttacksAreaPivot!$A$1,"Local Authority",B32)</f>
        <v>0</v>
      </c>
      <c r="D32" s="614">
        <f>GETPIVOTDATA("Sum of 2016-17",AttacksAreaPivot!$A$1,"Local Authority",B32)</f>
        <v>0</v>
      </c>
      <c r="E32" s="614">
        <f>GETPIVOTDATA("Sum of 2017-18",AttacksAreaPivot!$A$1,"Local Authority",B32)</f>
        <v>0</v>
      </c>
      <c r="F32" s="614">
        <f>GETPIVOTDATA("Sum of 2018-19",AttacksAreaPivot!$A$1,"Local Authority",B32)</f>
        <v>0</v>
      </c>
      <c r="G32" s="614">
        <f>GETPIVOTDATA("Sum of 2019-20",AttacksAreaPivot!$A$1,"Local Authority",B32)</f>
        <v>0</v>
      </c>
      <c r="H32" s="614">
        <f>GETPIVOTDATA("Sum of 2020-21",AttacksAreaPivot!$A$1,"Local Authority",B32)</f>
        <v>0</v>
      </c>
      <c r="I32" s="614">
        <f>GETPIVOTDATA("Sum of 2021-22",AttacksAreaPivot!$A$1,"Local Authority",B32)</f>
        <v>0</v>
      </c>
      <c r="J32" s="614">
        <f>GETPIVOTDATA("Sum of 2022-23",AttacksAreaPivot!$A$1,"Local Authority",B32)</f>
        <v>0</v>
      </c>
      <c r="K32" s="614">
        <f>GETPIVOTDATA("Sum of 2023-24",AttacksAreaPivot!$A$1,"Local Authority",B32)</f>
        <v>0</v>
      </c>
      <c r="L32" s="614"/>
    </row>
    <row r="33" spans="1:14" x14ac:dyDescent="0.25">
      <c r="A33" s="739" t="s">
        <v>279</v>
      </c>
      <c r="B33" s="869" t="s">
        <v>52</v>
      </c>
      <c r="C33" s="614">
        <f>GETPIVOTDATA("Sum of 2015-16",AttacksAreaPivot!$A$1,"Local Authority",B33)</f>
        <v>0</v>
      </c>
      <c r="D33" s="614">
        <f>GETPIVOTDATA("Sum of 2016-17",AttacksAreaPivot!$A$1,"Local Authority",B33)</f>
        <v>0</v>
      </c>
      <c r="E33" s="614">
        <f>GETPIVOTDATA("Sum of 2017-18",AttacksAreaPivot!$A$1,"Local Authority",B33)</f>
        <v>0</v>
      </c>
      <c r="F33" s="614">
        <f>GETPIVOTDATA("Sum of 2018-19",AttacksAreaPivot!$A$1,"Local Authority",B33)</f>
        <v>0</v>
      </c>
      <c r="G33" s="614">
        <f>GETPIVOTDATA("Sum of 2019-20",AttacksAreaPivot!$A$1,"Local Authority",B33)</f>
        <v>0</v>
      </c>
      <c r="H33" s="614">
        <f>GETPIVOTDATA("Sum of 2020-21",AttacksAreaPivot!$A$1,"Local Authority",B33)</f>
        <v>0</v>
      </c>
      <c r="I33" s="614">
        <f>GETPIVOTDATA("Sum of 2021-22",AttacksAreaPivot!$A$1,"Local Authority",B33)</f>
        <v>0</v>
      </c>
      <c r="J33" s="614">
        <f>GETPIVOTDATA("Sum of 2022-23",AttacksAreaPivot!$A$1,"Local Authority",B33)</f>
        <v>0</v>
      </c>
      <c r="K33" s="614">
        <f>GETPIVOTDATA("Sum of 2023-24",AttacksAreaPivot!$A$1,"Local Authority",B33)</f>
        <v>1</v>
      </c>
      <c r="L33" s="614"/>
    </row>
    <row r="34" spans="1:14" x14ac:dyDescent="0.25">
      <c r="A34" s="739" t="s">
        <v>289</v>
      </c>
      <c r="B34" s="869" t="s">
        <v>53</v>
      </c>
      <c r="C34" s="614">
        <f>GETPIVOTDATA("Sum of 2015-16",AttacksAreaPivot!$A$1,"Local Authority",B34)</f>
        <v>3</v>
      </c>
      <c r="D34" s="614">
        <f>GETPIVOTDATA("Sum of 2016-17",AttacksAreaPivot!$A$1,"Local Authority",B34)</f>
        <v>2</v>
      </c>
      <c r="E34" s="614">
        <f>GETPIVOTDATA("Sum of 2017-18",AttacksAreaPivot!$A$1,"Local Authority",B34)</f>
        <v>1</v>
      </c>
      <c r="F34" s="614">
        <f>GETPIVOTDATA("Sum of 2018-19",AttacksAreaPivot!$A$1,"Local Authority",B34)</f>
        <v>1</v>
      </c>
      <c r="G34" s="614">
        <f>GETPIVOTDATA("Sum of 2019-20",AttacksAreaPivot!$A$1,"Local Authority",B34)</f>
        <v>2</v>
      </c>
      <c r="H34" s="614">
        <f>GETPIVOTDATA("Sum of 2020-21",AttacksAreaPivot!$A$1,"Local Authority",B34)</f>
        <v>3</v>
      </c>
      <c r="I34" s="614">
        <f>GETPIVOTDATA("Sum of 2021-22",AttacksAreaPivot!$A$1,"Local Authority",B34)</f>
        <v>1</v>
      </c>
      <c r="J34" s="614">
        <f>GETPIVOTDATA("Sum of 2022-23",AttacksAreaPivot!$A$1,"Local Authority",B34)</f>
        <v>1</v>
      </c>
      <c r="K34" s="614">
        <f>GETPIVOTDATA("Sum of 2023-24",AttacksAreaPivot!$A$1,"Local Authority",B34)</f>
        <v>3</v>
      </c>
      <c r="L34" s="614"/>
    </row>
    <row r="35" spans="1:14" x14ac:dyDescent="0.25">
      <c r="A35" s="739" t="s">
        <v>280</v>
      </c>
      <c r="B35" s="869" t="s">
        <v>54</v>
      </c>
      <c r="C35" s="614">
        <f>GETPIVOTDATA("Sum of 2015-16",AttacksAreaPivot!$A$1,"Local Authority",B35)</f>
        <v>0</v>
      </c>
      <c r="D35" s="614">
        <f>GETPIVOTDATA("Sum of 2016-17",AttacksAreaPivot!$A$1,"Local Authority",B35)</f>
        <v>2</v>
      </c>
      <c r="E35" s="614">
        <f>GETPIVOTDATA("Sum of 2017-18",AttacksAreaPivot!$A$1,"Local Authority",B35)</f>
        <v>3</v>
      </c>
      <c r="F35" s="614">
        <f>GETPIVOTDATA("Sum of 2018-19",AttacksAreaPivot!$A$1,"Local Authority",B35)</f>
        <v>3</v>
      </c>
      <c r="G35" s="614">
        <f>GETPIVOTDATA("Sum of 2019-20",AttacksAreaPivot!$A$1,"Local Authority",B35)</f>
        <v>1</v>
      </c>
      <c r="H35" s="614">
        <f>GETPIVOTDATA("Sum of 2020-21",AttacksAreaPivot!$A$1,"Local Authority",B35)</f>
        <v>2</v>
      </c>
      <c r="I35" s="614">
        <f>GETPIVOTDATA("Sum of 2021-22",AttacksAreaPivot!$A$1,"Local Authority",B35)</f>
        <v>0</v>
      </c>
      <c r="J35" s="614">
        <f>GETPIVOTDATA("Sum of 2022-23",AttacksAreaPivot!$A$1,"Local Authority",B35)</f>
        <v>0</v>
      </c>
      <c r="K35" s="614">
        <f>GETPIVOTDATA("Sum of 2023-24",AttacksAreaPivot!$A$1,"Local Authority",B35)</f>
        <v>0</v>
      </c>
      <c r="L35" s="614"/>
    </row>
    <row r="36" spans="1:14" x14ac:dyDescent="0.25">
      <c r="A36" s="739" t="s">
        <v>281</v>
      </c>
      <c r="B36" s="869" t="s">
        <v>55</v>
      </c>
      <c r="C36" s="614">
        <f>GETPIVOTDATA("Sum of 2015-16",AttacksAreaPivot!$A$1,"Local Authority",B36)</f>
        <v>0</v>
      </c>
      <c r="D36" s="614">
        <f>GETPIVOTDATA("Sum of 2016-17",AttacksAreaPivot!$A$1,"Local Authority",B36)</f>
        <v>0</v>
      </c>
      <c r="E36" s="614">
        <f>GETPIVOTDATA("Sum of 2017-18",AttacksAreaPivot!$A$1,"Local Authority",B36)</f>
        <v>0</v>
      </c>
      <c r="F36" s="614">
        <f>GETPIVOTDATA("Sum of 2018-19",AttacksAreaPivot!$A$1,"Local Authority",B36)</f>
        <v>0</v>
      </c>
      <c r="G36" s="614">
        <f>GETPIVOTDATA("Sum of 2019-20",AttacksAreaPivot!$A$1,"Local Authority",B36)</f>
        <v>0</v>
      </c>
      <c r="H36" s="614">
        <f>GETPIVOTDATA("Sum of 2020-21",AttacksAreaPivot!$A$1,"Local Authority",B36)</f>
        <v>0</v>
      </c>
      <c r="I36" s="614">
        <f>GETPIVOTDATA("Sum of 2021-22",AttacksAreaPivot!$A$1,"Local Authority",B36)</f>
        <v>0</v>
      </c>
      <c r="J36" s="614">
        <f>GETPIVOTDATA("Sum of 2022-23",AttacksAreaPivot!$A$1,"Local Authority",B36)</f>
        <v>0</v>
      </c>
      <c r="K36" s="614">
        <f>GETPIVOTDATA("Sum of 2023-24",AttacksAreaPivot!$A$1,"Local Authority",B36)</f>
        <v>0</v>
      </c>
      <c r="L36" s="614"/>
    </row>
    <row r="37" spans="1:14" x14ac:dyDescent="0.25">
      <c r="A37" s="739" t="s">
        <v>282</v>
      </c>
      <c r="B37" s="869" t="s">
        <v>56</v>
      </c>
      <c r="C37" s="614">
        <f>GETPIVOTDATA("Sum of 2015-16",AttacksAreaPivot!$A$1,"Local Authority",B37)</f>
        <v>3</v>
      </c>
      <c r="D37" s="614">
        <f>GETPIVOTDATA("Sum of 2016-17",AttacksAreaPivot!$A$1,"Local Authority",B37)</f>
        <v>0</v>
      </c>
      <c r="E37" s="614">
        <f>GETPIVOTDATA("Sum of 2017-18",AttacksAreaPivot!$A$1,"Local Authority",B37)</f>
        <v>1</v>
      </c>
      <c r="F37" s="614">
        <f>GETPIVOTDATA("Sum of 2018-19",AttacksAreaPivot!$A$1,"Local Authority",B37)</f>
        <v>0</v>
      </c>
      <c r="G37" s="614">
        <f>GETPIVOTDATA("Sum of 2019-20",AttacksAreaPivot!$A$1,"Local Authority",B37)</f>
        <v>0</v>
      </c>
      <c r="H37" s="614">
        <f>GETPIVOTDATA("Sum of 2020-21",AttacksAreaPivot!$A$1,"Local Authority",B37)</f>
        <v>2</v>
      </c>
      <c r="I37" s="614">
        <f>GETPIVOTDATA("Sum of 2021-22",AttacksAreaPivot!$A$1,"Local Authority",B37)</f>
        <v>1</v>
      </c>
      <c r="J37" s="614">
        <f>GETPIVOTDATA("Sum of 2022-23",AttacksAreaPivot!$A$1,"Local Authority",B37)</f>
        <v>0</v>
      </c>
      <c r="K37" s="614">
        <f>GETPIVOTDATA("Sum of 2023-24",AttacksAreaPivot!$A$1,"Local Authority",B37)</f>
        <v>1</v>
      </c>
      <c r="L37" s="614"/>
    </row>
    <row r="38" spans="1:14" x14ac:dyDescent="0.25">
      <c r="A38" s="739" t="s">
        <v>283</v>
      </c>
      <c r="B38" s="869" t="s">
        <v>57</v>
      </c>
      <c r="C38" s="614">
        <f>GETPIVOTDATA("Sum of 2015-16",AttacksAreaPivot!$A$1,"Local Authority",B38)</f>
        <v>5</v>
      </c>
      <c r="D38" s="614">
        <f>GETPIVOTDATA("Sum of 2016-17",AttacksAreaPivot!$A$1,"Local Authority",B38)</f>
        <v>2</v>
      </c>
      <c r="E38" s="614">
        <f>GETPIVOTDATA("Sum of 2017-18",AttacksAreaPivot!$A$1,"Local Authority",B38)</f>
        <v>0</v>
      </c>
      <c r="F38" s="614">
        <f>GETPIVOTDATA("Sum of 2018-19",AttacksAreaPivot!$A$1,"Local Authority",B38)</f>
        <v>1</v>
      </c>
      <c r="G38" s="614">
        <f>GETPIVOTDATA("Sum of 2019-20",AttacksAreaPivot!$A$1,"Local Authority",B38)</f>
        <v>1</v>
      </c>
      <c r="H38" s="614">
        <f>GETPIVOTDATA("Sum of 2020-21",AttacksAreaPivot!$A$1,"Local Authority",B38)</f>
        <v>5</v>
      </c>
      <c r="I38" s="614">
        <f>GETPIVOTDATA("Sum of 2021-22",AttacksAreaPivot!$A$1,"Local Authority",B38)</f>
        <v>2</v>
      </c>
      <c r="J38" s="614">
        <f>GETPIVOTDATA("Sum of 2022-23",AttacksAreaPivot!$A$1,"Local Authority",B38)</f>
        <v>2</v>
      </c>
      <c r="K38" s="614">
        <f>GETPIVOTDATA("Sum of 2023-24",AttacksAreaPivot!$A$1,"Local Authority",B38)</f>
        <v>5</v>
      </c>
      <c r="L38" s="614"/>
    </row>
    <row r="39" spans="1:14" x14ac:dyDescent="0.25">
      <c r="A39" s="739" t="s">
        <v>284</v>
      </c>
      <c r="B39" s="869" t="s">
        <v>58</v>
      </c>
      <c r="C39" s="614">
        <f>GETPIVOTDATA("Sum of 2015-16",AttacksAreaPivot!$A$1,"Local Authority",B39)</f>
        <v>2</v>
      </c>
      <c r="D39" s="614">
        <f>GETPIVOTDATA("Sum of 2016-17",AttacksAreaPivot!$A$1,"Local Authority",B39)</f>
        <v>3</v>
      </c>
      <c r="E39" s="614">
        <f>GETPIVOTDATA("Sum of 2017-18",AttacksAreaPivot!$A$1,"Local Authority",B39)</f>
        <v>0</v>
      </c>
      <c r="F39" s="614">
        <f>GETPIVOTDATA("Sum of 2018-19",AttacksAreaPivot!$A$1,"Local Authority",B39)</f>
        <v>1</v>
      </c>
      <c r="G39" s="614">
        <f>GETPIVOTDATA("Sum of 2019-20",AttacksAreaPivot!$A$1,"Local Authority",B39)</f>
        <v>0</v>
      </c>
      <c r="H39" s="614">
        <f>GETPIVOTDATA("Sum of 2020-21",AttacksAreaPivot!$A$1,"Local Authority",B39)</f>
        <v>1</v>
      </c>
      <c r="I39" s="614">
        <f>GETPIVOTDATA("Sum of 2021-22",AttacksAreaPivot!$A$1,"Local Authority",B39)</f>
        <v>0</v>
      </c>
      <c r="J39" s="614">
        <f>GETPIVOTDATA("Sum of 2022-23",AttacksAreaPivot!$A$1,"Local Authority",B39)</f>
        <v>0</v>
      </c>
      <c r="K39" s="614">
        <f>GETPIVOTDATA("Sum of 2023-24",AttacksAreaPivot!$A$1,"Local Authority",B39)</f>
        <v>0</v>
      </c>
      <c r="L39" s="614"/>
    </row>
    <row r="40" spans="1:14" x14ac:dyDescent="0.25">
      <c r="A40" s="739" t="s">
        <v>290</v>
      </c>
      <c r="B40" s="869" t="s">
        <v>59</v>
      </c>
      <c r="C40" s="614">
        <f>GETPIVOTDATA("Sum of 2015-16",AttacksAreaPivot!$A$1,"Local Authority",B40)</f>
        <v>2</v>
      </c>
      <c r="D40" s="614">
        <f>GETPIVOTDATA("Sum of 2016-17",AttacksAreaPivot!$A$1,"Local Authority",B40)</f>
        <v>1</v>
      </c>
      <c r="E40" s="614">
        <f>GETPIVOTDATA("Sum of 2017-18",AttacksAreaPivot!$A$1,"Local Authority",B40)</f>
        <v>0</v>
      </c>
      <c r="F40" s="614">
        <f>GETPIVOTDATA("Sum of 2018-19",AttacksAreaPivot!$A$1,"Local Authority",B40)</f>
        <v>2</v>
      </c>
      <c r="G40" s="614">
        <f>GETPIVOTDATA("Sum of 2019-20",AttacksAreaPivot!$A$1,"Local Authority",B40)</f>
        <v>0</v>
      </c>
      <c r="H40" s="614">
        <f>GETPIVOTDATA("Sum of 2020-21",AttacksAreaPivot!$A$1,"Local Authority",B40)</f>
        <v>0</v>
      </c>
      <c r="I40" s="614">
        <f>GETPIVOTDATA("Sum of 2021-22",AttacksAreaPivot!$A$1,"Local Authority",B40)</f>
        <v>0</v>
      </c>
      <c r="J40" s="614">
        <f>GETPIVOTDATA("Sum of 2022-23",AttacksAreaPivot!$A$1,"Local Authority",B40)</f>
        <v>1</v>
      </c>
      <c r="K40" s="614">
        <f>GETPIVOTDATA("Sum of 2023-24",AttacksAreaPivot!$A$1,"Local Authority",B40)</f>
        <v>0</v>
      </c>
      <c r="L40" s="614"/>
    </row>
    <row r="41" spans="1:14" x14ac:dyDescent="0.25">
      <c r="A41" s="612" t="s">
        <v>291</v>
      </c>
      <c r="B41" s="870" t="s">
        <v>60</v>
      </c>
      <c r="C41" s="614">
        <f>GETPIVOTDATA("Sum of 2015-16",AttacksAreaPivot!$A$1,"Local Authority",B41)</f>
        <v>4</v>
      </c>
      <c r="D41" s="614">
        <f>GETPIVOTDATA("Sum of 2016-17",AttacksAreaPivot!$A$1,"Local Authority",B41)</f>
        <v>3</v>
      </c>
      <c r="E41" s="614">
        <f>GETPIVOTDATA("Sum of 2017-18",AttacksAreaPivot!$A$1,"Local Authority",B41)</f>
        <v>4</v>
      </c>
      <c r="F41" s="614">
        <f>GETPIVOTDATA("Sum of 2018-19",AttacksAreaPivot!$A$1,"Local Authority",B41)</f>
        <v>5</v>
      </c>
      <c r="G41" s="614">
        <f>GETPIVOTDATA("Sum of 2019-20",AttacksAreaPivot!$A$1,"Local Authority",B41)</f>
        <v>2</v>
      </c>
      <c r="H41" s="614">
        <f>GETPIVOTDATA("Sum of 2020-21",AttacksAreaPivot!$A$1,"Local Authority",B41)</f>
        <v>2</v>
      </c>
      <c r="I41" s="614">
        <f>GETPIVOTDATA("Sum of 2021-22",AttacksAreaPivot!$A$1,"Local Authority",B41)</f>
        <v>2</v>
      </c>
      <c r="J41" s="614">
        <f>GETPIVOTDATA("Sum of 2022-23",AttacksAreaPivot!$A$1,"Local Authority",B41)</f>
        <v>7</v>
      </c>
      <c r="K41" s="614">
        <f>GETPIVOTDATA("Sum of 2023-24",AttacksAreaPivot!$A$1,"Local Authority",B41)</f>
        <v>4</v>
      </c>
      <c r="L41" s="614"/>
    </row>
    <row r="42" spans="1:14" ht="15.75" thickBot="1" x14ac:dyDescent="0.3">
      <c r="A42" s="547"/>
      <c r="B42" s="740" t="s">
        <v>731</v>
      </c>
      <c r="C42" s="698">
        <f t="shared" ref="C42:K42" si="0">SUM(C10:C41)</f>
        <v>90</v>
      </c>
      <c r="D42" s="698">
        <f t="shared" si="0"/>
        <v>78</v>
      </c>
      <c r="E42" s="698">
        <f t="shared" si="0"/>
        <v>53</v>
      </c>
      <c r="F42" s="698">
        <f t="shared" si="0"/>
        <v>72</v>
      </c>
      <c r="G42" s="698">
        <f t="shared" si="0"/>
        <v>53</v>
      </c>
      <c r="H42" s="698">
        <f t="shared" si="0"/>
        <v>63</v>
      </c>
      <c r="I42" s="698">
        <f t="shared" si="0"/>
        <v>66</v>
      </c>
      <c r="J42" s="698">
        <f t="shared" si="0"/>
        <v>66</v>
      </c>
      <c r="K42" s="698">
        <f t="shared" si="0"/>
        <v>51</v>
      </c>
      <c r="L42" s="614"/>
      <c r="N42" s="376"/>
    </row>
    <row r="43" spans="1:14" x14ac:dyDescent="0.25">
      <c r="B43" s="216"/>
      <c r="C43" s="74"/>
      <c r="D43" s="279"/>
      <c r="E43" s="29"/>
      <c r="F43" s="280"/>
    </row>
    <row r="44" spans="1:14" x14ac:dyDescent="0.25">
      <c r="A44" s="363" t="s">
        <v>8</v>
      </c>
      <c r="C44" s="366"/>
      <c r="D44" s="367"/>
      <c r="E44" s="262"/>
      <c r="F44" s="368"/>
    </row>
    <row r="45" spans="1:14" ht="45.95" customHeight="1" x14ac:dyDescent="0.25">
      <c r="A45" s="1010" t="s">
        <v>736</v>
      </c>
      <c r="B45" s="1010"/>
      <c r="C45" s="1010"/>
      <c r="D45" s="1010"/>
      <c r="E45" s="1010"/>
      <c r="F45" s="1010"/>
      <c r="G45" s="1010"/>
      <c r="H45" s="430"/>
      <c r="I45" s="430"/>
      <c r="J45" s="430"/>
    </row>
  </sheetData>
  <sheetProtection algorithmName="SHA-512" hashValue="fVVV9YRxSbf0u5BV0g7iSyRUL/2nnfhFofjQxHQmaAqh02nFd8eM7+JM6h7JemWzXpD91zWAVeOuF8fSW3+iog==" saltValue="C051pevjlK6QVEhWI2NsLg==" spinCount="100000" sheet="1" scenarios="1" formatCells="0" sort="0" autoFilter="0" pivotTables="0"/>
  <mergeCells count="3">
    <mergeCell ref="A1:C1"/>
    <mergeCell ref="A4:L4"/>
    <mergeCell ref="A45:G45"/>
  </mergeCells>
  <phoneticPr fontId="53" type="noConversion"/>
  <hyperlinks>
    <hyperlink ref="A2" location="'Table of Contents'!A1" display="Back to Table of Contents" xr:uid="{00000000-0004-0000-7B00-000000000000}"/>
  </hyperlinks>
  <pageMargins left="0.70866141732283472" right="0.70866141732283472" top="0.74803149606299213" bottom="0.74803149606299213" header="0.31496062992125984" footer="0.31496062992125984"/>
  <pageSetup paperSize="9" scale="98"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5" tint="0.39997558519241921"/>
    <pageSetUpPr fitToPage="1"/>
  </sheetPr>
  <dimension ref="A1:H6"/>
  <sheetViews>
    <sheetView showGridLines="0" workbookViewId="0">
      <pane ySplit="2" topLeftCell="A3" activePane="bottomLeft" state="frozen"/>
      <selection pane="bottomLeft"/>
    </sheetView>
  </sheetViews>
  <sheetFormatPr defaultRowHeight="15" x14ac:dyDescent="0.25"/>
  <sheetData>
    <row r="1" spans="1:8" ht="15.75" customHeight="1" x14ac:dyDescent="0.25">
      <c r="A1" s="522" t="s">
        <v>528</v>
      </c>
      <c r="B1" s="522"/>
      <c r="C1" s="522"/>
    </row>
    <row r="2" spans="1:8" ht="15.75" x14ac:dyDescent="0.25">
      <c r="A2" s="507" t="s">
        <v>511</v>
      </c>
      <c r="B2" s="449"/>
      <c r="C2" s="449"/>
    </row>
    <row r="4" spans="1:8" ht="15.75" x14ac:dyDescent="0.25">
      <c r="A4" s="994" t="s">
        <v>531</v>
      </c>
      <c r="B4" s="994"/>
      <c r="C4" s="994"/>
      <c r="D4" s="994"/>
      <c r="E4" s="994"/>
      <c r="F4" s="994"/>
      <c r="G4" s="994"/>
      <c r="H4" s="994"/>
    </row>
    <row r="5" spans="1:8" x14ac:dyDescent="0.25">
      <c r="A5" s="571" t="s">
        <v>721</v>
      </c>
    </row>
    <row r="6" spans="1:8" x14ac:dyDescent="0.25">
      <c r="A6" s="571" t="s">
        <v>661</v>
      </c>
    </row>
  </sheetData>
  <sheetProtection algorithmName="SHA-512" hashValue="kK9gKSrlHQRYzYkWhAUI3W5NDQfx9qs+tozyUw35BnC9HhZEWxmYm2pkZyQ+N7v324/mwkHvfFYXPYFgqLobNw==" saltValue="lNIxhdDuR3iHRjKUS7gDjw==" spinCount="100000" sheet="1" scenarios="1" formatCells="0" sort="0" autoFilter="0" pivotTables="0"/>
  <mergeCells count="1">
    <mergeCell ref="A4:H4"/>
  </mergeCells>
  <hyperlinks>
    <hyperlink ref="A2" location="'Table of Contents'!A1" display="Back to Table of Contents" xr:uid="{00000000-0004-0000-7D00-000000000000}"/>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5" tint="0.39997558519241921"/>
    <pageSetUpPr fitToPage="1"/>
  </sheetPr>
  <dimension ref="A1:H6"/>
  <sheetViews>
    <sheetView showGridLines="0" workbookViewId="0">
      <pane ySplit="2" topLeftCell="A3" activePane="bottomLeft" state="frozen"/>
      <selection pane="bottomLeft"/>
    </sheetView>
  </sheetViews>
  <sheetFormatPr defaultRowHeight="15" x14ac:dyDescent="0.25"/>
  <sheetData>
    <row r="1" spans="1:8" ht="15.75" customHeight="1" x14ac:dyDescent="0.25">
      <c r="A1" s="522" t="s">
        <v>528</v>
      </c>
      <c r="B1" s="522"/>
      <c r="C1" s="522"/>
    </row>
    <row r="2" spans="1:8" ht="15.75" x14ac:dyDescent="0.25">
      <c r="A2" s="507" t="s">
        <v>511</v>
      </c>
      <c r="B2" s="449"/>
      <c r="C2" s="449"/>
    </row>
    <row r="4" spans="1:8" ht="15.75" x14ac:dyDescent="0.25">
      <c r="A4" s="523" t="s">
        <v>532</v>
      </c>
      <c r="B4" s="523"/>
      <c r="C4" s="523"/>
      <c r="D4" s="523"/>
      <c r="E4" s="523"/>
      <c r="F4" s="523"/>
      <c r="G4" s="523"/>
      <c r="H4" s="523"/>
    </row>
    <row r="5" spans="1:8" x14ac:dyDescent="0.25">
      <c r="A5" s="571" t="s">
        <v>721</v>
      </c>
    </row>
    <row r="6" spans="1:8" x14ac:dyDescent="0.25">
      <c r="A6" s="571" t="s">
        <v>662</v>
      </c>
    </row>
  </sheetData>
  <sheetProtection algorithmName="SHA-512" hashValue="ZvcYgEB2ZIFW8TLPlBb+thlTwH+O+pAdtZHHPS/l/VketIf/RI/KFQDxYmfMPuXsSLtITzrZmYoNCufdJPSLCA==" saltValue="KMoov8gLLlLgMepE4g0qig==" spinCount="100000" sheet="1" scenarios="1" formatCells="0" sort="0" autoFilter="0" pivotTables="0"/>
  <hyperlinks>
    <hyperlink ref="A2" location="'Table of Contents'!A1" display="Back to Table of Contents" xr:uid="{00000000-0004-0000-7E00-000000000000}"/>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5" tint="0.39997558519241921"/>
  </sheetPr>
  <dimension ref="A1:E6"/>
  <sheetViews>
    <sheetView showGridLines="0" workbookViewId="0">
      <pane ySplit="2" topLeftCell="A3" activePane="bottomLeft" state="frozen"/>
      <selection pane="bottomLeft"/>
    </sheetView>
  </sheetViews>
  <sheetFormatPr defaultRowHeight="15" x14ac:dyDescent="0.25"/>
  <sheetData>
    <row r="1" spans="1:5" ht="15.75" x14ac:dyDescent="0.25">
      <c r="A1" s="522" t="s">
        <v>528</v>
      </c>
      <c r="B1" s="522"/>
      <c r="C1" s="522"/>
    </row>
    <row r="2" spans="1:5" ht="15.75" x14ac:dyDescent="0.25">
      <c r="A2" s="507" t="s">
        <v>511</v>
      </c>
      <c r="B2" s="449"/>
      <c r="C2" s="449"/>
    </row>
    <row r="4" spans="1:5" ht="15.75" x14ac:dyDescent="0.25">
      <c r="A4" s="523" t="s">
        <v>531</v>
      </c>
      <c r="B4" s="523"/>
      <c r="C4" s="523"/>
      <c r="D4" s="523"/>
      <c r="E4" s="523"/>
    </row>
    <row r="5" spans="1:5" x14ac:dyDescent="0.25">
      <c r="A5" s="571" t="s">
        <v>721</v>
      </c>
    </row>
    <row r="6" spans="1:5" x14ac:dyDescent="0.25">
      <c r="A6" s="571" t="s">
        <v>870</v>
      </c>
    </row>
  </sheetData>
  <sheetProtection algorithmName="SHA-512" hashValue="t8SZRuh9yb3xkLM/WuOsK+1VsgWdD53wD8pSD4gl0/TEV7z/66mLK9MugD7+kyS5SSJzJnelKytbccABfNkSRw==" saltValue="KLsl2F2GYB4CXHgEstm0ng==" spinCount="100000" sheet="1" scenarios="1" formatCells="0" sort="0" autoFilter="0" pivotTables="0"/>
  <hyperlinks>
    <hyperlink ref="A2" location="'Table of Contents'!A1" display="Back to Table of Contents" xr:uid="{00000000-0004-0000-7F00-000000000000}"/>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1B5EB-1E24-4302-9472-41B27FDFCF6C}">
  <dimension ref="B3:H18"/>
  <sheetViews>
    <sheetView workbookViewId="0">
      <selection activeCell="C11" sqref="C11"/>
    </sheetView>
  </sheetViews>
  <sheetFormatPr defaultRowHeight="15" x14ac:dyDescent="0.25"/>
  <cols>
    <col min="2" max="2" width="12.5703125" bestFit="1" customWidth="1"/>
    <col min="3" max="3" width="27" bestFit="1" customWidth="1"/>
    <col min="4" max="4" width="23" bestFit="1" customWidth="1"/>
    <col min="5" max="5" width="16.42578125" bestFit="1" customWidth="1"/>
    <col min="6" max="6" width="11.140625" bestFit="1" customWidth="1"/>
    <col min="7" max="8" width="18.5703125" bestFit="1" customWidth="1"/>
  </cols>
  <sheetData>
    <row r="3" spans="2:8" x14ac:dyDescent="0.25">
      <c r="B3" s="394" t="s">
        <v>231</v>
      </c>
      <c r="C3" t="s">
        <v>936</v>
      </c>
      <c r="D3" t="s">
        <v>937</v>
      </c>
      <c r="E3" t="s">
        <v>938</v>
      </c>
      <c r="F3" t="s">
        <v>1180</v>
      </c>
      <c r="G3" t="s">
        <v>1181</v>
      </c>
      <c r="H3" t="s">
        <v>1213</v>
      </c>
    </row>
    <row r="4" spans="2:8" x14ac:dyDescent="0.25">
      <c r="B4" s="395" t="s">
        <v>923</v>
      </c>
      <c r="C4">
        <v>33998</v>
      </c>
      <c r="D4">
        <v>18732</v>
      </c>
      <c r="E4">
        <v>52730</v>
      </c>
    </row>
    <row r="5" spans="2:8" x14ac:dyDescent="0.25">
      <c r="B5" s="395" t="s">
        <v>309</v>
      </c>
      <c r="C5">
        <v>28846</v>
      </c>
      <c r="D5">
        <v>27699</v>
      </c>
      <c r="E5">
        <v>56545</v>
      </c>
      <c r="H5">
        <v>46395</v>
      </c>
    </row>
    <row r="6" spans="2:8" x14ac:dyDescent="0.25">
      <c r="B6" s="395" t="s">
        <v>193</v>
      </c>
      <c r="C6">
        <v>26013</v>
      </c>
      <c r="D6">
        <v>30238</v>
      </c>
      <c r="E6">
        <v>56251</v>
      </c>
      <c r="H6">
        <v>44122</v>
      </c>
    </row>
    <row r="7" spans="2:8" x14ac:dyDescent="0.25">
      <c r="B7" s="395" t="s">
        <v>192</v>
      </c>
      <c r="C7">
        <v>29576</v>
      </c>
      <c r="D7">
        <v>41472</v>
      </c>
      <c r="E7">
        <v>71048</v>
      </c>
      <c r="F7">
        <v>30359</v>
      </c>
      <c r="G7">
        <v>15805</v>
      </c>
      <c r="H7">
        <v>46164</v>
      </c>
    </row>
    <row r="8" spans="2:8" x14ac:dyDescent="0.25">
      <c r="B8" s="395" t="s">
        <v>191</v>
      </c>
      <c r="C8">
        <v>26986</v>
      </c>
      <c r="D8">
        <v>38729</v>
      </c>
      <c r="E8">
        <v>65715</v>
      </c>
      <c r="F8">
        <v>28032</v>
      </c>
      <c r="G8">
        <v>13800</v>
      </c>
      <c r="H8">
        <v>41832</v>
      </c>
    </row>
    <row r="9" spans="2:8" x14ac:dyDescent="0.25">
      <c r="B9" s="395" t="s">
        <v>190</v>
      </c>
      <c r="C9">
        <v>28338</v>
      </c>
      <c r="D9">
        <v>43379</v>
      </c>
      <c r="E9">
        <v>71717</v>
      </c>
      <c r="F9">
        <v>28897</v>
      </c>
      <c r="G9">
        <v>14813</v>
      </c>
      <c r="H9">
        <v>43710</v>
      </c>
    </row>
    <row r="10" spans="2:8" x14ac:dyDescent="0.25">
      <c r="B10" s="395" t="s">
        <v>257</v>
      </c>
      <c r="C10">
        <v>29016</v>
      </c>
      <c r="D10">
        <v>41785</v>
      </c>
      <c r="E10">
        <v>70801</v>
      </c>
      <c r="F10">
        <v>27955</v>
      </c>
      <c r="G10">
        <v>16366</v>
      </c>
      <c r="H10">
        <v>44321</v>
      </c>
    </row>
    <row r="11" spans="2:8" x14ac:dyDescent="0.25">
      <c r="B11" s="395" t="s">
        <v>240</v>
      </c>
      <c r="C11">
        <v>27754</v>
      </c>
      <c r="D11">
        <v>42077</v>
      </c>
      <c r="E11">
        <v>69831</v>
      </c>
      <c r="F11">
        <v>28114</v>
      </c>
      <c r="G11">
        <v>14271</v>
      </c>
      <c r="H11">
        <v>42385</v>
      </c>
    </row>
    <row r="12" spans="2:8" x14ac:dyDescent="0.25">
      <c r="B12" s="395" t="s">
        <v>239</v>
      </c>
      <c r="C12">
        <v>24462</v>
      </c>
      <c r="D12">
        <v>44740</v>
      </c>
      <c r="E12">
        <v>69202</v>
      </c>
      <c r="F12">
        <v>25645</v>
      </c>
      <c r="G12">
        <v>11904</v>
      </c>
      <c r="H12">
        <v>37549</v>
      </c>
    </row>
    <row r="13" spans="2:8" x14ac:dyDescent="0.25">
      <c r="B13" s="395" t="s">
        <v>760</v>
      </c>
      <c r="C13">
        <v>22292</v>
      </c>
      <c r="D13">
        <v>46945</v>
      </c>
      <c r="E13">
        <v>69237</v>
      </c>
      <c r="F13">
        <v>24016</v>
      </c>
      <c r="G13">
        <v>10594</v>
      </c>
      <c r="H13">
        <v>34610</v>
      </c>
    </row>
    <row r="14" spans="2:8" x14ac:dyDescent="0.25">
      <c r="B14" s="395" t="s">
        <v>917</v>
      </c>
      <c r="C14">
        <v>7679</v>
      </c>
      <c r="D14">
        <v>12319</v>
      </c>
      <c r="E14">
        <v>19998</v>
      </c>
      <c r="F14">
        <v>8696</v>
      </c>
      <c r="G14">
        <v>3839</v>
      </c>
      <c r="H14">
        <v>12535</v>
      </c>
    </row>
    <row r="15" spans="2:8" x14ac:dyDescent="0.25">
      <c r="B15" s="395" t="s">
        <v>1061</v>
      </c>
      <c r="C15">
        <v>6764</v>
      </c>
      <c r="D15">
        <v>31935</v>
      </c>
      <c r="E15">
        <v>38699</v>
      </c>
      <c r="H15">
        <v>15690</v>
      </c>
    </row>
    <row r="16" spans="2:8" x14ac:dyDescent="0.25">
      <c r="B16" s="395" t="s">
        <v>1108</v>
      </c>
      <c r="C16">
        <v>5922</v>
      </c>
      <c r="D16">
        <v>30816</v>
      </c>
      <c r="E16">
        <v>36738</v>
      </c>
      <c r="F16">
        <v>11441</v>
      </c>
      <c r="G16">
        <v>4308</v>
      </c>
      <c r="H16">
        <v>15749</v>
      </c>
    </row>
    <row r="17" spans="2:8" x14ac:dyDescent="0.25">
      <c r="B17" s="395" t="s">
        <v>1010</v>
      </c>
      <c r="C17">
        <v>16504</v>
      </c>
      <c r="D17">
        <v>27692</v>
      </c>
      <c r="E17">
        <v>44196</v>
      </c>
      <c r="H17">
        <v>45586</v>
      </c>
    </row>
    <row r="18" spans="2:8" x14ac:dyDescent="0.25">
      <c r="B18" s="395" t="s">
        <v>236</v>
      </c>
      <c r="C18">
        <v>314150</v>
      </c>
      <c r="D18">
        <v>478558</v>
      </c>
      <c r="E18">
        <v>792708</v>
      </c>
      <c r="F18">
        <v>213155</v>
      </c>
      <c r="G18">
        <v>105700</v>
      </c>
      <c r="H18">
        <v>470648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H23"/>
  <sheetViews>
    <sheetView showGridLines="0" workbookViewId="0">
      <pane ySplit="2" topLeftCell="A3" activePane="bottomLeft" state="frozen"/>
      <selection pane="bottomLeft" sqref="A1:C1"/>
    </sheetView>
  </sheetViews>
  <sheetFormatPr defaultRowHeight="15" x14ac:dyDescent="0.25"/>
  <cols>
    <col min="1" max="1" width="17.140625" customWidth="1"/>
    <col min="2" max="2" width="14.42578125" style="590" customWidth="1"/>
    <col min="3" max="3" width="11.42578125" style="590" customWidth="1"/>
    <col min="4" max="4" width="14.42578125" style="590" customWidth="1"/>
    <col min="5" max="5" width="14.140625" style="590" customWidth="1"/>
    <col min="6" max="6" width="14.42578125" style="590" customWidth="1"/>
  </cols>
  <sheetData>
    <row r="1" spans="1:6" ht="15.75" x14ac:dyDescent="0.25">
      <c r="A1" s="993" t="s">
        <v>523</v>
      </c>
      <c r="B1" s="993"/>
      <c r="C1" s="993"/>
    </row>
    <row r="2" spans="1:6" ht="15.75" x14ac:dyDescent="0.25">
      <c r="A2" s="507" t="s">
        <v>511</v>
      </c>
      <c r="B2" s="591"/>
      <c r="C2" s="591"/>
    </row>
    <row r="4" spans="1:6" ht="15.75" x14ac:dyDescent="0.25">
      <c r="A4" s="994" t="s">
        <v>808</v>
      </c>
      <c r="B4" s="994"/>
      <c r="C4" s="994"/>
      <c r="D4" s="994"/>
      <c r="E4" s="994"/>
      <c r="F4" s="994"/>
    </row>
    <row r="5" spans="1:6" x14ac:dyDescent="0.25">
      <c r="A5" t="s">
        <v>328</v>
      </c>
      <c r="B5" t="s">
        <v>824</v>
      </c>
    </row>
    <row r="6" spans="1:6" x14ac:dyDescent="0.25">
      <c r="A6" t="s">
        <v>329</v>
      </c>
      <c r="B6" s="395" t="s">
        <v>331</v>
      </c>
    </row>
    <row r="7" spans="1:6" x14ac:dyDescent="0.25">
      <c r="A7" t="s">
        <v>330</v>
      </c>
      <c r="B7" s="395" t="s">
        <v>332</v>
      </c>
    </row>
    <row r="8" spans="1:6" ht="15.75" x14ac:dyDescent="0.25">
      <c r="A8" s="582"/>
    </row>
    <row r="9" spans="1:6" x14ac:dyDescent="0.25">
      <c r="A9" s="596" t="s">
        <v>1</v>
      </c>
      <c r="B9" s="597" t="s">
        <v>115</v>
      </c>
      <c r="C9" s="598" t="s">
        <v>785</v>
      </c>
      <c r="D9" s="598" t="s">
        <v>183</v>
      </c>
      <c r="E9" s="599" t="s">
        <v>29</v>
      </c>
      <c r="F9" s="599" t="s">
        <v>26</v>
      </c>
    </row>
    <row r="10" spans="1:6" x14ac:dyDescent="0.25">
      <c r="A10" s="593" t="s">
        <v>257</v>
      </c>
      <c r="B10" s="594">
        <v>116</v>
      </c>
      <c r="C10" s="594">
        <v>1</v>
      </c>
      <c r="D10" s="594">
        <v>311</v>
      </c>
      <c r="E10" s="594">
        <v>43</v>
      </c>
      <c r="F10" s="595">
        <f>SUM(B10:E10)</f>
        <v>471</v>
      </c>
    </row>
    <row r="11" spans="1:6" x14ac:dyDescent="0.25">
      <c r="A11" s="593" t="s">
        <v>240</v>
      </c>
      <c r="B11" s="594">
        <v>116</v>
      </c>
      <c r="C11" s="594">
        <v>1</v>
      </c>
      <c r="D11" s="594">
        <v>311</v>
      </c>
      <c r="E11" s="594">
        <v>43</v>
      </c>
      <c r="F11" s="595">
        <f t="shared" ref="F11:F14" si="0">SUM(B11:E11)</f>
        <v>471</v>
      </c>
    </row>
    <row r="12" spans="1:6" x14ac:dyDescent="0.25">
      <c r="A12" s="593" t="s">
        <v>239</v>
      </c>
      <c r="B12" s="594">
        <v>116</v>
      </c>
      <c r="C12" s="594">
        <v>1</v>
      </c>
      <c r="D12" s="594">
        <v>311</v>
      </c>
      <c r="E12" s="594">
        <v>43</v>
      </c>
      <c r="F12" s="595">
        <f t="shared" si="0"/>
        <v>471</v>
      </c>
    </row>
    <row r="13" spans="1:6" x14ac:dyDescent="0.25">
      <c r="A13" s="593" t="s">
        <v>760</v>
      </c>
      <c r="B13" s="594">
        <v>116</v>
      </c>
      <c r="C13" s="594">
        <v>1</v>
      </c>
      <c r="D13" s="594">
        <v>311</v>
      </c>
      <c r="E13" s="594">
        <v>43</v>
      </c>
      <c r="F13" s="595">
        <f t="shared" ref="F13" si="1">SUM(B13:E13)</f>
        <v>471</v>
      </c>
    </row>
    <row r="14" spans="1:6" x14ac:dyDescent="0.25">
      <c r="A14" s="176" t="s">
        <v>917</v>
      </c>
      <c r="B14" s="142">
        <v>116</v>
      </c>
      <c r="C14" s="142">
        <v>1</v>
      </c>
      <c r="D14" s="142">
        <v>311</v>
      </c>
      <c r="E14" s="142">
        <v>43</v>
      </c>
      <c r="F14" s="107">
        <f t="shared" si="0"/>
        <v>471</v>
      </c>
    </row>
    <row r="15" spans="1:6" x14ac:dyDescent="0.25">
      <c r="A15" s="176" t="s">
        <v>1010</v>
      </c>
      <c r="B15" s="142">
        <v>116</v>
      </c>
      <c r="C15" s="142">
        <v>1</v>
      </c>
      <c r="D15" s="142">
        <v>311</v>
      </c>
      <c r="E15" s="142">
        <v>43</v>
      </c>
      <c r="F15" s="107">
        <f t="shared" ref="F15" si="2">SUM(B15:E15)</f>
        <v>471</v>
      </c>
    </row>
    <row r="16" spans="1:6" x14ac:dyDescent="0.25">
      <c r="A16" s="176" t="s">
        <v>1061</v>
      </c>
      <c r="B16" s="142">
        <v>116</v>
      </c>
      <c r="C16" s="142">
        <v>1</v>
      </c>
      <c r="D16" s="142">
        <v>311</v>
      </c>
      <c r="E16" s="142">
        <v>43</v>
      </c>
      <c r="F16" s="107">
        <f t="shared" ref="F16" si="3">SUM(B16:E16)</f>
        <v>471</v>
      </c>
    </row>
    <row r="17" spans="1:8" ht="15.75" thickBot="1" x14ac:dyDescent="0.3">
      <c r="A17" s="184" t="s">
        <v>1108</v>
      </c>
      <c r="B17" s="190">
        <v>116</v>
      </c>
      <c r="C17" s="190">
        <v>1</v>
      </c>
      <c r="D17" s="190">
        <v>311</v>
      </c>
      <c r="E17" s="190">
        <v>42</v>
      </c>
      <c r="F17" s="589">
        <f t="shared" ref="F17" si="4">SUM(B17:E17)</f>
        <v>470</v>
      </c>
    </row>
    <row r="18" spans="1:8" x14ac:dyDescent="0.25">
      <c r="A18" s="176"/>
      <c r="B18" s="142"/>
      <c r="C18" s="142"/>
      <c r="D18" s="142"/>
      <c r="E18" s="142"/>
      <c r="F18" s="107"/>
    </row>
    <row r="19" spans="1:8" x14ac:dyDescent="0.25">
      <c r="A19" s="339" t="s">
        <v>8</v>
      </c>
      <c r="B19" s="592"/>
      <c r="C19" s="592"/>
      <c r="D19" s="592"/>
      <c r="E19" s="592"/>
      <c r="F19" s="592"/>
      <c r="G19" s="317"/>
      <c r="H19" s="317"/>
    </row>
    <row r="20" spans="1:8" ht="15" customHeight="1" x14ac:dyDescent="0.25">
      <c r="A20" t="s">
        <v>816</v>
      </c>
      <c r="B20" s="592"/>
      <c r="C20" s="592"/>
      <c r="D20" s="592"/>
      <c r="E20" s="592"/>
      <c r="F20" s="592"/>
      <c r="G20" s="317"/>
      <c r="H20" s="317"/>
    </row>
    <row r="21" spans="1:8" ht="15" customHeight="1" x14ac:dyDescent="0.25">
      <c r="A21" t="s">
        <v>1259</v>
      </c>
      <c r="B21" s="592"/>
      <c r="C21" s="592"/>
      <c r="D21" s="592"/>
      <c r="E21" s="592"/>
      <c r="F21" s="592"/>
      <c r="G21" s="317"/>
      <c r="H21" s="317"/>
    </row>
    <row r="22" spans="1:8" x14ac:dyDescent="0.25">
      <c r="A22" t="s">
        <v>1260</v>
      </c>
      <c r="B22"/>
      <c r="C22"/>
      <c r="D22"/>
      <c r="E22"/>
      <c r="F22"/>
    </row>
    <row r="23" spans="1:8" x14ac:dyDescent="0.25">
      <c r="A23" t="s">
        <v>1261</v>
      </c>
    </row>
  </sheetData>
  <sheetProtection algorithmName="SHA-512" hashValue="lD0/cAcuR08fZ3PPOsGNPsOL1US81eQfljTwb2HwDQfiD+ShNTfRgr7YzTKMq9kP21QiSn48NCyJBCmC8uTKAA==" saltValue="7RDokORHkuM3mxKnxYOraw==" spinCount="100000" sheet="1" scenarios="1" formatCells="0" sort="0" autoFilter="0" pivotTables="0"/>
  <mergeCells count="2">
    <mergeCell ref="A1:C1"/>
    <mergeCell ref="A4:F4"/>
  </mergeCells>
  <phoneticPr fontId="53" type="noConversion"/>
  <hyperlinks>
    <hyperlink ref="A2" location="'Table of Contents'!A1" display="Back to Table of Contents" xr:uid="{00000000-0004-0000-0D00-000000000000}"/>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E67B-0033-483E-811F-6D3CAD72BC28}">
  <dimension ref="A1:G15"/>
  <sheetViews>
    <sheetView workbookViewId="0">
      <selection activeCell="C13" sqref="C13"/>
    </sheetView>
  </sheetViews>
  <sheetFormatPr defaultRowHeight="15" x14ac:dyDescent="0.25"/>
  <cols>
    <col min="1" max="1" width="7.42578125" bestFit="1" customWidth="1"/>
    <col min="2" max="2" width="22.85546875" bestFit="1" customWidth="1"/>
    <col min="3" max="3" width="18.85546875" bestFit="1" customWidth="1"/>
    <col min="4" max="4" width="12.28515625" bestFit="1" customWidth="1"/>
    <col min="5" max="5" width="14.28515625" bestFit="1" customWidth="1"/>
    <col min="6" max="6" width="7.140625" bestFit="1" customWidth="1"/>
    <col min="7" max="7" width="14.42578125" bestFit="1" customWidth="1"/>
  </cols>
  <sheetData>
    <row r="1" spans="1:7" x14ac:dyDescent="0.25">
      <c r="A1" t="s">
        <v>1</v>
      </c>
      <c r="B1" t="s">
        <v>439</v>
      </c>
      <c r="C1" t="s">
        <v>127</v>
      </c>
      <c r="D1" t="s">
        <v>123</v>
      </c>
      <c r="E1" t="s">
        <v>1212</v>
      </c>
      <c r="F1" t="s">
        <v>124</v>
      </c>
      <c r="G1" t="s">
        <v>125</v>
      </c>
    </row>
    <row r="2" spans="1:7" x14ac:dyDescent="0.25">
      <c r="A2" t="s">
        <v>923</v>
      </c>
      <c r="B2">
        <v>33998</v>
      </c>
      <c r="C2">
        <v>18732</v>
      </c>
      <c r="D2">
        <v>52730</v>
      </c>
    </row>
    <row r="3" spans="1:7" x14ac:dyDescent="0.25">
      <c r="A3" t="s">
        <v>309</v>
      </c>
      <c r="B3">
        <v>28846</v>
      </c>
      <c r="C3">
        <v>27699</v>
      </c>
      <c r="D3">
        <v>56545</v>
      </c>
      <c r="E3">
        <v>46395</v>
      </c>
    </row>
    <row r="4" spans="1:7" x14ac:dyDescent="0.25">
      <c r="A4" t="s">
        <v>193</v>
      </c>
      <c r="B4">
        <v>26013</v>
      </c>
      <c r="C4">
        <v>30238</v>
      </c>
      <c r="D4">
        <v>56251</v>
      </c>
      <c r="E4">
        <v>44122</v>
      </c>
    </row>
    <row r="5" spans="1:7" x14ac:dyDescent="0.25">
      <c r="A5" t="s">
        <v>192</v>
      </c>
      <c r="B5">
        <v>29576</v>
      </c>
      <c r="C5">
        <v>41472</v>
      </c>
      <c r="D5">
        <v>71048</v>
      </c>
      <c r="E5">
        <v>46164</v>
      </c>
      <c r="F5">
        <v>30359</v>
      </c>
      <c r="G5">
        <v>15805</v>
      </c>
    </row>
    <row r="6" spans="1:7" x14ac:dyDescent="0.25">
      <c r="A6" t="s">
        <v>191</v>
      </c>
      <c r="B6">
        <v>26986</v>
      </c>
      <c r="C6">
        <v>38729</v>
      </c>
      <c r="D6">
        <v>65715</v>
      </c>
      <c r="E6">
        <v>41832</v>
      </c>
      <c r="F6">
        <v>28032</v>
      </c>
      <c r="G6">
        <v>13800</v>
      </c>
    </row>
    <row r="7" spans="1:7" x14ac:dyDescent="0.25">
      <c r="A7" t="s">
        <v>190</v>
      </c>
      <c r="B7">
        <v>28338</v>
      </c>
      <c r="C7">
        <v>43379</v>
      </c>
      <c r="D7">
        <v>71717</v>
      </c>
      <c r="E7">
        <v>43710</v>
      </c>
      <c r="F7">
        <v>28897</v>
      </c>
      <c r="G7">
        <v>14813</v>
      </c>
    </row>
    <row r="8" spans="1:7" x14ac:dyDescent="0.25">
      <c r="A8" t="s">
        <v>257</v>
      </c>
      <c r="B8">
        <v>29016</v>
      </c>
      <c r="C8">
        <v>41785</v>
      </c>
      <c r="D8">
        <v>70801</v>
      </c>
      <c r="E8">
        <v>44321</v>
      </c>
      <c r="F8">
        <v>27955</v>
      </c>
      <c r="G8">
        <v>16366</v>
      </c>
    </row>
    <row r="9" spans="1:7" x14ac:dyDescent="0.25">
      <c r="A9" t="s">
        <v>240</v>
      </c>
      <c r="B9">
        <v>27754</v>
      </c>
      <c r="C9">
        <v>42077</v>
      </c>
      <c r="D9">
        <v>69831</v>
      </c>
      <c r="E9">
        <v>42385</v>
      </c>
      <c r="F9">
        <v>28114</v>
      </c>
      <c r="G9">
        <v>14271</v>
      </c>
    </row>
    <row r="10" spans="1:7" x14ac:dyDescent="0.25">
      <c r="A10" t="s">
        <v>239</v>
      </c>
      <c r="B10">
        <v>24462</v>
      </c>
      <c r="C10">
        <v>44740</v>
      </c>
      <c r="D10">
        <v>69202</v>
      </c>
      <c r="E10">
        <v>37549</v>
      </c>
      <c r="F10">
        <v>25645</v>
      </c>
      <c r="G10">
        <v>11904</v>
      </c>
    </row>
    <row r="11" spans="1:7" x14ac:dyDescent="0.25">
      <c r="A11" t="s">
        <v>760</v>
      </c>
      <c r="B11">
        <v>22292</v>
      </c>
      <c r="C11">
        <v>46945</v>
      </c>
      <c r="D11">
        <v>69237</v>
      </c>
      <c r="E11">
        <v>34610</v>
      </c>
      <c r="F11">
        <v>24016</v>
      </c>
      <c r="G11">
        <v>10594</v>
      </c>
    </row>
    <row r="12" spans="1:7" x14ac:dyDescent="0.25">
      <c r="A12" t="s">
        <v>917</v>
      </c>
      <c r="B12">
        <v>7679</v>
      </c>
      <c r="C12">
        <v>12319</v>
      </c>
      <c r="D12">
        <v>19998</v>
      </c>
      <c r="E12">
        <v>12535</v>
      </c>
      <c r="F12">
        <v>8696</v>
      </c>
      <c r="G12">
        <v>3839</v>
      </c>
    </row>
    <row r="13" spans="1:7" x14ac:dyDescent="0.25">
      <c r="A13" t="s">
        <v>1010</v>
      </c>
      <c r="B13">
        <v>16504</v>
      </c>
      <c r="C13">
        <v>27692</v>
      </c>
      <c r="D13">
        <v>44196</v>
      </c>
      <c r="E13">
        <v>45586</v>
      </c>
    </row>
    <row r="14" spans="1:7" x14ac:dyDescent="0.25">
      <c r="A14" t="s">
        <v>1061</v>
      </c>
      <c r="B14">
        <v>6764</v>
      </c>
      <c r="C14">
        <v>31935</v>
      </c>
      <c r="D14">
        <v>38699</v>
      </c>
      <c r="E14">
        <v>15690</v>
      </c>
    </row>
    <row r="15" spans="1:7" x14ac:dyDescent="0.25">
      <c r="A15" t="s">
        <v>1108</v>
      </c>
      <c r="B15">
        <v>5922</v>
      </c>
      <c r="C15">
        <v>30816</v>
      </c>
      <c r="D15">
        <v>36738</v>
      </c>
      <c r="E15">
        <v>15749</v>
      </c>
      <c r="F15">
        <v>11441</v>
      </c>
      <c r="G15">
        <v>4308</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2C371-7B96-4616-A0A7-C2E280814A85}">
  <dimension ref="A1:K30"/>
  <sheetViews>
    <sheetView workbookViewId="0">
      <selection activeCell="K16" sqref="K16"/>
    </sheetView>
  </sheetViews>
  <sheetFormatPr defaultRowHeight="15" x14ac:dyDescent="0.25"/>
  <cols>
    <col min="1" max="1" width="9.140625" bestFit="1" customWidth="1"/>
    <col min="2" max="2" width="6.85546875" bestFit="1" customWidth="1"/>
    <col min="3" max="3" width="12.85546875" bestFit="1" customWidth="1"/>
    <col min="10" max="10" width="12.42578125" bestFit="1" customWidth="1"/>
    <col min="11" max="12" width="17.140625" bestFit="1" customWidth="1"/>
  </cols>
  <sheetData>
    <row r="1" spans="1:11" x14ac:dyDescent="0.25">
      <c r="A1" t="s">
        <v>814</v>
      </c>
      <c r="B1" t="s">
        <v>1</v>
      </c>
      <c r="C1" t="s">
        <v>434</v>
      </c>
    </row>
    <row r="2" spans="1:11" x14ac:dyDescent="0.25">
      <c r="A2" t="s">
        <v>244</v>
      </c>
      <c r="B2">
        <v>1991</v>
      </c>
      <c r="C2">
        <v>2042809</v>
      </c>
    </row>
    <row r="3" spans="1:11" x14ac:dyDescent="0.25">
      <c r="A3" t="s">
        <v>244</v>
      </c>
      <c r="B3">
        <v>2001</v>
      </c>
      <c r="C3">
        <v>2194564</v>
      </c>
    </row>
    <row r="4" spans="1:11" x14ac:dyDescent="0.25">
      <c r="A4" t="s">
        <v>244</v>
      </c>
      <c r="B4">
        <v>2002</v>
      </c>
      <c r="C4">
        <v>2211430</v>
      </c>
    </row>
    <row r="5" spans="1:11" x14ac:dyDescent="0.25">
      <c r="A5" t="s">
        <v>244</v>
      </c>
      <c r="B5">
        <v>2003</v>
      </c>
      <c r="C5">
        <v>2230797</v>
      </c>
      <c r="J5" s="394" t="s">
        <v>231</v>
      </c>
      <c r="K5" t="s">
        <v>421</v>
      </c>
    </row>
    <row r="6" spans="1:11" x14ac:dyDescent="0.25">
      <c r="A6" t="s">
        <v>244</v>
      </c>
      <c r="B6">
        <v>2004</v>
      </c>
      <c r="C6">
        <v>2251262</v>
      </c>
      <c r="J6" s="395">
        <v>1991</v>
      </c>
      <c r="K6">
        <v>2042809</v>
      </c>
    </row>
    <row r="7" spans="1:11" x14ac:dyDescent="0.25">
      <c r="A7" t="s">
        <v>244</v>
      </c>
      <c r="B7">
        <v>2005</v>
      </c>
      <c r="C7">
        <v>2274283</v>
      </c>
      <c r="J7" s="395">
        <v>2001</v>
      </c>
      <c r="K7">
        <v>2194564</v>
      </c>
    </row>
    <row r="8" spans="1:11" x14ac:dyDescent="0.25">
      <c r="A8" t="s">
        <v>244</v>
      </c>
      <c r="B8">
        <v>2006</v>
      </c>
      <c r="C8">
        <v>2295185</v>
      </c>
      <c r="J8" s="395">
        <v>2002</v>
      </c>
      <c r="K8">
        <v>2211430</v>
      </c>
    </row>
    <row r="9" spans="1:11" x14ac:dyDescent="0.25">
      <c r="A9" t="s">
        <v>244</v>
      </c>
      <c r="B9">
        <v>2007</v>
      </c>
      <c r="C9">
        <v>2318966</v>
      </c>
      <c r="J9" s="395">
        <v>2003</v>
      </c>
      <c r="K9">
        <v>2230797</v>
      </c>
    </row>
    <row r="10" spans="1:11" x14ac:dyDescent="0.25">
      <c r="A10" t="s">
        <v>244</v>
      </c>
      <c r="B10">
        <v>2008</v>
      </c>
      <c r="C10">
        <v>2337967</v>
      </c>
      <c r="J10" s="395">
        <v>2004</v>
      </c>
      <c r="K10">
        <v>2251262</v>
      </c>
    </row>
    <row r="11" spans="1:11" x14ac:dyDescent="0.25">
      <c r="A11" t="s">
        <v>244</v>
      </c>
      <c r="B11">
        <v>2009</v>
      </c>
      <c r="C11">
        <v>2351780</v>
      </c>
      <c r="J11" s="395">
        <v>2005</v>
      </c>
      <c r="K11">
        <v>2274283</v>
      </c>
    </row>
    <row r="12" spans="1:11" x14ac:dyDescent="0.25">
      <c r="A12" t="s">
        <v>244</v>
      </c>
      <c r="B12">
        <v>2010</v>
      </c>
      <c r="C12">
        <v>2364850</v>
      </c>
      <c r="J12" s="395">
        <v>2006</v>
      </c>
      <c r="K12">
        <v>2295185</v>
      </c>
    </row>
    <row r="13" spans="1:11" x14ac:dyDescent="0.25">
      <c r="A13" t="s">
        <v>244</v>
      </c>
      <c r="B13">
        <v>2011</v>
      </c>
      <c r="C13">
        <v>2376424</v>
      </c>
      <c r="J13" s="395">
        <v>2007</v>
      </c>
      <c r="K13">
        <v>2318966</v>
      </c>
    </row>
    <row r="14" spans="1:11" x14ac:dyDescent="0.25">
      <c r="A14" t="s">
        <v>244</v>
      </c>
      <c r="B14">
        <v>2012</v>
      </c>
      <c r="C14">
        <v>2386660</v>
      </c>
      <c r="J14" s="395">
        <v>2008</v>
      </c>
      <c r="K14">
        <v>2337967</v>
      </c>
    </row>
    <row r="15" spans="1:11" x14ac:dyDescent="0.25">
      <c r="A15" t="s">
        <v>244</v>
      </c>
      <c r="B15">
        <v>2013</v>
      </c>
      <c r="C15">
        <v>2400342</v>
      </c>
      <c r="J15" s="395">
        <v>2009</v>
      </c>
      <c r="K15">
        <v>2351780</v>
      </c>
    </row>
    <row r="16" spans="1:11" x14ac:dyDescent="0.25">
      <c r="A16" t="s">
        <v>244</v>
      </c>
      <c r="B16">
        <v>2014</v>
      </c>
      <c r="C16">
        <v>2416014</v>
      </c>
      <c r="J16" s="395">
        <v>2010</v>
      </c>
      <c r="K16">
        <v>2364850</v>
      </c>
    </row>
    <row r="17" spans="1:11" x14ac:dyDescent="0.25">
      <c r="A17" t="s">
        <v>244</v>
      </c>
      <c r="B17">
        <v>2015</v>
      </c>
      <c r="C17">
        <v>2429943</v>
      </c>
      <c r="J17" s="395">
        <v>2011</v>
      </c>
      <c r="K17">
        <v>2376424</v>
      </c>
    </row>
    <row r="18" spans="1:11" x14ac:dyDescent="0.25">
      <c r="A18" t="s">
        <v>244</v>
      </c>
      <c r="B18">
        <v>2016</v>
      </c>
      <c r="C18">
        <v>2446171</v>
      </c>
      <c r="J18" s="395">
        <v>2012</v>
      </c>
      <c r="K18">
        <v>2386660</v>
      </c>
    </row>
    <row r="19" spans="1:11" x14ac:dyDescent="0.25">
      <c r="A19" t="s">
        <v>244</v>
      </c>
      <c r="B19">
        <v>2017</v>
      </c>
      <c r="C19">
        <v>2462736</v>
      </c>
      <c r="J19" s="395">
        <v>2013</v>
      </c>
      <c r="K19">
        <v>2400342</v>
      </c>
    </row>
    <row r="20" spans="1:11" x14ac:dyDescent="0.25">
      <c r="A20" t="s">
        <v>244</v>
      </c>
      <c r="B20">
        <v>2018</v>
      </c>
      <c r="C20">
        <v>2477275</v>
      </c>
      <c r="J20" s="395">
        <v>2014</v>
      </c>
      <c r="K20">
        <v>2416014</v>
      </c>
    </row>
    <row r="21" spans="1:11" x14ac:dyDescent="0.25">
      <c r="A21" t="s">
        <v>244</v>
      </c>
      <c r="B21">
        <v>2019</v>
      </c>
      <c r="C21">
        <v>2495623</v>
      </c>
      <c r="J21" s="395">
        <v>2015</v>
      </c>
      <c r="K21">
        <v>2429943</v>
      </c>
    </row>
    <row r="22" spans="1:11" x14ac:dyDescent="0.25">
      <c r="A22" t="s">
        <v>244</v>
      </c>
      <c r="B22">
        <v>2020</v>
      </c>
      <c r="C22">
        <v>2507625</v>
      </c>
      <c r="J22" s="395">
        <v>2016</v>
      </c>
      <c r="K22">
        <v>2446171</v>
      </c>
    </row>
    <row r="23" spans="1:11" x14ac:dyDescent="0.25">
      <c r="A23" t="s">
        <v>244</v>
      </c>
      <c r="B23">
        <v>2021</v>
      </c>
      <c r="C23">
        <v>2528823</v>
      </c>
      <c r="J23" s="395">
        <v>2017</v>
      </c>
      <c r="K23">
        <v>2462736</v>
      </c>
    </row>
    <row r="24" spans="1:11" x14ac:dyDescent="0.25">
      <c r="A24" t="s">
        <v>244</v>
      </c>
      <c r="B24">
        <v>2022</v>
      </c>
      <c r="C24">
        <v>2549797</v>
      </c>
      <c r="J24" s="395">
        <v>2018</v>
      </c>
      <c r="K24">
        <v>2477275</v>
      </c>
    </row>
    <row r="25" spans="1:11" x14ac:dyDescent="0.25">
      <c r="A25" t="s">
        <v>244</v>
      </c>
      <c r="B25">
        <v>2023</v>
      </c>
      <c r="C25">
        <v>2535310</v>
      </c>
      <c r="J25" s="395">
        <v>2019</v>
      </c>
      <c r="K25">
        <v>2495623</v>
      </c>
    </row>
    <row r="26" spans="1:11" x14ac:dyDescent="0.25">
      <c r="J26" s="395">
        <v>2020</v>
      </c>
      <c r="K26">
        <v>2507625</v>
      </c>
    </row>
    <row r="27" spans="1:11" x14ac:dyDescent="0.25">
      <c r="J27" s="395">
        <v>2021</v>
      </c>
      <c r="K27">
        <v>2528823</v>
      </c>
    </row>
    <row r="28" spans="1:11" x14ac:dyDescent="0.25">
      <c r="J28" s="395">
        <v>2022</v>
      </c>
      <c r="K28">
        <v>2549797</v>
      </c>
    </row>
    <row r="29" spans="1:11" x14ac:dyDescent="0.25">
      <c r="J29" s="395">
        <v>2023</v>
      </c>
      <c r="K29">
        <v>2535310</v>
      </c>
    </row>
    <row r="30" spans="1:11" x14ac:dyDescent="0.25">
      <c r="J30" s="395" t="s">
        <v>236</v>
      </c>
      <c r="K30">
        <v>56886636</v>
      </c>
    </row>
  </sheetData>
  <pageMargins left="0.7" right="0.7" top="0.75" bottom="0.75" header="0.3" footer="0.3"/>
  <tableParts count="1">
    <tablePart r:id="rId2"/>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27">
    <tabColor theme="7" tint="-0.249977111117893"/>
    <pageSetUpPr fitToPage="1"/>
  </sheetPr>
  <dimension ref="A1:K100"/>
  <sheetViews>
    <sheetView showGridLines="0" zoomScaleNormal="100" workbookViewId="0">
      <pane ySplit="2" topLeftCell="A3" activePane="bottomLeft" state="frozen"/>
      <selection pane="bottomLeft"/>
    </sheetView>
  </sheetViews>
  <sheetFormatPr defaultRowHeight="15" x14ac:dyDescent="0.25"/>
  <cols>
    <col min="1" max="1" width="33.5703125" customWidth="1"/>
    <col min="2" max="2" width="20.5703125" bestFit="1" customWidth="1"/>
    <col min="3" max="3" width="19.42578125" customWidth="1"/>
    <col min="4" max="4" width="11.42578125" customWidth="1"/>
    <col min="5" max="5" width="31.7109375" bestFit="1" customWidth="1"/>
    <col min="6" max="6" width="13.140625" customWidth="1"/>
    <col min="7" max="7" width="23.28515625" customWidth="1"/>
    <col min="8" max="8" width="9.140625" style="378"/>
    <col min="12" max="12" width="16.140625" bestFit="1" customWidth="1"/>
    <col min="13" max="13" width="14.7109375" bestFit="1" customWidth="1"/>
  </cols>
  <sheetData>
    <row r="1" spans="1:8" ht="15.75" x14ac:dyDescent="0.25">
      <c r="A1" s="522" t="s">
        <v>533</v>
      </c>
    </row>
    <row r="2" spans="1:8" x14ac:dyDescent="0.25">
      <c r="A2" s="507" t="s">
        <v>511</v>
      </c>
    </row>
    <row r="3" spans="1:8" x14ac:dyDescent="0.25">
      <c r="A3" s="25"/>
      <c r="B3" s="25"/>
      <c r="C3" s="25"/>
      <c r="D3" s="25"/>
      <c r="E3" s="25"/>
      <c r="F3" s="25"/>
      <c r="G3" s="25"/>
    </row>
    <row r="4" spans="1:8" ht="15.75" customHeight="1" x14ac:dyDescent="0.25">
      <c r="A4" s="434" t="s">
        <v>1219</v>
      </c>
      <c r="B4" s="434"/>
      <c r="C4" s="434"/>
      <c r="D4" s="434"/>
      <c r="E4" s="434"/>
      <c r="F4" s="434"/>
      <c r="G4" s="434"/>
    </row>
    <row r="5" spans="1:8" ht="15.75" customHeight="1" x14ac:dyDescent="0.25">
      <c r="A5" t="s">
        <v>328</v>
      </c>
      <c r="B5" t="s">
        <v>694</v>
      </c>
      <c r="C5" s="234"/>
      <c r="D5" s="234"/>
      <c r="E5" s="234"/>
      <c r="F5" s="234"/>
      <c r="G5" s="234"/>
    </row>
    <row r="6" spans="1:8" ht="15.75" customHeight="1" x14ac:dyDescent="0.25">
      <c r="A6" t="s">
        <v>329</v>
      </c>
      <c r="B6" t="s">
        <v>331</v>
      </c>
      <c r="C6" s="234"/>
      <c r="D6" s="234"/>
      <c r="E6" s="234"/>
      <c r="G6" s="234"/>
    </row>
    <row r="7" spans="1:8" ht="15.75" customHeight="1" x14ac:dyDescent="0.25">
      <c r="A7" t="s">
        <v>330</v>
      </c>
      <c r="B7" t="s">
        <v>534</v>
      </c>
      <c r="C7" s="234"/>
      <c r="D7" s="234"/>
      <c r="E7" s="234"/>
      <c r="F7" s="234"/>
      <c r="G7" s="234"/>
    </row>
    <row r="8" spans="1:8" ht="15.6" customHeight="1" x14ac:dyDescent="0.25">
      <c r="A8" s="25"/>
      <c r="B8" s="25"/>
      <c r="C8" s="25"/>
      <c r="D8" s="25"/>
      <c r="E8" s="25"/>
      <c r="F8" s="1037" t="s">
        <v>1218</v>
      </c>
      <c r="G8" s="1037"/>
    </row>
    <row r="9" spans="1:8" s="468" customFormat="1" ht="30" x14ac:dyDescent="0.25">
      <c r="A9" s="609" t="s">
        <v>1</v>
      </c>
      <c r="B9" s="504" t="s">
        <v>1216</v>
      </c>
      <c r="C9" s="504" t="s">
        <v>127</v>
      </c>
      <c r="D9" s="504" t="s">
        <v>123</v>
      </c>
      <c r="E9" s="504" t="s">
        <v>1217</v>
      </c>
      <c r="F9" s="657" t="s">
        <v>124</v>
      </c>
      <c r="G9" s="657" t="s">
        <v>125</v>
      </c>
    </row>
    <row r="10" spans="1:8" x14ac:dyDescent="0.25">
      <c r="A10" s="606" t="s">
        <v>923</v>
      </c>
      <c r="B10" s="614">
        <f>GETPIVOTDATA("Sum of HFSV - alarms installed",HFSVPivot!$B$3,"Year",Table_s_srs_v01_pds_RAP_HFSV_Outcome[[#This Row],[Year]])</f>
        <v>33998</v>
      </c>
      <c r="C10" s="614">
        <f>GETPIVOTDATA("Sum of HFSV - advice only",HFSVPivot!$B$3,"Year",Table_s_srs_v01_pds_RAP_HFSV_Outcome[[#This Row],[Year]])</f>
        <v>18732</v>
      </c>
      <c r="D10" s="615">
        <f>GETPIVOTDATA("Sum of Total HFSV",HFSVPivot!$B$3,"Year",Table_s_srs_v01_pds_RAP_HFSV_Outcome[[#This Row],[Year]])</f>
        <v>52730</v>
      </c>
      <c r="E10" s="719"/>
      <c r="F10" s="735"/>
      <c r="G10" s="719"/>
      <c r="H10"/>
    </row>
    <row r="11" spans="1:8" x14ac:dyDescent="0.25">
      <c r="A11" s="606" t="s">
        <v>309</v>
      </c>
      <c r="B11" s="614">
        <f>GETPIVOTDATA("Sum of HFSV - alarms installed",HFSVPivot!$B$3,"Year",Table_s_srs_v01_pds_RAP_HFSV_Outcome[[#This Row],[Year]])</f>
        <v>28846</v>
      </c>
      <c r="C11" s="614">
        <f>GETPIVOTDATA("Sum of HFSV - advice only",HFSVPivot!$B$3,"Year",Table_s_srs_v01_pds_RAP_HFSV_Outcome[[#This Row],[Year]])</f>
        <v>27699</v>
      </c>
      <c r="D11" s="615">
        <f>GETPIVOTDATA("Sum of Total HFSV",HFSVPivot!$B$3,"Year",Table_s_srs_v01_pds_RAP_HFSV_Outcome[[#This Row],[Year]])</f>
        <v>56545</v>
      </c>
      <c r="E11" s="614">
        <f>GETPIVOTDATA("Sum of Total_Alarms",HFSVPivot!$B$3,"Year",Table_s_srs_v01_pds_RAP_HFSV_Outcome[[#This Row],[Year]])</f>
        <v>46395</v>
      </c>
      <c r="F11" s="735"/>
      <c r="G11" s="719"/>
      <c r="H11"/>
    </row>
    <row r="12" spans="1:8" x14ac:dyDescent="0.25">
      <c r="A12" s="606" t="s">
        <v>193</v>
      </c>
      <c r="B12" s="614">
        <f>GETPIVOTDATA("Sum of HFSV - alarms installed",HFSVPivot!$B$3,"Year",Table_s_srs_v01_pds_RAP_HFSV_Outcome[[#This Row],[Year]])</f>
        <v>26013</v>
      </c>
      <c r="C12" s="614">
        <f>GETPIVOTDATA("Sum of HFSV - advice only",HFSVPivot!$B$3,"Year",Table_s_srs_v01_pds_RAP_HFSV_Outcome[[#This Row],[Year]])</f>
        <v>30238</v>
      </c>
      <c r="D12" s="615">
        <f>GETPIVOTDATA("Sum of Total HFSV",HFSVPivot!$B$3,"Year",Table_s_srs_v01_pds_RAP_HFSV_Outcome[[#This Row],[Year]])</f>
        <v>56251</v>
      </c>
      <c r="E12" s="614">
        <f>GETPIVOTDATA("Sum of Total_Alarms",HFSVPivot!$B$3,"Year",Table_s_srs_v01_pds_RAP_HFSV_Outcome[[#This Row],[Year]])</f>
        <v>44122</v>
      </c>
      <c r="F12" s="735"/>
      <c r="G12" s="719"/>
      <c r="H12"/>
    </row>
    <row r="13" spans="1:8" x14ac:dyDescent="0.25">
      <c r="A13" s="606" t="s">
        <v>192</v>
      </c>
      <c r="B13" s="614">
        <f>GETPIVOTDATA("Sum of HFSV - alarms installed",HFSVPivot!$B$3,"Year",Table_s_srs_v01_pds_RAP_HFSV_Outcome[[#This Row],[Year]])</f>
        <v>29576</v>
      </c>
      <c r="C13" s="614">
        <f>GETPIVOTDATA("Sum of HFSV - advice only",HFSVPivot!$B$3,"Year",Table_s_srs_v01_pds_RAP_HFSV_Outcome[[#This Row],[Year]])</f>
        <v>41472</v>
      </c>
      <c r="D13" s="615">
        <f>GETPIVOTDATA("Sum of Total HFSV",HFSVPivot!$B$3,"Year",Table_s_srs_v01_pds_RAP_HFSV_Outcome[[#This Row],[Year]])</f>
        <v>71048</v>
      </c>
      <c r="E13" s="614">
        <f>GETPIVOTDATA("Sum of Total_Alarms",HFSVPivot!$B$3,"Year",Table_s_srs_v01_pds_RAP_HFSV_Outcome[[#This Row],[Year]])</f>
        <v>46164</v>
      </c>
      <c r="F13" s="623">
        <f>GETPIVOTDATA("Sum of New",HFSVPivot!$B$3,"Year",Table_s_srs_v01_pds_RAP_HFSV_Outcome[[#This Row],[Year]])</f>
        <v>30359</v>
      </c>
      <c r="G13" s="614">
        <f>GETPIVOTDATA("Sum of Replacement",HFSVPivot!$B$3,"Year",Table_s_srs_v01_pds_RAP_HFSV_Outcome[[#This Row],[Year]])</f>
        <v>15805</v>
      </c>
      <c r="H13"/>
    </row>
    <row r="14" spans="1:8" x14ac:dyDescent="0.25">
      <c r="A14" s="606" t="s">
        <v>191</v>
      </c>
      <c r="B14" s="614">
        <f>GETPIVOTDATA("Sum of HFSV - alarms installed",HFSVPivot!$B$3,"Year",Table_s_srs_v01_pds_RAP_HFSV_Outcome[[#This Row],[Year]])</f>
        <v>26986</v>
      </c>
      <c r="C14" s="614">
        <f>GETPIVOTDATA("Sum of HFSV - advice only",HFSVPivot!$B$3,"Year",Table_s_srs_v01_pds_RAP_HFSV_Outcome[[#This Row],[Year]])</f>
        <v>38729</v>
      </c>
      <c r="D14" s="615">
        <f>GETPIVOTDATA("Sum of Total HFSV",HFSVPivot!$B$3,"Year",Table_s_srs_v01_pds_RAP_HFSV_Outcome[[#This Row],[Year]])</f>
        <v>65715</v>
      </c>
      <c r="E14" s="614">
        <f>GETPIVOTDATA("Sum of Total_Alarms",HFSVPivot!$B$3,"Year",Table_s_srs_v01_pds_RAP_HFSV_Outcome[[#This Row],[Year]])</f>
        <v>41832</v>
      </c>
      <c r="F14" s="623">
        <f>GETPIVOTDATA("Sum of New",HFSVPivot!$B$3,"Year",Table_s_srs_v01_pds_RAP_HFSV_Outcome[[#This Row],[Year]])</f>
        <v>28032</v>
      </c>
      <c r="G14" s="614">
        <f>GETPIVOTDATA("Sum of Replacement",HFSVPivot!$B$3,"Year",Table_s_srs_v01_pds_RAP_HFSV_Outcome[[#This Row],[Year]])</f>
        <v>13800</v>
      </c>
      <c r="H14"/>
    </row>
    <row r="15" spans="1:8" x14ac:dyDescent="0.25">
      <c r="A15" s="606" t="s">
        <v>190</v>
      </c>
      <c r="B15" s="614">
        <f>GETPIVOTDATA("Sum of HFSV - alarms installed",HFSVPivot!$B$3,"Year",Table_s_srs_v01_pds_RAP_HFSV_Outcome[[#This Row],[Year]])</f>
        <v>28338</v>
      </c>
      <c r="C15" s="614">
        <f>GETPIVOTDATA("Sum of HFSV - advice only",HFSVPivot!$B$3,"Year",Table_s_srs_v01_pds_RAP_HFSV_Outcome[[#This Row],[Year]])</f>
        <v>43379</v>
      </c>
      <c r="D15" s="615">
        <f>GETPIVOTDATA("Sum of Total HFSV",HFSVPivot!$B$3,"Year",Table_s_srs_v01_pds_RAP_HFSV_Outcome[[#This Row],[Year]])</f>
        <v>71717</v>
      </c>
      <c r="E15" s="614">
        <f>GETPIVOTDATA("Sum of Total_Alarms",HFSVPivot!$B$3,"Year",Table_s_srs_v01_pds_RAP_HFSV_Outcome[[#This Row],[Year]])</f>
        <v>43710</v>
      </c>
      <c r="F15" s="623">
        <f>GETPIVOTDATA("Sum of New",HFSVPivot!$B$3,"Year",Table_s_srs_v01_pds_RAP_HFSV_Outcome[[#This Row],[Year]])</f>
        <v>28897</v>
      </c>
      <c r="G15" s="614">
        <f>GETPIVOTDATA("Sum of Replacement",HFSVPivot!$B$3,"Year",Table_s_srs_v01_pds_RAP_HFSV_Outcome[[#This Row],[Year]])</f>
        <v>14813</v>
      </c>
      <c r="H15"/>
    </row>
    <row r="16" spans="1:8" x14ac:dyDescent="0.25">
      <c r="A16" s="606" t="s">
        <v>257</v>
      </c>
      <c r="B16" s="614">
        <f>GETPIVOTDATA("Sum of HFSV - alarms installed",HFSVPivot!$B$3,"Year",Table_s_srs_v01_pds_RAP_HFSV_Outcome[[#This Row],[Year]])</f>
        <v>29016</v>
      </c>
      <c r="C16" s="614">
        <f>GETPIVOTDATA("Sum of HFSV - advice only",HFSVPivot!$B$3,"Year",Table_s_srs_v01_pds_RAP_HFSV_Outcome[[#This Row],[Year]])</f>
        <v>41785</v>
      </c>
      <c r="D16" s="615">
        <f>GETPIVOTDATA("Sum of Total HFSV",HFSVPivot!$B$3,"Year",Table_s_srs_v01_pds_RAP_HFSV_Outcome[[#This Row],[Year]])</f>
        <v>70801</v>
      </c>
      <c r="E16" s="614">
        <f>GETPIVOTDATA("Sum of Total_Alarms",HFSVPivot!$B$3,"Year",Table_s_srs_v01_pds_RAP_HFSV_Outcome[[#This Row],[Year]])</f>
        <v>44321</v>
      </c>
      <c r="F16" s="623">
        <f>GETPIVOTDATA("Sum of New",HFSVPivot!$B$3,"Year",Table_s_srs_v01_pds_RAP_HFSV_Outcome[[#This Row],[Year]])</f>
        <v>27955</v>
      </c>
      <c r="G16" s="614">
        <f>GETPIVOTDATA("Sum of Replacement",HFSVPivot!$B$3,"Year",Table_s_srs_v01_pds_RAP_HFSV_Outcome[[#This Row],[Year]])</f>
        <v>16366</v>
      </c>
      <c r="H16"/>
    </row>
    <row r="17" spans="1:8" x14ac:dyDescent="0.25">
      <c r="A17" s="606" t="s">
        <v>240</v>
      </c>
      <c r="B17" s="614">
        <f>GETPIVOTDATA("Sum of HFSV - alarms installed",HFSVPivot!$B$3,"Year",Table_s_srs_v01_pds_RAP_HFSV_Outcome[[#This Row],[Year]])</f>
        <v>27754</v>
      </c>
      <c r="C17" s="614">
        <f>GETPIVOTDATA("Sum of HFSV - advice only",HFSVPivot!$B$3,"Year",Table_s_srs_v01_pds_RAP_HFSV_Outcome[[#This Row],[Year]])</f>
        <v>42077</v>
      </c>
      <c r="D17" s="615">
        <f>GETPIVOTDATA("Sum of Total HFSV",HFSVPivot!$B$3,"Year",Table_s_srs_v01_pds_RAP_HFSV_Outcome[[#This Row],[Year]])</f>
        <v>69831</v>
      </c>
      <c r="E17" s="614">
        <f>GETPIVOTDATA("Sum of Total_Alarms",HFSVPivot!$B$3,"Year",Table_s_srs_v01_pds_RAP_HFSV_Outcome[[#This Row],[Year]])</f>
        <v>42385</v>
      </c>
      <c r="F17" s="623">
        <f>GETPIVOTDATA("Sum of New",HFSVPivot!$B$3,"Year",Table_s_srs_v01_pds_RAP_HFSV_Outcome[[#This Row],[Year]])</f>
        <v>28114</v>
      </c>
      <c r="G17" s="614">
        <f>GETPIVOTDATA("Sum of Replacement",HFSVPivot!$B$3,"Year",Table_s_srs_v01_pds_RAP_HFSV_Outcome[[#This Row],[Year]])</f>
        <v>14271</v>
      </c>
      <c r="H17"/>
    </row>
    <row r="18" spans="1:8" x14ac:dyDescent="0.25">
      <c r="A18" s="606" t="s">
        <v>239</v>
      </c>
      <c r="B18" s="614">
        <f>GETPIVOTDATA("Sum of HFSV - alarms installed",HFSVPivot!$B$3,"Year",Table_s_srs_v01_pds_RAP_HFSV_Outcome[[#This Row],[Year]])</f>
        <v>24462</v>
      </c>
      <c r="C18" s="614">
        <f>GETPIVOTDATA("Sum of HFSV - advice only",HFSVPivot!$B$3,"Year",Table_s_srs_v01_pds_RAP_HFSV_Outcome[[#This Row],[Year]])</f>
        <v>44740</v>
      </c>
      <c r="D18" s="615">
        <f>GETPIVOTDATA("Sum of Total HFSV",HFSVPivot!$B$3,"Year",Table_s_srs_v01_pds_RAP_HFSV_Outcome[[#This Row],[Year]])</f>
        <v>69202</v>
      </c>
      <c r="E18" s="614">
        <f>GETPIVOTDATA("Sum of Total_Alarms",HFSVPivot!$B$3,"Year",Table_s_srs_v01_pds_RAP_HFSV_Outcome[[#This Row],[Year]])</f>
        <v>37549</v>
      </c>
      <c r="F18" s="623">
        <f>GETPIVOTDATA("Sum of New",HFSVPivot!$B$3,"Year",Table_s_srs_v01_pds_RAP_HFSV_Outcome[[#This Row],[Year]])</f>
        <v>25645</v>
      </c>
      <c r="G18" s="614">
        <f>GETPIVOTDATA("Sum of Replacement",HFSVPivot!$B$3,"Year",Table_s_srs_v01_pds_RAP_HFSV_Outcome[[#This Row],[Year]])</f>
        <v>11904</v>
      </c>
      <c r="H18"/>
    </row>
    <row r="19" spans="1:8" x14ac:dyDescent="0.25">
      <c r="A19" s="606" t="s">
        <v>760</v>
      </c>
      <c r="B19" s="614">
        <f>GETPIVOTDATA("Sum of HFSV - alarms installed",HFSVPivot!$B$3,"Year",Table_s_srs_v01_pds_RAP_HFSV_Outcome[[#This Row],[Year]])</f>
        <v>22292</v>
      </c>
      <c r="C19" s="614">
        <f>GETPIVOTDATA("Sum of HFSV - advice only",HFSVPivot!$B$3,"Year",Table_s_srs_v01_pds_RAP_HFSV_Outcome[[#This Row],[Year]])</f>
        <v>46945</v>
      </c>
      <c r="D19" s="615">
        <f>GETPIVOTDATA("Sum of Total HFSV",HFSVPivot!$B$3,"Year",Table_s_srs_v01_pds_RAP_HFSV_Outcome[[#This Row],[Year]])</f>
        <v>69237</v>
      </c>
      <c r="E19" s="614">
        <f>GETPIVOTDATA("Sum of Total_Alarms",HFSVPivot!$B$3,"Year",Table_s_srs_v01_pds_RAP_HFSV_Outcome[[#This Row],[Year]])</f>
        <v>34610</v>
      </c>
      <c r="F19" s="623">
        <f>GETPIVOTDATA("Sum of New",HFSVPivot!$B$3,"Year",Table_s_srs_v01_pds_RAP_HFSV_Outcome[[#This Row],[Year]])</f>
        <v>24016</v>
      </c>
      <c r="G19" s="614">
        <f>GETPIVOTDATA("Sum of Replacement",HFSVPivot!$B$3,"Year",Table_s_srs_v01_pds_RAP_HFSV_Outcome[[#This Row],[Year]])</f>
        <v>10594</v>
      </c>
      <c r="H19"/>
    </row>
    <row r="20" spans="1:8" x14ac:dyDescent="0.25">
      <c r="A20" s="606" t="s">
        <v>917</v>
      </c>
      <c r="B20" s="614">
        <f>GETPIVOTDATA("Sum of HFSV - alarms installed",HFSVPivot!$B$3,"Year",Table_s_srs_v01_pds_RAP_HFSV_Outcome[[#This Row],[Year]])</f>
        <v>7679</v>
      </c>
      <c r="C20" s="614">
        <f>GETPIVOTDATA("Sum of HFSV - advice only",HFSVPivot!$B$3,"Year",Table_s_srs_v01_pds_RAP_HFSV_Outcome[[#This Row],[Year]])</f>
        <v>12319</v>
      </c>
      <c r="D20" s="615">
        <f>GETPIVOTDATA("Sum of Total HFSV",HFSVPivot!$B$3,"Year",Table_s_srs_v01_pds_RAP_HFSV_Outcome[[#This Row],[Year]])</f>
        <v>19998</v>
      </c>
      <c r="E20" s="614">
        <f>GETPIVOTDATA("Sum of Total_Alarms",HFSVPivot!$B$3,"Year",Table_s_srs_v01_pds_RAP_HFSV_Outcome[[#This Row],[Year]])</f>
        <v>12535</v>
      </c>
      <c r="F20" s="623">
        <f>GETPIVOTDATA("Sum of New",HFSVPivot!$B$3,"Year",Table_s_srs_v01_pds_RAP_HFSV_Outcome[[#This Row],[Year]])</f>
        <v>8696</v>
      </c>
      <c r="G20" s="614">
        <f>GETPIVOTDATA("Sum of Replacement",HFSVPivot!$B$3,"Year",Table_s_srs_v01_pds_RAP_HFSV_Outcome[[#This Row],[Year]])</f>
        <v>3839</v>
      </c>
      <c r="H20"/>
    </row>
    <row r="21" spans="1:8" x14ac:dyDescent="0.25">
      <c r="A21" s="606" t="s">
        <v>1010</v>
      </c>
      <c r="B21" s="719">
        <f>GETPIVOTDATA("Sum of HFSV - alarms installed",HFSVPivot!$B$3,"Year",Table_s_srs_v01_pds_RAP_HFSV_Outcome[[#This Row],[Year]])</f>
        <v>16504</v>
      </c>
      <c r="C21" s="719">
        <f>GETPIVOTDATA("Sum of HFSV - advice only",HFSVPivot!$B$3,"Year",Table_s_srs_v01_pds_RAP_HFSV_Outcome[[#This Row],[Year]])</f>
        <v>27692</v>
      </c>
      <c r="D21" s="615">
        <f>GETPIVOTDATA("Sum of Total HFSV",HFSVPivot!$B$3,"Year",Table_s_srs_v01_pds_RAP_HFSV_Outcome[[#This Row],[Year]])</f>
        <v>44196</v>
      </c>
      <c r="E21" s="719">
        <f>GETPIVOTDATA("Sum of Total_Alarms",HFSVPivot!$B$3,"Year",Table_s_srs_v01_pds_RAP_HFSV_Outcome[[#This Row],[Year]])</f>
        <v>45586</v>
      </c>
      <c r="F21" s="735"/>
      <c r="G21" s="719"/>
    </row>
    <row r="22" spans="1:8" x14ac:dyDescent="0.25">
      <c r="A22" s="606" t="s">
        <v>1061</v>
      </c>
      <c r="B22" s="719">
        <f>GETPIVOTDATA("Sum of HFSV - alarms installed",HFSVPivot!$B$3,"Year",Table_s_srs_v01_pds_RAP_HFSV_Outcome[[#This Row],[Year]])</f>
        <v>6764</v>
      </c>
      <c r="C22" s="719">
        <f>GETPIVOTDATA("Sum of HFSV - advice only",HFSVPivot!$B$3,"Year",Table_s_srs_v01_pds_RAP_HFSV_Outcome[[#This Row],[Year]])</f>
        <v>31935</v>
      </c>
      <c r="D22" s="615">
        <f>GETPIVOTDATA("Sum of Total HFSV",HFSVPivot!$B$3,"Year",Table_s_srs_v01_pds_RAP_HFSV_Outcome[[#This Row],[Year]])</f>
        <v>38699</v>
      </c>
      <c r="E22" s="719">
        <f>GETPIVOTDATA("Sum of Total_Alarms",HFSVPivot!$B$3,"Year",Table_s_srs_v01_pds_RAP_HFSV_Outcome[[#This Row],[Year]])</f>
        <v>15690</v>
      </c>
      <c r="F22" s="735"/>
      <c r="G22" s="719"/>
    </row>
    <row r="23" spans="1:8" ht="15" customHeight="1" x14ac:dyDescent="0.25">
      <c r="A23" s="900" t="s">
        <v>1108</v>
      </c>
      <c r="B23" s="614">
        <f>GETPIVOTDATA("Sum of HFSV - alarms installed",HFSVPivot!$B$3,"Year",Table_s_srs_v01_pds_RAP_HFSV_Outcome[[#This Row],[Year]])</f>
        <v>5922</v>
      </c>
      <c r="C23" s="614">
        <f>GETPIVOTDATA("Sum of HFSV - advice only",HFSVPivot!$B$3,"Year",Table_s_srs_v01_pds_RAP_HFSV_Outcome[[#This Row],[Year]])</f>
        <v>30816</v>
      </c>
      <c r="D23" s="615">
        <f>GETPIVOTDATA("Sum of Total HFSV",HFSVPivot!$B$3,"Year",Table_s_srs_v01_pds_RAP_HFSV_Outcome[[#This Row],[Year]])</f>
        <v>36738</v>
      </c>
      <c r="E23" s="614">
        <f>GETPIVOTDATA("Sum of Total_Alarms",HFSVPivot!$B$3,"Year",Table_s_srs_v01_pds_RAP_HFSV_Outcome[[#This Row],[Year]])</f>
        <v>15749</v>
      </c>
      <c r="F23" s="623">
        <f>GETPIVOTDATA("Sum of New",HFSVPivot!$B$3,"Year",Table_s_srs_v01_pds_RAP_HFSV_Outcome[[#This Row],[Year]])</f>
        <v>11441</v>
      </c>
      <c r="G23" s="614">
        <f>GETPIVOTDATA("Sum of Replacement",HFSVPivot!$B$3,"Year",Table_s_srs_v01_pds_RAP_HFSV_Outcome[[#This Row],[Year]])</f>
        <v>4308</v>
      </c>
    </row>
    <row r="24" spans="1:8" ht="15" customHeight="1" x14ac:dyDescent="0.25">
      <c r="A24" s="176"/>
      <c r="B24" s="202"/>
      <c r="C24" s="202"/>
      <c r="D24" s="607"/>
      <c r="E24" s="202"/>
      <c r="F24" s="202"/>
      <c r="G24" s="202"/>
    </row>
    <row r="25" spans="1:8" ht="26.25" x14ac:dyDescent="0.25">
      <c r="A25" s="794" t="str">
        <f xml:space="preserve"> "One Year Change " &amp; A22 &amp; " to " &amp;A23</f>
        <v>One Year Change 2022-23 to 2023-24</v>
      </c>
      <c r="B25" s="794"/>
      <c r="C25" s="794"/>
      <c r="D25" s="794"/>
      <c r="E25" s="202"/>
      <c r="F25" s="25"/>
      <c r="G25" s="25"/>
    </row>
    <row r="26" spans="1:8" x14ac:dyDescent="0.25">
      <c r="A26" s="219" t="s">
        <v>6</v>
      </c>
      <c r="B26" s="741">
        <f>B23-B22</f>
        <v>-842</v>
      </c>
      <c r="C26" s="741">
        <f t="shared" ref="C26:E26" si="0">C23-C22</f>
        <v>-1119</v>
      </c>
      <c r="D26" s="901">
        <f t="shared" si="0"/>
        <v>-1961</v>
      </c>
      <c r="E26" s="741">
        <f t="shared" si="0"/>
        <v>59</v>
      </c>
      <c r="F26" s="901"/>
      <c r="G26" s="901"/>
    </row>
    <row r="27" spans="1:8" ht="14.45" customHeight="1" thickBot="1" x14ac:dyDescent="0.3">
      <c r="A27" s="220" t="s">
        <v>7</v>
      </c>
      <c r="B27" s="742">
        <f>B26/B22</f>
        <v>-0.12448255470136015</v>
      </c>
      <c r="C27" s="742">
        <f>C26/C22</f>
        <v>-3.5039924847346172E-2</v>
      </c>
      <c r="D27" s="902">
        <f>D26/D22</f>
        <v>-5.0673144008889122E-2</v>
      </c>
      <c r="E27" s="742">
        <f>E26/E22</f>
        <v>3.7603569152326322E-3</v>
      </c>
      <c r="F27" s="902"/>
      <c r="G27" s="902"/>
    </row>
    <row r="28" spans="1:8" ht="14.45" customHeight="1" x14ac:dyDescent="0.25"/>
    <row r="29" spans="1:8" ht="29.1" customHeight="1" x14ac:dyDescent="0.25">
      <c r="A29" s="794" t="str">
        <f>"Five Year Change " &amp; A18 &amp; " to " &amp; A23</f>
        <v>Five Year Change 2018-19 to 2023-24</v>
      </c>
      <c r="B29" s="794"/>
      <c r="C29" s="794"/>
      <c r="D29" s="794"/>
      <c r="E29" s="202"/>
      <c r="F29" s="25"/>
      <c r="G29" s="25"/>
    </row>
    <row r="30" spans="1:8" x14ac:dyDescent="0.25">
      <c r="A30" s="219" t="s">
        <v>6</v>
      </c>
      <c r="B30" s="901">
        <f>B23-B18</f>
        <v>-18540</v>
      </c>
      <c r="C30" s="901">
        <f t="shared" ref="C30:E30" si="1">C23-C18</f>
        <v>-13924</v>
      </c>
      <c r="D30" s="901">
        <f t="shared" si="1"/>
        <v>-32464</v>
      </c>
      <c r="E30" s="901">
        <f t="shared" si="1"/>
        <v>-21800</v>
      </c>
      <c r="F30" s="903"/>
      <c r="G30" s="903"/>
    </row>
    <row r="31" spans="1:8" ht="15.75" thickBot="1" x14ac:dyDescent="0.3">
      <c r="A31" s="220" t="s">
        <v>7</v>
      </c>
      <c r="B31" s="902">
        <f>B30/B18</f>
        <v>-0.75791022810890363</v>
      </c>
      <c r="C31" s="902">
        <f t="shared" ref="C31:E31" si="2">C30/C18</f>
        <v>-0.31122038444345107</v>
      </c>
      <c r="D31" s="902">
        <f t="shared" si="2"/>
        <v>-0.46911938961301697</v>
      </c>
      <c r="E31" s="902">
        <f t="shared" si="2"/>
        <v>-0.58057471570481234</v>
      </c>
      <c r="F31" s="904"/>
      <c r="G31" s="904"/>
    </row>
    <row r="32" spans="1:8" ht="30" customHeight="1" x14ac:dyDescent="0.25">
      <c r="A32" s="385"/>
      <c r="B32" s="386"/>
      <c r="C32" s="386"/>
      <c r="D32" s="387"/>
      <c r="E32" s="386"/>
      <c r="F32" s="386"/>
      <c r="G32" s="386"/>
    </row>
    <row r="33" spans="1:8" x14ac:dyDescent="0.25">
      <c r="A33" s="675" t="s">
        <v>8</v>
      </c>
      <c r="B33" s="386"/>
      <c r="C33" s="386"/>
      <c r="D33" s="387"/>
      <c r="E33" s="386"/>
      <c r="F33" s="386"/>
      <c r="G33" s="386"/>
      <c r="H33" s="568"/>
    </row>
    <row r="34" spans="1:8" ht="60.6" customHeight="1" x14ac:dyDescent="0.25">
      <c r="A34" s="992" t="s">
        <v>1222</v>
      </c>
      <c r="B34" s="992"/>
      <c r="C34" s="992"/>
      <c r="D34" s="992"/>
      <c r="E34" s="992"/>
      <c r="F34" s="992"/>
      <c r="G34" s="423"/>
    </row>
    <row r="35" spans="1:8" ht="27.6" customHeight="1" x14ac:dyDescent="0.25">
      <c r="A35" s="1026" t="s">
        <v>1223</v>
      </c>
      <c r="B35" s="1026"/>
      <c r="C35" s="1026"/>
      <c r="D35" s="1026"/>
      <c r="E35" s="1026"/>
      <c r="F35" s="1026"/>
      <c r="G35" s="1026"/>
      <c r="H35" s="302"/>
    </row>
    <row r="36" spans="1:8" ht="45.6" customHeight="1" x14ac:dyDescent="0.25">
      <c r="A36" s="996" t="s">
        <v>1237</v>
      </c>
      <c r="B36" s="996"/>
      <c r="C36" s="996"/>
      <c r="D36" s="996"/>
      <c r="E36" s="996"/>
      <c r="F36" s="996"/>
      <c r="G36" s="996"/>
      <c r="H36" s="302"/>
    </row>
    <row r="37" spans="1:8" ht="33" customHeight="1" x14ac:dyDescent="0.25">
      <c r="A37" s="569"/>
      <c r="B37" s="569"/>
      <c r="C37" s="569"/>
      <c r="D37" s="569"/>
      <c r="E37" s="569"/>
      <c r="F37" s="569"/>
      <c r="G37" s="569"/>
      <c r="H37" s="302"/>
    </row>
    <row r="38" spans="1:8" ht="24" customHeight="1" x14ac:dyDescent="0.25">
      <c r="A38" s="172"/>
      <c r="B38" s="221"/>
      <c r="C38" s="221"/>
      <c r="D38" s="221"/>
      <c r="E38" s="221"/>
      <c r="F38" s="25"/>
      <c r="G38" s="25"/>
      <c r="H38" s="302"/>
    </row>
    <row r="39" spans="1:8" ht="41.45" customHeight="1" x14ac:dyDescent="0.25">
      <c r="A39" s="1024" t="s">
        <v>1220</v>
      </c>
      <c r="B39" s="1024"/>
      <c r="C39" s="1024"/>
      <c r="D39" s="1024"/>
      <c r="E39" s="302"/>
      <c r="F39" s="302"/>
      <c r="G39" s="302"/>
      <c r="H39" s="302"/>
    </row>
    <row r="40" spans="1:8" ht="15.75" x14ac:dyDescent="0.25">
      <c r="A40" t="s">
        <v>328</v>
      </c>
      <c r="B40" t="s">
        <v>695</v>
      </c>
      <c r="C40" s="302"/>
      <c r="D40" s="302"/>
      <c r="E40" s="302"/>
      <c r="F40" s="302"/>
      <c r="G40" s="302"/>
      <c r="H40" s="302"/>
    </row>
    <row r="41" spans="1:8" ht="15.75" x14ac:dyDescent="0.25">
      <c r="A41" t="s">
        <v>329</v>
      </c>
      <c r="B41" t="s">
        <v>331</v>
      </c>
      <c r="C41" s="302"/>
      <c r="D41" s="302"/>
      <c r="E41" s="302"/>
      <c r="F41" s="302"/>
      <c r="G41" s="302"/>
      <c r="H41" s="302"/>
    </row>
    <row r="42" spans="1:8" ht="15.75" x14ac:dyDescent="0.25">
      <c r="A42" t="s">
        <v>330</v>
      </c>
      <c r="B42" t="s">
        <v>534</v>
      </c>
      <c r="C42" s="302"/>
      <c r="D42" s="302"/>
      <c r="E42" s="302"/>
      <c r="F42" s="302"/>
      <c r="G42" s="302"/>
    </row>
    <row r="43" spans="1:8" ht="15.75" x14ac:dyDescent="0.25">
      <c r="C43" s="302"/>
      <c r="D43" s="302"/>
      <c r="E43" s="302"/>
      <c r="F43" s="302"/>
      <c r="G43" s="302"/>
    </row>
    <row r="44" spans="1:8" x14ac:dyDescent="0.25">
      <c r="A44" s="131"/>
      <c r="B44" s="222" t="s">
        <v>7</v>
      </c>
      <c r="C44" s="305"/>
      <c r="D44" s="510"/>
      <c r="E44" s="510" t="s">
        <v>549</v>
      </c>
      <c r="G44" s="25"/>
    </row>
    <row r="45" spans="1:8" ht="26.25" x14ac:dyDescent="0.25">
      <c r="A45" s="223" t="s">
        <v>1</v>
      </c>
      <c r="B45" s="217" t="s">
        <v>1216</v>
      </c>
      <c r="C45" s="170" t="s">
        <v>127</v>
      </c>
      <c r="D45" s="539" t="s">
        <v>132</v>
      </c>
      <c r="E45" s="541" t="s">
        <v>1221</v>
      </c>
    </row>
    <row r="46" spans="1:8" x14ac:dyDescent="0.25">
      <c r="A46" s="237" t="str">
        <f t="shared" ref="A46:A58" si="3">A10</f>
        <v>2010-11</v>
      </c>
      <c r="B46" s="716">
        <f t="shared" ref="B46:C59" si="4">B10/$D10%</f>
        <v>64.47563057083255</v>
      </c>
      <c r="C46" s="716">
        <f t="shared" si="4"/>
        <v>35.524369429167457</v>
      </c>
      <c r="D46" s="542"/>
      <c r="E46" s="700"/>
      <c r="G46" s="25"/>
    </row>
    <row r="47" spans="1:8" x14ac:dyDescent="0.25">
      <c r="A47" s="237" t="str">
        <f t="shared" si="3"/>
        <v>2011-12</v>
      </c>
      <c r="B47" s="716">
        <f t="shared" si="4"/>
        <v>51.014236448846049</v>
      </c>
      <c r="C47" s="716">
        <f t="shared" si="4"/>
        <v>48.985763551153944</v>
      </c>
      <c r="D47" s="543">
        <f t="shared" ref="D47:D59" si="5">E11/D11</f>
        <v>0.82049694933239015</v>
      </c>
      <c r="E47" s="701">
        <f t="shared" ref="E47:E59" si="6">E11/B11</f>
        <v>1.6083685779657491</v>
      </c>
      <c r="G47" s="25"/>
    </row>
    <row r="48" spans="1:8" x14ac:dyDescent="0.25">
      <c r="A48" s="237" t="str">
        <f t="shared" si="3"/>
        <v>2012-13</v>
      </c>
      <c r="B48" s="716">
        <f t="shared" si="4"/>
        <v>46.244511208689623</v>
      </c>
      <c r="C48" s="716">
        <f t="shared" si="4"/>
        <v>53.755488791310377</v>
      </c>
      <c r="D48" s="543">
        <f>E12/D12</f>
        <v>0.78437716662814883</v>
      </c>
      <c r="E48" s="701">
        <f t="shared" si="6"/>
        <v>1.696151924037981</v>
      </c>
      <c r="G48" s="25"/>
    </row>
    <row r="49" spans="1:10" x14ac:dyDescent="0.25">
      <c r="A49" s="237" t="str">
        <f t="shared" si="3"/>
        <v>2013-14</v>
      </c>
      <c r="B49" s="716">
        <f t="shared" si="4"/>
        <v>41.628195023082988</v>
      </c>
      <c r="C49" s="716">
        <f t="shared" si="4"/>
        <v>58.371804976917012</v>
      </c>
      <c r="D49" s="543">
        <f t="shared" si="5"/>
        <v>0.64975791014525386</v>
      </c>
      <c r="E49" s="701">
        <f t="shared" si="6"/>
        <v>1.56086015688396</v>
      </c>
      <c r="G49" s="25"/>
    </row>
    <row r="50" spans="1:10" ht="15" customHeight="1" x14ac:dyDescent="0.25">
      <c r="A50" s="237" t="str">
        <f t="shared" si="3"/>
        <v>2014-15</v>
      </c>
      <c r="B50" s="716">
        <f t="shared" si="4"/>
        <v>41.065205812980295</v>
      </c>
      <c r="C50" s="716">
        <f t="shared" si="4"/>
        <v>58.934794187019712</v>
      </c>
      <c r="D50" s="543">
        <f t="shared" si="5"/>
        <v>0.63656699383702353</v>
      </c>
      <c r="E50" s="701">
        <f t="shared" si="6"/>
        <v>1.5501371081301416</v>
      </c>
      <c r="G50" s="25"/>
    </row>
    <row r="51" spans="1:10" x14ac:dyDescent="0.25">
      <c r="A51" s="237" t="str">
        <f t="shared" si="3"/>
        <v>2015-16</v>
      </c>
      <c r="B51" s="716">
        <f t="shared" si="4"/>
        <v>39.513643905907948</v>
      </c>
      <c r="C51" s="716">
        <f t="shared" si="4"/>
        <v>60.486356094092059</v>
      </c>
      <c r="D51" s="543">
        <f t="shared" si="5"/>
        <v>0.60947892410446614</v>
      </c>
      <c r="E51" s="701">
        <f t="shared" si="6"/>
        <v>1.5424518314630531</v>
      </c>
      <c r="G51" s="25"/>
    </row>
    <row r="52" spans="1:10" x14ac:dyDescent="0.25">
      <c r="A52" s="237" t="str">
        <f t="shared" si="3"/>
        <v>2016-17</v>
      </c>
      <c r="B52" s="716">
        <f t="shared" si="4"/>
        <v>40.982471998983065</v>
      </c>
      <c r="C52" s="716">
        <f t="shared" si="4"/>
        <v>59.017528001016935</v>
      </c>
      <c r="D52" s="543">
        <f t="shared" si="5"/>
        <v>0.62599398313583143</v>
      </c>
      <c r="E52" s="701">
        <f t="shared" si="6"/>
        <v>1.5274676040805073</v>
      </c>
      <c r="G52" s="25"/>
    </row>
    <row r="53" spans="1:10" x14ac:dyDescent="0.25">
      <c r="A53" s="237" t="str">
        <f t="shared" si="3"/>
        <v>2017-18</v>
      </c>
      <c r="B53" s="716">
        <f t="shared" si="4"/>
        <v>39.744526070083488</v>
      </c>
      <c r="C53" s="716">
        <f t="shared" si="4"/>
        <v>60.255473929916519</v>
      </c>
      <c r="D53" s="543">
        <f t="shared" si="5"/>
        <v>0.60696538786498833</v>
      </c>
      <c r="E53" s="701">
        <f t="shared" si="6"/>
        <v>1.5271672551704258</v>
      </c>
      <c r="G53" s="25"/>
    </row>
    <row r="54" spans="1:10" x14ac:dyDescent="0.25">
      <c r="A54" s="237" t="str">
        <f t="shared" si="3"/>
        <v>2018-19</v>
      </c>
      <c r="B54" s="716">
        <f t="shared" si="4"/>
        <v>35.348689344238608</v>
      </c>
      <c r="C54" s="716">
        <f t="shared" si="4"/>
        <v>64.651310655761392</v>
      </c>
      <c r="D54" s="543">
        <f t="shared" si="5"/>
        <v>0.54259992485766306</v>
      </c>
      <c r="E54" s="701">
        <f t="shared" si="6"/>
        <v>1.5349930504455891</v>
      </c>
      <c r="G54" s="25"/>
    </row>
    <row r="55" spans="1:10" x14ac:dyDescent="0.25">
      <c r="A55" s="237" t="str">
        <f t="shared" si="3"/>
        <v>2019-20</v>
      </c>
      <c r="B55" s="716">
        <f t="shared" si="4"/>
        <v>32.196657856348487</v>
      </c>
      <c r="C55" s="716">
        <f t="shared" si="4"/>
        <v>67.80334214365152</v>
      </c>
      <c r="D55" s="543">
        <f t="shared" si="5"/>
        <v>0.49987723327122779</v>
      </c>
      <c r="E55" s="701">
        <f t="shared" si="6"/>
        <v>1.5525749147676295</v>
      </c>
      <c r="G55" s="25"/>
    </row>
    <row r="56" spans="1:10" x14ac:dyDescent="0.25">
      <c r="A56" s="237" t="str">
        <f t="shared" si="3"/>
        <v>2020-21</v>
      </c>
      <c r="B56" s="716">
        <f t="shared" si="4"/>
        <v>38.398839883988401</v>
      </c>
      <c r="C56" s="716">
        <f t="shared" si="4"/>
        <v>61.601160116011606</v>
      </c>
      <c r="D56" s="543">
        <f t="shared" si="5"/>
        <v>0.62681268126812684</v>
      </c>
      <c r="E56" s="701">
        <f t="shared" si="6"/>
        <v>1.6323740070321657</v>
      </c>
    </row>
    <row r="57" spans="1:10" ht="15.75" customHeight="1" x14ac:dyDescent="0.25">
      <c r="A57" s="237" t="str">
        <f t="shared" si="3"/>
        <v>2021-22</v>
      </c>
      <c r="B57" s="912">
        <f t="shared" si="4"/>
        <v>37.342745949859719</v>
      </c>
      <c r="C57" s="965">
        <f t="shared" si="4"/>
        <v>62.657254050140288</v>
      </c>
      <c r="D57" s="795">
        <f t="shared" si="5"/>
        <v>1.0314508100280568</v>
      </c>
      <c r="E57" s="796">
        <f t="shared" si="6"/>
        <v>2.7621182743577313</v>
      </c>
      <c r="H57" s="302"/>
      <c r="I57" s="302"/>
      <c r="J57" s="302"/>
    </row>
    <row r="58" spans="1:10" ht="15.75" customHeight="1" x14ac:dyDescent="0.25">
      <c r="A58" s="237" t="str">
        <f t="shared" si="3"/>
        <v>2022-23</v>
      </c>
      <c r="B58" s="912">
        <f t="shared" si="4"/>
        <v>17.478487816222643</v>
      </c>
      <c r="C58" s="965">
        <f t="shared" si="4"/>
        <v>82.521512183777361</v>
      </c>
      <c r="D58" s="796">
        <f t="shared" si="5"/>
        <v>0.40543683299310057</v>
      </c>
      <c r="E58" s="796">
        <f t="shared" si="6"/>
        <v>2.3196333530455351</v>
      </c>
      <c r="F58" s="526"/>
      <c r="G58" s="25"/>
      <c r="H58" s="302"/>
      <c r="I58" s="302"/>
      <c r="J58" s="302"/>
    </row>
    <row r="59" spans="1:10" ht="15.75" customHeight="1" thickBot="1" x14ac:dyDescent="0.3">
      <c r="A59" s="699" t="s">
        <v>1108</v>
      </c>
      <c r="B59" s="911">
        <f t="shared" si="4"/>
        <v>16.11954924056835</v>
      </c>
      <c r="C59" s="966">
        <f t="shared" si="4"/>
        <v>83.880450759431653</v>
      </c>
      <c r="D59" s="905">
        <f t="shared" si="5"/>
        <v>0.42868419620011977</v>
      </c>
      <c r="E59" s="906">
        <f t="shared" si="6"/>
        <v>2.6594056062141167</v>
      </c>
      <c r="F59" s="526"/>
      <c r="G59" s="25"/>
      <c r="H59" s="302"/>
      <c r="I59" s="302"/>
      <c r="J59" s="302"/>
    </row>
    <row r="60" spans="1:10" ht="15.75" customHeight="1" x14ac:dyDescent="0.25">
      <c r="A60" s="237"/>
      <c r="B60" s="100"/>
      <c r="C60" s="100"/>
      <c r="D60" s="798"/>
      <c r="E60" s="798"/>
      <c r="F60" s="526"/>
      <c r="G60" s="25"/>
      <c r="H60" s="302"/>
      <c r="I60" s="302"/>
      <c r="J60" s="302"/>
    </row>
    <row r="61" spans="1:10" ht="15.75" x14ac:dyDescent="0.25">
      <c r="A61" s="317" t="s">
        <v>8</v>
      </c>
      <c r="B61" s="221"/>
      <c r="C61" s="221"/>
      <c r="D61" s="525"/>
      <c r="E61" s="526"/>
      <c r="F61" s="526"/>
      <c r="G61" s="25"/>
      <c r="H61" s="302"/>
      <c r="I61" s="302"/>
      <c r="J61" s="302"/>
    </row>
    <row r="62" spans="1:10" ht="60" customHeight="1" x14ac:dyDescent="0.25">
      <c r="A62" s="996" t="s">
        <v>1224</v>
      </c>
      <c r="B62" s="996"/>
      <c r="C62" s="996"/>
      <c r="D62" s="996"/>
      <c r="E62" s="996"/>
      <c r="F62" s="996"/>
      <c r="G62" s="25"/>
      <c r="H62" s="302"/>
      <c r="I62" s="302"/>
      <c r="J62" s="302"/>
    </row>
    <row r="63" spans="1:10" ht="27.6" customHeight="1" x14ac:dyDescent="0.25">
      <c r="A63" s="1026" t="s">
        <v>1223</v>
      </c>
      <c r="B63" s="1026"/>
      <c r="C63" s="1026"/>
      <c r="D63" s="1026"/>
      <c r="E63" s="1026"/>
      <c r="F63" s="1026"/>
      <c r="G63" s="1026"/>
      <c r="H63" s="302"/>
    </row>
    <row r="64" spans="1:10" ht="47.1" customHeight="1" x14ac:dyDescent="0.25">
      <c r="A64" s="996" t="s">
        <v>1238</v>
      </c>
      <c r="B64" s="996"/>
      <c r="C64" s="996"/>
      <c r="D64" s="996"/>
      <c r="E64" s="996"/>
      <c r="F64" s="996"/>
      <c r="G64" s="996"/>
      <c r="H64" s="302"/>
    </row>
    <row r="65" spans="1:10" ht="15.75" customHeight="1" x14ac:dyDescent="0.25">
      <c r="A65" s="569"/>
      <c r="B65" s="569"/>
      <c r="C65" s="569"/>
      <c r="D65" s="569"/>
      <c r="E65" s="569"/>
      <c r="F65" s="569"/>
      <c r="G65" s="25"/>
      <c r="H65" s="302"/>
      <c r="I65" s="302"/>
      <c r="J65" s="302"/>
    </row>
    <row r="66" spans="1:10" ht="15.75" customHeight="1" x14ac:dyDescent="0.25">
      <c r="A66" s="1036" t="s">
        <v>596</v>
      </c>
      <c r="B66" s="1036"/>
      <c r="C66" s="1036"/>
      <c r="D66" s="233"/>
      <c r="E66" s="233"/>
      <c r="F66" s="233"/>
      <c r="G66" s="302"/>
      <c r="H66" s="302"/>
      <c r="I66" s="302"/>
      <c r="J66" s="302"/>
    </row>
    <row r="67" spans="1:10" ht="15.75" x14ac:dyDescent="0.25">
      <c r="A67" t="s">
        <v>328</v>
      </c>
      <c r="B67" t="s">
        <v>696</v>
      </c>
      <c r="C67" s="302"/>
      <c r="D67" s="302"/>
      <c r="E67" s="302"/>
      <c r="F67" s="302"/>
      <c r="G67" s="302"/>
    </row>
    <row r="68" spans="1:10" ht="15.75" x14ac:dyDescent="0.25">
      <c r="A68" t="s">
        <v>329</v>
      </c>
      <c r="B68" t="s">
        <v>331</v>
      </c>
      <c r="C68" s="302"/>
      <c r="D68" s="302"/>
      <c r="E68" s="302"/>
      <c r="F68" s="302"/>
      <c r="G68" s="302"/>
    </row>
    <row r="69" spans="1:10" x14ac:dyDescent="0.25">
      <c r="A69" t="s">
        <v>330</v>
      </c>
      <c r="B69" t="s">
        <v>534</v>
      </c>
      <c r="C69" s="25"/>
      <c r="D69" s="107"/>
      <c r="E69" s="25"/>
      <c r="F69" s="25"/>
      <c r="G69" s="25"/>
    </row>
    <row r="70" spans="1:10" x14ac:dyDescent="0.25">
      <c r="A70" s="25"/>
      <c r="B70" s="25"/>
      <c r="C70" s="131"/>
      <c r="D70" s="131"/>
      <c r="E70" s="229" t="s">
        <v>550</v>
      </c>
      <c r="F70" s="565" t="s">
        <v>6</v>
      </c>
      <c r="G70" s="25"/>
    </row>
    <row r="71" spans="1:10" ht="39" x14ac:dyDescent="0.25">
      <c r="A71" s="173" t="s">
        <v>1</v>
      </c>
      <c r="B71" s="217" t="s">
        <v>1225</v>
      </c>
      <c r="C71" s="170" t="s">
        <v>127</v>
      </c>
      <c r="D71" s="170" t="s">
        <v>128</v>
      </c>
      <c r="E71" s="225" t="s">
        <v>1226</v>
      </c>
      <c r="F71" s="566" t="s">
        <v>434</v>
      </c>
      <c r="G71" s="25"/>
    </row>
    <row r="72" spans="1:10" x14ac:dyDescent="0.25">
      <c r="A72" s="176" t="str">
        <f t="shared" ref="A72:A84" si="7">A10</f>
        <v>2010-11</v>
      </c>
      <c r="B72" s="401">
        <f t="shared" ref="B72:B85" si="8">B10/F72*100</f>
        <v>1.4376387508721484</v>
      </c>
      <c r="C72" s="401">
        <f t="shared" ref="C72:C85" si="9">C10/F72*100</f>
        <v>0.79210097892043896</v>
      </c>
      <c r="D72" s="402">
        <f t="shared" ref="D72:D85" si="10">D10/F72*100</f>
        <v>2.2297397297925872</v>
      </c>
      <c r="E72" s="702"/>
      <c r="F72" s="376">
        <f>GETPIVOTDATA("Households",ReferenceHouseholds!$J$5,"Year",2010)</f>
        <v>2364850</v>
      </c>
      <c r="G72" s="25"/>
    </row>
    <row r="73" spans="1:10" x14ac:dyDescent="0.25">
      <c r="A73" s="176" t="str">
        <f t="shared" si="7"/>
        <v>2011-12</v>
      </c>
      <c r="B73" s="401">
        <f t="shared" si="8"/>
        <v>1.2138406277667622</v>
      </c>
      <c r="C73" s="401">
        <f t="shared" si="9"/>
        <v>1.1655748300808273</v>
      </c>
      <c r="D73" s="402">
        <f t="shared" si="10"/>
        <v>2.3794154578475895</v>
      </c>
      <c r="E73" s="401">
        <f t="shared" ref="E73:E85" si="11">E11/F73*100</f>
        <v>1.9523031243582796</v>
      </c>
      <c r="F73" s="376">
        <f>GETPIVOTDATA("Households",ReferenceHouseholds!$J$5,"Year",2011)</f>
        <v>2376424</v>
      </c>
      <c r="G73" s="25"/>
    </row>
    <row r="74" spans="1:10" x14ac:dyDescent="0.25">
      <c r="A74" s="176" t="str">
        <f t="shared" si="7"/>
        <v>2012-13</v>
      </c>
      <c r="B74" s="401">
        <f t="shared" si="8"/>
        <v>1.0899332121039444</v>
      </c>
      <c r="C74" s="401">
        <f t="shared" si="9"/>
        <v>1.2669588462537604</v>
      </c>
      <c r="D74" s="402">
        <f t="shared" si="10"/>
        <v>2.3568920583577047</v>
      </c>
      <c r="E74" s="401">
        <f t="shared" si="11"/>
        <v>1.8486923147830021</v>
      </c>
      <c r="F74" s="376">
        <f>GETPIVOTDATA("Households",ReferenceHouseholds!$J$5,"Year",2012)</f>
        <v>2386660</v>
      </c>
      <c r="G74" s="25"/>
    </row>
    <row r="75" spans="1:10" x14ac:dyDescent="0.25">
      <c r="A75" s="176" t="str">
        <f t="shared" si="7"/>
        <v>2013-14</v>
      </c>
      <c r="B75" s="401">
        <f t="shared" si="8"/>
        <v>1.2321577508538366</v>
      </c>
      <c r="C75" s="401">
        <f t="shared" si="9"/>
        <v>1.7277537950842006</v>
      </c>
      <c r="D75" s="402">
        <f t="shared" si="10"/>
        <v>2.9599115459380374</v>
      </c>
      <c r="E75" s="401">
        <f t="shared" si="11"/>
        <v>1.9232259403035068</v>
      </c>
      <c r="F75" s="376">
        <f>GETPIVOTDATA("Households",ReferenceHouseholds!$J$5,"Year",2013)</f>
        <v>2400342</v>
      </c>
      <c r="G75" s="25"/>
    </row>
    <row r="76" spans="1:10" ht="15" customHeight="1" x14ac:dyDescent="0.25">
      <c r="A76" s="176" t="str">
        <f t="shared" si="7"/>
        <v>2014-15</v>
      </c>
      <c r="B76" s="401">
        <f t="shared" si="8"/>
        <v>1.1169637262035732</v>
      </c>
      <c r="C76" s="401">
        <f t="shared" si="9"/>
        <v>1.6030122342006297</v>
      </c>
      <c r="D76" s="402">
        <f t="shared" si="10"/>
        <v>2.7199759604042031</v>
      </c>
      <c r="E76" s="401">
        <f t="shared" si="11"/>
        <v>1.7314469204234744</v>
      </c>
      <c r="F76" s="376">
        <f>GETPIVOTDATA("Households",ReferenceHouseholds!$J$5,"Year",2014)</f>
        <v>2416014</v>
      </c>
      <c r="G76" s="25"/>
    </row>
    <row r="77" spans="1:10" ht="15" customHeight="1" x14ac:dyDescent="0.25">
      <c r="A77" s="176" t="str">
        <f t="shared" si="7"/>
        <v>2015-16</v>
      </c>
      <c r="B77" s="401">
        <f t="shared" si="8"/>
        <v>1.1662001948193845</v>
      </c>
      <c r="C77" s="401">
        <f t="shared" si="9"/>
        <v>1.7851859076529779</v>
      </c>
      <c r="D77" s="402">
        <f t="shared" si="10"/>
        <v>2.9513861024723624</v>
      </c>
      <c r="E77" s="401">
        <f t="shared" si="11"/>
        <v>1.7988076263517294</v>
      </c>
      <c r="F77" s="376">
        <f>GETPIVOTDATA("Households",ReferenceHouseholds!$J$5,"Year",2015)</f>
        <v>2429943</v>
      </c>
      <c r="G77" s="25"/>
    </row>
    <row r="78" spans="1:10" ht="15" customHeight="1" x14ac:dyDescent="0.25">
      <c r="A78" s="176" t="str">
        <f t="shared" si="7"/>
        <v>2016-17</v>
      </c>
      <c r="B78" s="401">
        <f t="shared" si="8"/>
        <v>1.1861803610622479</v>
      </c>
      <c r="C78" s="401">
        <f t="shared" si="9"/>
        <v>1.7081798451539159</v>
      </c>
      <c r="D78" s="402">
        <f t="shared" si="10"/>
        <v>2.894360206216164</v>
      </c>
      <c r="E78" s="401">
        <f t="shared" si="11"/>
        <v>1.8118520741191029</v>
      </c>
      <c r="F78" s="376">
        <f>GETPIVOTDATA("Households",ReferenceHouseholds!$J$5,"Year",2016)</f>
        <v>2446171</v>
      </c>
      <c r="G78" s="25"/>
    </row>
    <row r="79" spans="1:10" ht="15" customHeight="1" x14ac:dyDescent="0.25">
      <c r="A79" s="176" t="str">
        <f t="shared" si="7"/>
        <v>2017-18</v>
      </c>
      <c r="B79" s="401">
        <f t="shared" si="8"/>
        <v>1.1269579849403264</v>
      </c>
      <c r="C79" s="401">
        <f t="shared" si="9"/>
        <v>1.7085469169249159</v>
      </c>
      <c r="D79" s="402">
        <f t="shared" si="10"/>
        <v>2.8355049018652427</v>
      </c>
      <c r="E79" s="401">
        <f t="shared" si="11"/>
        <v>1.7210533325537125</v>
      </c>
      <c r="F79" s="376">
        <f>GETPIVOTDATA("Households",ReferenceHouseholds!$J$5,"Year",2017)</f>
        <v>2462736</v>
      </c>
      <c r="G79" s="25"/>
    </row>
    <row r="80" spans="1:10" x14ac:dyDescent="0.25">
      <c r="A80" s="176" t="str">
        <f t="shared" si="7"/>
        <v>2018-19</v>
      </c>
      <c r="B80" s="401">
        <f t="shared" si="8"/>
        <v>0.98745597481103231</v>
      </c>
      <c r="C80" s="401">
        <f t="shared" si="9"/>
        <v>1.8060166917278058</v>
      </c>
      <c r="D80" s="402">
        <f t="shared" si="10"/>
        <v>2.7934726665388379</v>
      </c>
      <c r="E80" s="401">
        <f t="shared" si="11"/>
        <v>1.5157380589559093</v>
      </c>
      <c r="F80" s="376">
        <f>GETPIVOTDATA("Households",ReferenceHouseholds!$J$5,"Year",2018)</f>
        <v>2477275</v>
      </c>
      <c r="G80" s="25"/>
    </row>
    <row r="81" spans="1:11" x14ac:dyDescent="0.25">
      <c r="A81" s="176" t="str">
        <f t="shared" si="7"/>
        <v>2019-20</v>
      </c>
      <c r="B81" s="401">
        <f t="shared" si="8"/>
        <v>0.89324389140507199</v>
      </c>
      <c r="C81" s="401">
        <f t="shared" si="9"/>
        <v>1.8810934183568593</v>
      </c>
      <c r="D81" s="402">
        <f t="shared" si="10"/>
        <v>2.7743373097619308</v>
      </c>
      <c r="E81" s="401">
        <f t="shared" si="11"/>
        <v>1.3868280585649355</v>
      </c>
      <c r="F81" s="376">
        <f>GETPIVOTDATA("Households",ReferenceHouseholds!$J$5,"Year",2019)</f>
        <v>2495623</v>
      </c>
      <c r="G81" s="25"/>
    </row>
    <row r="82" spans="1:11" x14ac:dyDescent="0.25">
      <c r="A82" s="176" t="str">
        <f t="shared" si="7"/>
        <v>2020-21</v>
      </c>
      <c r="B82" s="401">
        <f t="shared" si="8"/>
        <v>0.30622601066746424</v>
      </c>
      <c r="C82" s="401">
        <f t="shared" si="9"/>
        <v>0.49126165196151739</v>
      </c>
      <c r="D82" s="402">
        <f t="shared" si="10"/>
        <v>0.79748766262898152</v>
      </c>
      <c r="E82" s="401">
        <f t="shared" si="11"/>
        <v>0.4998753800907233</v>
      </c>
      <c r="F82" s="376">
        <f>GETPIVOTDATA("Households",ReferenceHouseholds!$J$5,"Year",2020)</f>
        <v>2507625</v>
      </c>
      <c r="G82" s="25"/>
    </row>
    <row r="83" spans="1:11" x14ac:dyDescent="0.25">
      <c r="A83" s="176" t="str">
        <f t="shared" si="7"/>
        <v>2021-22</v>
      </c>
      <c r="B83" s="702">
        <f t="shared" si="8"/>
        <v>0.65263563325705276</v>
      </c>
      <c r="C83" s="702">
        <f t="shared" si="9"/>
        <v>1.0950548931261697</v>
      </c>
      <c r="D83" s="797">
        <f t="shared" si="10"/>
        <v>1.7476905263832225</v>
      </c>
      <c r="E83" s="702">
        <f t="shared" si="11"/>
        <v>1.8026568091163357</v>
      </c>
      <c r="F83" s="376">
        <f>GETPIVOTDATA("Households",ReferenceHouseholds!$J$5,"Year",2021)</f>
        <v>2528823</v>
      </c>
      <c r="G83" s="25"/>
    </row>
    <row r="84" spans="1:11" x14ac:dyDescent="0.25">
      <c r="A84" s="176" t="str">
        <f t="shared" si="7"/>
        <v>2022-23</v>
      </c>
      <c r="B84" s="702">
        <f t="shared" si="8"/>
        <v>0.26527602001257355</v>
      </c>
      <c r="C84" s="702">
        <f t="shared" si="9"/>
        <v>1.2524526462302685</v>
      </c>
      <c r="D84" s="797">
        <f t="shared" si="10"/>
        <v>1.5177286662428422</v>
      </c>
      <c r="E84" s="702">
        <f t="shared" si="11"/>
        <v>0.61534310378434043</v>
      </c>
      <c r="F84" s="376">
        <f>GETPIVOTDATA("Households",ReferenceHouseholds!$J$5,"Year",2022)</f>
        <v>2549797</v>
      </c>
      <c r="G84" s="25"/>
      <c r="K84" s="176"/>
    </row>
    <row r="85" spans="1:11" ht="15.75" thickBot="1" x14ac:dyDescent="0.3">
      <c r="A85" s="184" t="s">
        <v>1108</v>
      </c>
      <c r="B85" s="907">
        <f t="shared" si="8"/>
        <v>0.23358090332148729</v>
      </c>
      <c r="C85" s="907">
        <f t="shared" si="9"/>
        <v>1.2154726640923594</v>
      </c>
      <c r="D85" s="908">
        <f t="shared" si="10"/>
        <v>1.4490535674138467</v>
      </c>
      <c r="E85" s="907">
        <f t="shared" si="11"/>
        <v>0.62118636379772096</v>
      </c>
      <c r="F85" s="778">
        <f>GETPIVOTDATA("Households",ReferenceHouseholds!$J$5,"Year",2023)</f>
        <v>2535310</v>
      </c>
      <c r="G85" s="25"/>
      <c r="K85" s="176"/>
    </row>
    <row r="86" spans="1:11" x14ac:dyDescent="0.25">
      <c r="A86" s="176"/>
      <c r="B86" s="799"/>
      <c r="C86" s="799"/>
      <c r="D86" s="800"/>
      <c r="E86" s="799"/>
      <c r="F86" s="376"/>
      <c r="G86" s="25"/>
      <c r="K86" s="176"/>
    </row>
    <row r="87" spans="1:11" x14ac:dyDescent="0.25">
      <c r="A87" s="339" t="s">
        <v>8</v>
      </c>
      <c r="B87" s="344"/>
      <c r="C87" s="344"/>
      <c r="D87" s="344"/>
      <c r="E87" s="344"/>
      <c r="F87" s="344"/>
      <c r="G87" s="344"/>
      <c r="K87" s="176"/>
    </row>
    <row r="88" spans="1:11" ht="61.5" customHeight="1" x14ac:dyDescent="0.25">
      <c r="A88" s="996" t="s">
        <v>1227</v>
      </c>
      <c r="B88" s="996"/>
      <c r="C88" s="996"/>
      <c r="D88" s="996"/>
      <c r="E88" s="996"/>
      <c r="F88" s="569"/>
      <c r="G88" s="344"/>
      <c r="K88" s="176"/>
    </row>
    <row r="89" spans="1:11" ht="27.6" customHeight="1" x14ac:dyDescent="0.25">
      <c r="A89" s="1026" t="s">
        <v>1223</v>
      </c>
      <c r="B89" s="1026"/>
      <c r="C89" s="1026"/>
      <c r="D89" s="1026"/>
      <c r="E89" s="1026"/>
      <c r="F89" s="1026"/>
      <c r="G89" s="1026"/>
      <c r="H89" s="302"/>
    </row>
    <row r="90" spans="1:11" ht="47.1" customHeight="1" x14ac:dyDescent="0.25">
      <c r="A90" s="996" t="s">
        <v>1237</v>
      </c>
      <c r="B90" s="996"/>
      <c r="C90" s="996"/>
      <c r="D90" s="996"/>
      <c r="E90" s="996"/>
      <c r="F90" s="996"/>
      <c r="G90" s="996"/>
      <c r="H90" s="302"/>
    </row>
    <row r="91" spans="1:11" x14ac:dyDescent="0.25">
      <c r="A91" s="524" t="s">
        <v>738</v>
      </c>
      <c r="B91" s="427"/>
      <c r="C91" s="427"/>
      <c r="D91" s="427"/>
      <c r="E91" s="427"/>
      <c r="F91" s="427"/>
      <c r="G91" s="427"/>
      <c r="K91" s="176"/>
    </row>
    <row r="92" spans="1:11" x14ac:dyDescent="0.25">
      <c r="A92" s="507" t="s">
        <v>739</v>
      </c>
      <c r="B92" s="370"/>
      <c r="C92" s="568"/>
      <c r="D92" s="568"/>
      <c r="E92" s="568"/>
      <c r="F92" s="568"/>
      <c r="G92" s="371"/>
      <c r="K92" s="176"/>
    </row>
    <row r="93" spans="1:11" x14ac:dyDescent="0.25">
      <c r="J93" s="176"/>
      <c r="K93" s="176"/>
    </row>
    <row r="94" spans="1:11" x14ac:dyDescent="0.25">
      <c r="J94" s="176"/>
      <c r="K94" s="176"/>
    </row>
    <row r="95" spans="1:11" x14ac:dyDescent="0.25">
      <c r="J95" s="176"/>
      <c r="K95" s="176"/>
    </row>
    <row r="96" spans="1:11" x14ac:dyDescent="0.25">
      <c r="J96" s="176"/>
    </row>
    <row r="97" spans="1:10" x14ac:dyDescent="0.25">
      <c r="J97" s="176"/>
    </row>
    <row r="98" spans="1:10" x14ac:dyDescent="0.25">
      <c r="A98" s="362"/>
      <c r="J98" s="176"/>
    </row>
    <row r="99" spans="1:10" x14ac:dyDescent="0.25">
      <c r="J99" s="176"/>
    </row>
    <row r="100" spans="1:10" x14ac:dyDescent="0.25">
      <c r="J100" s="176"/>
    </row>
  </sheetData>
  <sheetProtection algorithmName="SHA-512" hashValue="aZoqpz6org8BBudfbSTFoBlnBc5kJjMh08kC5naYoOZetjo/LOdNFn/WyaEY3HQg7bYvUMjkEDMtZOHwqGdzrA==" saltValue="9QpUXk8whp7yisedEZ5w0Q==" spinCount="100000" sheet="1" scenarios="1" formatCells="0" sort="0" autoFilter="0" pivotTables="0"/>
  <mergeCells count="12">
    <mergeCell ref="F8:G8"/>
    <mergeCell ref="A34:F34"/>
    <mergeCell ref="A35:G35"/>
    <mergeCell ref="A36:G36"/>
    <mergeCell ref="A63:G63"/>
    <mergeCell ref="A89:G89"/>
    <mergeCell ref="A90:G90"/>
    <mergeCell ref="A39:D39"/>
    <mergeCell ref="A66:C66"/>
    <mergeCell ref="A88:E88"/>
    <mergeCell ref="A62:F62"/>
    <mergeCell ref="A64:G64"/>
  </mergeCells>
  <hyperlinks>
    <hyperlink ref="A91:G91" r:id="rId1" display="https://www.nrscotland.gov.uk/statistics-and-data/statistics/statistics-by-theme/households/household-estimates/2016/list-of-tables" xr:uid="{00000000-0004-0000-8000-000000000000}"/>
    <hyperlink ref="A2" location="'Table of Contents'!A1" display="Back to Table of Contents" xr:uid="{00000000-0004-0000-8000-000001000000}"/>
    <hyperlink ref="A92" r:id="rId2" xr:uid="{00000000-0004-0000-8000-000002000000}"/>
  </hyperlinks>
  <pageMargins left="0.70866141732283472" right="0.70866141732283472" top="0.74803149606299213" bottom="0.74803149606299213" header="0.31496062992125984" footer="0.31496062992125984"/>
  <pageSetup paperSize="9" scale="61" orientation="portrait" r:id="rId3"/>
  <tableParts count="1">
    <tablePart r:id="rId4"/>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148CB-879C-4EB2-9243-573977D07D53}">
  <sheetPr>
    <tabColor theme="7" tint="-0.249977111117893"/>
  </sheetPr>
  <dimension ref="B4:F35"/>
  <sheetViews>
    <sheetView workbookViewId="0">
      <selection activeCell="B24" sqref="B24"/>
    </sheetView>
  </sheetViews>
  <sheetFormatPr defaultRowHeight="15" x14ac:dyDescent="0.25"/>
  <cols>
    <col min="2" max="2" width="12.42578125" bestFit="1" customWidth="1"/>
    <col min="3" max="3" width="17" bestFit="1" customWidth="1"/>
    <col min="4" max="4" width="21.5703125" bestFit="1" customWidth="1"/>
    <col min="5" max="5" width="20" bestFit="1" customWidth="1"/>
    <col min="6" max="6" width="22.42578125" bestFit="1" customWidth="1"/>
  </cols>
  <sheetData>
    <row r="4" spans="2:6" x14ac:dyDescent="0.25">
      <c r="B4" s="394" t="s">
        <v>231</v>
      </c>
      <c r="C4" t="s">
        <v>1239</v>
      </c>
      <c r="D4" t="s">
        <v>1240</v>
      </c>
      <c r="E4" t="s">
        <v>1241</v>
      </c>
      <c r="F4" t="s">
        <v>1242</v>
      </c>
    </row>
    <row r="5" spans="2:6" x14ac:dyDescent="0.25">
      <c r="B5" s="395" t="s">
        <v>192</v>
      </c>
      <c r="C5">
        <v>66828</v>
      </c>
    </row>
    <row r="6" spans="2:6" x14ac:dyDescent="0.25">
      <c r="B6" s="395" t="s">
        <v>191</v>
      </c>
      <c r="C6">
        <v>63640</v>
      </c>
    </row>
    <row r="7" spans="2:6" x14ac:dyDescent="0.25">
      <c r="B7" s="395" t="s">
        <v>190</v>
      </c>
      <c r="C7">
        <v>69038</v>
      </c>
      <c r="D7">
        <v>176331</v>
      </c>
    </row>
    <row r="8" spans="2:6" x14ac:dyDescent="0.25">
      <c r="B8" s="395" t="s">
        <v>257</v>
      </c>
      <c r="C8">
        <v>68202</v>
      </c>
      <c r="D8">
        <v>177208</v>
      </c>
      <c r="F8">
        <v>45412</v>
      </c>
    </row>
    <row r="9" spans="2:6" x14ac:dyDescent="0.25">
      <c r="B9" s="395" t="s">
        <v>240</v>
      </c>
      <c r="C9">
        <v>67131</v>
      </c>
      <c r="D9">
        <v>180398</v>
      </c>
      <c r="E9">
        <v>264044</v>
      </c>
      <c r="F9">
        <v>45808</v>
      </c>
    </row>
    <row r="10" spans="2:6" x14ac:dyDescent="0.25">
      <c r="B10" s="395" t="s">
        <v>239</v>
      </c>
      <c r="C10">
        <v>66180</v>
      </c>
      <c r="D10">
        <v>176578</v>
      </c>
      <c r="E10">
        <v>267536</v>
      </c>
      <c r="F10">
        <v>47304</v>
      </c>
    </row>
    <row r="11" spans="2:6" x14ac:dyDescent="0.25">
      <c r="B11" s="395" t="s">
        <v>760</v>
      </c>
      <c r="C11">
        <v>66056</v>
      </c>
      <c r="D11">
        <v>174615</v>
      </c>
      <c r="E11">
        <v>272384</v>
      </c>
      <c r="F11">
        <v>47485</v>
      </c>
    </row>
    <row r="12" spans="2:6" x14ac:dyDescent="0.25">
      <c r="B12" s="395" t="s">
        <v>917</v>
      </c>
      <c r="C12">
        <v>19380</v>
      </c>
      <c r="D12">
        <v>135928</v>
      </c>
      <c r="E12">
        <v>235923</v>
      </c>
      <c r="F12">
        <v>12799</v>
      </c>
    </row>
    <row r="13" spans="2:6" x14ac:dyDescent="0.25">
      <c r="B13" s="395" t="s">
        <v>1010</v>
      </c>
      <c r="C13">
        <v>42606</v>
      </c>
      <c r="D13">
        <v>116376</v>
      </c>
      <c r="E13">
        <v>217787</v>
      </c>
      <c r="F13">
        <v>32582</v>
      </c>
    </row>
    <row r="14" spans="2:6" x14ac:dyDescent="0.25">
      <c r="B14" s="395" t="s">
        <v>1061</v>
      </c>
      <c r="C14">
        <v>36957</v>
      </c>
      <c r="D14">
        <v>87999</v>
      </c>
      <c r="E14">
        <v>193539</v>
      </c>
      <c r="F14">
        <v>26709</v>
      </c>
    </row>
    <row r="15" spans="2:6" x14ac:dyDescent="0.25">
      <c r="B15" s="395" t="s">
        <v>1108</v>
      </c>
      <c r="C15">
        <v>35000</v>
      </c>
      <c r="D15">
        <v>100834</v>
      </c>
      <c r="E15">
        <v>168447</v>
      </c>
      <c r="F15">
        <v>27138</v>
      </c>
    </row>
    <row r="16" spans="2:6" x14ac:dyDescent="0.25">
      <c r="B16" s="395" t="s">
        <v>236</v>
      </c>
      <c r="C16">
        <v>601018</v>
      </c>
      <c r="D16">
        <v>1326267</v>
      </c>
      <c r="E16">
        <v>1619660</v>
      </c>
      <c r="F16">
        <v>285237</v>
      </c>
    </row>
    <row r="24" spans="2:5" x14ac:dyDescent="0.25">
      <c r="B24" s="394" t="s">
        <v>231</v>
      </c>
      <c r="C24" t="s">
        <v>1239</v>
      </c>
      <c r="D24" t="s">
        <v>1240</v>
      </c>
      <c r="E24" t="s">
        <v>1241</v>
      </c>
    </row>
    <row r="25" spans="2:5" x14ac:dyDescent="0.25">
      <c r="B25" s="395" t="s">
        <v>192</v>
      </c>
      <c r="C25">
        <v>29094</v>
      </c>
    </row>
    <row r="26" spans="2:5" x14ac:dyDescent="0.25">
      <c r="B26" s="395" t="s">
        <v>191</v>
      </c>
      <c r="C26">
        <v>26541</v>
      </c>
    </row>
    <row r="27" spans="2:5" x14ac:dyDescent="0.25">
      <c r="B27" s="395" t="s">
        <v>190</v>
      </c>
      <c r="C27">
        <v>27846</v>
      </c>
      <c r="D27">
        <v>79298</v>
      </c>
    </row>
    <row r="28" spans="2:5" x14ac:dyDescent="0.25">
      <c r="B28" s="395" t="s">
        <v>257</v>
      </c>
      <c r="C28">
        <v>28400</v>
      </c>
      <c r="D28">
        <v>78665</v>
      </c>
    </row>
    <row r="29" spans="2:5" x14ac:dyDescent="0.25">
      <c r="B29" s="395" t="s">
        <v>240</v>
      </c>
      <c r="C29">
        <v>27184</v>
      </c>
      <c r="D29">
        <v>79049</v>
      </c>
      <c r="E29">
        <v>121558</v>
      </c>
    </row>
    <row r="30" spans="2:5" x14ac:dyDescent="0.25">
      <c r="B30" s="395" t="s">
        <v>239</v>
      </c>
      <c r="C30">
        <v>23995</v>
      </c>
      <c r="D30">
        <v>75250</v>
      </c>
      <c r="E30">
        <v>119658</v>
      </c>
    </row>
    <row r="31" spans="2:5" x14ac:dyDescent="0.25">
      <c r="B31" s="395" t="s">
        <v>760</v>
      </c>
      <c r="C31">
        <v>21868</v>
      </c>
      <c r="D31">
        <v>69792</v>
      </c>
      <c r="E31">
        <v>117387</v>
      </c>
    </row>
    <row r="32" spans="2:5" x14ac:dyDescent="0.25">
      <c r="B32" s="395" t="s">
        <v>917</v>
      </c>
      <c r="C32">
        <v>7589</v>
      </c>
      <c r="D32">
        <v>51886</v>
      </c>
      <c r="E32">
        <v>100274</v>
      </c>
    </row>
    <row r="33" spans="2:5" x14ac:dyDescent="0.25">
      <c r="B33" s="395" t="s">
        <v>1010</v>
      </c>
      <c r="C33">
        <v>5932</v>
      </c>
      <c r="D33">
        <v>34580</v>
      </c>
      <c r="E33">
        <v>81267</v>
      </c>
    </row>
    <row r="34" spans="2:5" x14ac:dyDescent="0.25">
      <c r="B34" s="395" t="s">
        <v>1108</v>
      </c>
      <c r="C34">
        <v>5788</v>
      </c>
    </row>
    <row r="35" spans="2:5" x14ac:dyDescent="0.25">
      <c r="B35" s="395" t="s">
        <v>236</v>
      </c>
      <c r="C35">
        <v>204237</v>
      </c>
      <c r="D35">
        <v>468520</v>
      </c>
      <c r="E35">
        <v>540144</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06E77-72F2-4933-BDB2-1D2C42641947}">
  <sheetPr>
    <tabColor theme="7" tint="-0.249977111117893"/>
  </sheetPr>
  <dimension ref="A1:E30"/>
  <sheetViews>
    <sheetView workbookViewId="0">
      <selection activeCell="C39" sqref="C39"/>
    </sheetView>
  </sheetViews>
  <sheetFormatPr defaultRowHeight="15" x14ac:dyDescent="0.25"/>
  <cols>
    <col min="1" max="1" width="7.42578125" bestFit="1" customWidth="1"/>
    <col min="2" max="2" width="12.85546875" bestFit="1" customWidth="1"/>
    <col min="3" max="3" width="17.42578125" bestFit="1" customWidth="1"/>
    <col min="4" max="4" width="15.85546875" bestFit="1" customWidth="1"/>
    <col min="5" max="5" width="18.28515625" bestFit="1" customWidth="1"/>
  </cols>
  <sheetData>
    <row r="1" spans="1:5" x14ac:dyDescent="0.25">
      <c r="A1" t="s">
        <v>1</v>
      </c>
      <c r="B1" t="s">
        <v>538</v>
      </c>
      <c r="C1" t="s">
        <v>358</v>
      </c>
      <c r="D1" t="s">
        <v>359</v>
      </c>
      <c r="E1" t="s">
        <v>360</v>
      </c>
    </row>
    <row r="2" spans="1:5" x14ac:dyDescent="0.25">
      <c r="A2" t="s">
        <v>192</v>
      </c>
      <c r="B2">
        <v>66828</v>
      </c>
    </row>
    <row r="3" spans="1:5" x14ac:dyDescent="0.25">
      <c r="A3" t="s">
        <v>191</v>
      </c>
      <c r="B3">
        <v>63640</v>
      </c>
    </row>
    <row r="4" spans="1:5" x14ac:dyDescent="0.25">
      <c r="A4" t="s">
        <v>190</v>
      </c>
      <c r="B4">
        <v>69038</v>
      </c>
      <c r="C4">
        <v>176331</v>
      </c>
    </row>
    <row r="5" spans="1:5" x14ac:dyDescent="0.25">
      <c r="A5" t="s">
        <v>257</v>
      </c>
      <c r="B5">
        <v>68202</v>
      </c>
      <c r="C5">
        <v>177208</v>
      </c>
      <c r="E5">
        <v>45412</v>
      </c>
    </row>
    <row r="6" spans="1:5" x14ac:dyDescent="0.25">
      <c r="A6" t="s">
        <v>240</v>
      </c>
      <c r="B6">
        <v>67131</v>
      </c>
      <c r="C6">
        <v>180398</v>
      </c>
      <c r="D6">
        <v>264044</v>
      </c>
      <c r="E6">
        <v>45808</v>
      </c>
    </row>
    <row r="7" spans="1:5" x14ac:dyDescent="0.25">
      <c r="A7" t="s">
        <v>239</v>
      </c>
      <c r="B7">
        <v>66180</v>
      </c>
      <c r="C7">
        <v>176578</v>
      </c>
      <c r="D7">
        <v>267536</v>
      </c>
      <c r="E7">
        <v>47304</v>
      </c>
    </row>
    <row r="8" spans="1:5" x14ac:dyDescent="0.25">
      <c r="A8" t="s">
        <v>1108</v>
      </c>
      <c r="B8">
        <v>35000</v>
      </c>
      <c r="C8">
        <v>100834</v>
      </c>
      <c r="D8">
        <v>168447</v>
      </c>
      <c r="E8">
        <v>27138</v>
      </c>
    </row>
    <row r="9" spans="1:5" x14ac:dyDescent="0.25">
      <c r="A9" t="s">
        <v>917</v>
      </c>
      <c r="B9">
        <v>19380</v>
      </c>
      <c r="C9">
        <v>135928</v>
      </c>
      <c r="D9">
        <v>235923</v>
      </c>
      <c r="E9">
        <v>12799</v>
      </c>
    </row>
    <row r="10" spans="1:5" x14ac:dyDescent="0.25">
      <c r="A10" t="s">
        <v>1010</v>
      </c>
      <c r="B10">
        <v>42606</v>
      </c>
      <c r="C10">
        <v>116376</v>
      </c>
      <c r="D10">
        <v>217787</v>
      </c>
      <c r="E10">
        <v>32582</v>
      </c>
    </row>
    <row r="11" spans="1:5" x14ac:dyDescent="0.25">
      <c r="A11" t="s">
        <v>760</v>
      </c>
      <c r="B11">
        <v>66056</v>
      </c>
      <c r="C11">
        <v>174615</v>
      </c>
      <c r="D11">
        <v>272384</v>
      </c>
      <c r="E11">
        <v>47485</v>
      </c>
    </row>
    <row r="12" spans="1:5" x14ac:dyDescent="0.25">
      <c r="A12" t="s">
        <v>1061</v>
      </c>
      <c r="B12">
        <v>36957</v>
      </c>
      <c r="C12">
        <v>87999</v>
      </c>
      <c r="D12">
        <v>193539</v>
      </c>
      <c r="E12">
        <v>26709</v>
      </c>
    </row>
    <row r="20" spans="1:4" x14ac:dyDescent="0.25">
      <c r="A20" t="s">
        <v>1</v>
      </c>
      <c r="B20" t="s">
        <v>538</v>
      </c>
      <c r="C20" t="s">
        <v>358</v>
      </c>
      <c r="D20" t="s">
        <v>359</v>
      </c>
    </row>
    <row r="21" spans="1:4" x14ac:dyDescent="0.25">
      <c r="A21" t="s">
        <v>192</v>
      </c>
      <c r="B21">
        <v>29094</v>
      </c>
    </row>
    <row r="22" spans="1:4" x14ac:dyDescent="0.25">
      <c r="A22" t="s">
        <v>191</v>
      </c>
      <c r="B22">
        <v>26541</v>
      </c>
    </row>
    <row r="23" spans="1:4" x14ac:dyDescent="0.25">
      <c r="A23" t="s">
        <v>190</v>
      </c>
      <c r="B23">
        <v>27846</v>
      </c>
      <c r="C23">
        <v>79298</v>
      </c>
    </row>
    <row r="24" spans="1:4" x14ac:dyDescent="0.25">
      <c r="A24" t="s">
        <v>257</v>
      </c>
      <c r="B24">
        <v>28400</v>
      </c>
      <c r="C24">
        <v>78665</v>
      </c>
    </row>
    <row r="25" spans="1:4" x14ac:dyDescent="0.25">
      <c r="A25" t="s">
        <v>240</v>
      </c>
      <c r="B25">
        <v>27184</v>
      </c>
      <c r="C25">
        <v>79049</v>
      </c>
      <c r="D25">
        <v>121558</v>
      </c>
    </row>
    <row r="26" spans="1:4" x14ac:dyDescent="0.25">
      <c r="A26" t="s">
        <v>239</v>
      </c>
      <c r="B26">
        <v>23995</v>
      </c>
      <c r="C26">
        <v>75250</v>
      </c>
      <c r="D26">
        <v>119658</v>
      </c>
    </row>
    <row r="27" spans="1:4" x14ac:dyDescent="0.25">
      <c r="A27" t="s">
        <v>917</v>
      </c>
      <c r="B27">
        <v>7589</v>
      </c>
      <c r="C27">
        <v>51886</v>
      </c>
      <c r="D27">
        <v>100274</v>
      </c>
    </row>
    <row r="28" spans="1:4" x14ac:dyDescent="0.25">
      <c r="A28" t="s">
        <v>760</v>
      </c>
      <c r="B28">
        <v>21868</v>
      </c>
      <c r="C28">
        <v>69792</v>
      </c>
      <c r="D28">
        <v>117387</v>
      </c>
    </row>
    <row r="29" spans="1:4" x14ac:dyDescent="0.25">
      <c r="A29" t="s">
        <v>1010</v>
      </c>
      <c r="B29">
        <v>5932</v>
      </c>
      <c r="C29">
        <v>34580</v>
      </c>
      <c r="D29">
        <v>81267</v>
      </c>
    </row>
    <row r="30" spans="1:4" x14ac:dyDescent="0.25">
      <c r="A30" t="s">
        <v>1108</v>
      </c>
      <c r="B30">
        <v>5788</v>
      </c>
    </row>
  </sheetData>
  <pageMargins left="0.7" right="0.7" top="0.75" bottom="0.75" header="0.3" footer="0.3"/>
  <tableParts count="2">
    <tablePart r:id="rId1"/>
    <tablePart r:id="rId2"/>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7" tint="-0.249977111117893"/>
  </sheetPr>
  <dimension ref="A1:K48"/>
  <sheetViews>
    <sheetView showGridLines="0" zoomScaleNormal="100" workbookViewId="0">
      <pane ySplit="2" topLeftCell="A3" activePane="bottomLeft" state="frozen"/>
      <selection pane="bottomLeft"/>
    </sheetView>
  </sheetViews>
  <sheetFormatPr defaultRowHeight="15" x14ac:dyDescent="0.25"/>
  <cols>
    <col min="1" max="1" width="19.42578125" customWidth="1"/>
    <col min="2" max="2" width="16.42578125" customWidth="1"/>
    <col min="3" max="3" width="18.140625" customWidth="1"/>
    <col min="4" max="4" width="16.5703125" customWidth="1"/>
    <col min="5" max="5" width="10.7109375" bestFit="1" customWidth="1"/>
    <col min="6" max="6" width="16.42578125" bestFit="1" customWidth="1"/>
  </cols>
  <sheetData>
    <row r="1" spans="1:11" ht="15.75" x14ac:dyDescent="0.25">
      <c r="A1" s="522" t="s">
        <v>533</v>
      </c>
      <c r="B1" s="522"/>
      <c r="C1" s="522"/>
    </row>
    <row r="2" spans="1:11" ht="15.75" x14ac:dyDescent="0.25">
      <c r="A2" s="507" t="s">
        <v>511</v>
      </c>
      <c r="B2" s="449"/>
      <c r="C2" s="449"/>
    </row>
    <row r="3" spans="1:11" x14ac:dyDescent="0.25">
      <c r="A3" s="25"/>
      <c r="B3" s="25"/>
      <c r="C3" s="25"/>
      <c r="D3" s="25"/>
      <c r="E3" s="25"/>
      <c r="F3" s="25"/>
      <c r="G3" s="25"/>
      <c r="H3" s="25"/>
      <c r="I3" s="25"/>
      <c r="J3" s="25"/>
      <c r="K3" s="25"/>
    </row>
    <row r="4" spans="1:11" ht="15.75" x14ac:dyDescent="0.25">
      <c r="A4" s="1033" t="s">
        <v>535</v>
      </c>
      <c r="B4" s="1033"/>
      <c r="C4" s="1033"/>
      <c r="D4" s="1033"/>
      <c r="E4" s="1033"/>
      <c r="F4" s="1033"/>
      <c r="G4" s="1033"/>
      <c r="H4" s="1033"/>
      <c r="I4" s="1033"/>
      <c r="J4" s="1033"/>
      <c r="K4" s="1033"/>
    </row>
    <row r="5" spans="1:11" ht="15.75" x14ac:dyDescent="0.25">
      <c r="A5" t="s">
        <v>328</v>
      </c>
      <c r="B5" t="s">
        <v>697</v>
      </c>
      <c r="C5" s="508"/>
      <c r="D5" s="508"/>
      <c r="E5" s="508"/>
      <c r="F5" s="508"/>
      <c r="G5" s="508"/>
      <c r="H5" s="508"/>
      <c r="I5" s="508"/>
      <c r="J5" s="508"/>
      <c r="K5" s="508"/>
    </row>
    <row r="6" spans="1:11" ht="15.75" x14ac:dyDescent="0.25">
      <c r="A6" t="s">
        <v>329</v>
      </c>
      <c r="B6" t="s">
        <v>331</v>
      </c>
      <c r="C6" s="508"/>
      <c r="D6" s="508"/>
      <c r="E6" s="508"/>
      <c r="F6" s="508"/>
      <c r="G6" s="508"/>
      <c r="H6" s="508"/>
      <c r="I6" s="508"/>
      <c r="J6" s="508"/>
      <c r="K6" s="508"/>
    </row>
    <row r="7" spans="1:11" ht="15.75" x14ac:dyDescent="0.25">
      <c r="A7" t="s">
        <v>330</v>
      </c>
      <c r="B7" t="s">
        <v>534</v>
      </c>
      <c r="C7" s="508"/>
      <c r="D7" s="508"/>
      <c r="E7" s="508"/>
      <c r="F7" s="508"/>
      <c r="G7" s="508"/>
      <c r="H7" s="508"/>
      <c r="I7" s="508"/>
      <c r="J7" s="508"/>
      <c r="K7" s="508"/>
    </row>
    <row r="8" spans="1:11" ht="15.75" x14ac:dyDescent="0.25">
      <c r="C8" s="508"/>
      <c r="D8" s="508"/>
      <c r="E8" s="508"/>
      <c r="F8" s="508"/>
      <c r="G8" s="508"/>
      <c r="H8" s="508"/>
      <c r="I8" s="508"/>
      <c r="J8" s="508"/>
      <c r="K8" s="508"/>
    </row>
    <row r="9" spans="1:11" ht="15.75" x14ac:dyDescent="0.25">
      <c r="A9" s="317"/>
      <c r="B9" s="1038" t="s">
        <v>537</v>
      </c>
      <c r="C9" s="1038"/>
      <c r="D9" s="1038"/>
      <c r="E9" s="508"/>
      <c r="F9" s="508"/>
      <c r="G9" s="508"/>
      <c r="H9" s="508"/>
      <c r="I9" s="508"/>
      <c r="J9" s="508"/>
      <c r="K9" s="508"/>
    </row>
    <row r="10" spans="1:11" ht="45" x14ac:dyDescent="0.25">
      <c r="A10" s="534" t="s">
        <v>1</v>
      </c>
      <c r="B10" s="706" t="s">
        <v>538</v>
      </c>
      <c r="C10" s="952" t="s">
        <v>358</v>
      </c>
      <c r="D10" s="951" t="s">
        <v>359</v>
      </c>
      <c r="E10" s="703" t="s">
        <v>360</v>
      </c>
      <c r="F10" s="951" t="s">
        <v>539</v>
      </c>
      <c r="G10" s="508"/>
      <c r="H10" s="508"/>
      <c r="I10" s="508"/>
      <c r="J10" s="508"/>
      <c r="K10" s="508"/>
    </row>
    <row r="11" spans="1:11" ht="15.75" x14ac:dyDescent="0.25">
      <c r="A11" s="957" t="s">
        <v>192</v>
      </c>
      <c r="B11" s="376">
        <f>GETPIVOTDATA("Sum of In One Year",DistinctPropertiesPivot!$B$4,"Year",A11)</f>
        <v>66828</v>
      </c>
      <c r="C11" s="949"/>
      <c r="D11" s="953"/>
      <c r="E11" s="958"/>
      <c r="F11" s="961"/>
      <c r="G11" s="508"/>
      <c r="H11" s="508"/>
      <c r="I11" s="508"/>
      <c r="J11" s="508"/>
      <c r="K11" s="508"/>
    </row>
    <row r="12" spans="1:11" ht="15.75" x14ac:dyDescent="0.25">
      <c r="A12" s="739" t="s">
        <v>191</v>
      </c>
      <c r="B12" s="376">
        <f>GETPIVOTDATA("Sum of In One Year",DistinctPropertiesPivot!$B$4,"Year",A12)</f>
        <v>63640</v>
      </c>
      <c r="C12" s="949"/>
      <c r="D12" s="954"/>
      <c r="E12" s="958"/>
      <c r="F12" s="962"/>
      <c r="G12" s="508"/>
      <c r="H12" s="508"/>
      <c r="I12" s="508"/>
      <c r="J12" s="508"/>
      <c r="K12" s="508"/>
    </row>
    <row r="13" spans="1:11" ht="15.75" x14ac:dyDescent="0.25">
      <c r="A13" s="739" t="s">
        <v>190</v>
      </c>
      <c r="B13" s="376">
        <f>GETPIVOTDATA("Sum of In One Year",DistinctPropertiesPivot!$B$4,"Year",A13)</f>
        <v>69038</v>
      </c>
      <c r="C13" s="948">
        <f>GETPIVOTDATA("Sum of Over Three Years",DistinctPropertiesPivot!$B$4,"Year",A13)</f>
        <v>176331</v>
      </c>
      <c r="D13" s="954"/>
      <c r="E13" s="958"/>
      <c r="F13" s="962"/>
      <c r="G13" s="508"/>
      <c r="H13" s="508"/>
      <c r="I13" s="508"/>
      <c r="J13" s="508"/>
      <c r="K13" s="508"/>
    </row>
    <row r="14" spans="1:11" ht="15.75" x14ac:dyDescent="0.25">
      <c r="A14" s="739" t="s">
        <v>257</v>
      </c>
      <c r="B14" s="376">
        <f>GETPIVOTDATA("Sum of In One Year",DistinctPropertiesPivot!$B$4,"Year",A14)</f>
        <v>68202</v>
      </c>
      <c r="C14" s="948">
        <f>GETPIVOTDATA("Sum of Over Three Years",DistinctPropertiesPivot!$B$4,"Year",A14)</f>
        <v>177208</v>
      </c>
      <c r="D14" s="954"/>
      <c r="E14" s="960">
        <f>GETPIVOTDATA("Sum of Non-repeat Visits",DistinctPropertiesPivot!$B$4,"Year",A14)</f>
        <v>45412</v>
      </c>
      <c r="F14" s="959">
        <f>E14/HFSVs!D16</f>
        <v>0.64140337000889813</v>
      </c>
      <c r="G14" s="508"/>
      <c r="H14" s="508"/>
      <c r="I14" s="508"/>
      <c r="J14" s="508"/>
      <c r="K14" s="508"/>
    </row>
    <row r="15" spans="1:11" ht="15.75" x14ac:dyDescent="0.25">
      <c r="A15" s="739" t="s">
        <v>240</v>
      </c>
      <c r="B15" s="376">
        <f>GETPIVOTDATA("Sum of In One Year",DistinctPropertiesPivot!$B$4,"Year",A15)</f>
        <v>67131</v>
      </c>
      <c r="C15" s="948">
        <f>GETPIVOTDATA("Sum of Over Three Years",DistinctPropertiesPivot!$B$4,"Year",A15)</f>
        <v>180398</v>
      </c>
      <c r="D15" s="955">
        <f>GETPIVOTDATA("Sum of Over Five Years",DistinctPropertiesPivot!$B$4,"Year",A15)</f>
        <v>264044</v>
      </c>
      <c r="E15" s="960">
        <f>GETPIVOTDATA("Sum of Non-repeat Visits",DistinctPropertiesPivot!$B$4,"Year",A15)</f>
        <v>45808</v>
      </c>
      <c r="F15" s="959">
        <f>E15/HFSVs!D17</f>
        <v>0.6559837321533416</v>
      </c>
      <c r="G15" s="508"/>
      <c r="H15" s="508"/>
      <c r="I15" s="508"/>
      <c r="J15" s="508"/>
      <c r="K15" s="508"/>
    </row>
    <row r="16" spans="1:11" ht="15.75" x14ac:dyDescent="0.25">
      <c r="A16" s="739" t="s">
        <v>239</v>
      </c>
      <c r="B16" s="376">
        <f>GETPIVOTDATA("Sum of In One Year",DistinctPropertiesPivot!$B$4,"Year",A16)</f>
        <v>66180</v>
      </c>
      <c r="C16" s="948">
        <f>GETPIVOTDATA("Sum of Over Three Years",DistinctPropertiesPivot!$B$4,"Year",A16)</f>
        <v>176578</v>
      </c>
      <c r="D16" s="955">
        <f>GETPIVOTDATA("Sum of Over Five Years",DistinctPropertiesPivot!$B$4,"Year",A16)</f>
        <v>267536</v>
      </c>
      <c r="E16" s="960">
        <f>GETPIVOTDATA("Sum of Non-repeat Visits",DistinctPropertiesPivot!$B$4,"Year",A16)</f>
        <v>47304</v>
      </c>
      <c r="F16" s="959">
        <f>E16/HFSVs!D18</f>
        <v>0.68356405884223004</v>
      </c>
      <c r="G16" s="508"/>
      <c r="H16" s="508"/>
      <c r="I16" s="508"/>
      <c r="J16" s="508"/>
      <c r="K16" s="508"/>
    </row>
    <row r="17" spans="1:11" ht="15.75" x14ac:dyDescent="0.25">
      <c r="A17" s="739" t="s">
        <v>760</v>
      </c>
      <c r="B17" s="376">
        <f>GETPIVOTDATA("Sum of In One Year",DistinctPropertiesPivot!$B$4,"Year",A17)</f>
        <v>66056</v>
      </c>
      <c r="C17" s="948">
        <f>GETPIVOTDATA("Sum of Over Three Years",DistinctPropertiesPivot!$B$4,"Year",A17)</f>
        <v>174615</v>
      </c>
      <c r="D17" s="955">
        <f>GETPIVOTDATA("Sum of Over Five Years",DistinctPropertiesPivot!$B$4,"Year",A17)</f>
        <v>272384</v>
      </c>
      <c r="E17" s="960">
        <f>GETPIVOTDATA("Sum of Non-repeat Visits",DistinctPropertiesPivot!$B$4,"Year",A17)</f>
        <v>47485</v>
      </c>
      <c r="F17" s="959">
        <f>E17/HFSVs!D19</f>
        <v>0.68583271949968949</v>
      </c>
      <c r="G17" s="508"/>
      <c r="H17" s="508"/>
      <c r="I17" s="508"/>
      <c r="J17" s="508"/>
      <c r="K17" s="508"/>
    </row>
    <row r="18" spans="1:11" ht="15.75" x14ac:dyDescent="0.25">
      <c r="A18" s="739" t="s">
        <v>917</v>
      </c>
      <c r="B18" s="376">
        <f>GETPIVOTDATA("Sum of In One Year",DistinctPropertiesPivot!$B$4,"Year",A18)</f>
        <v>19380</v>
      </c>
      <c r="C18" s="948">
        <f>GETPIVOTDATA("Sum of Over Three Years",DistinctPropertiesPivot!$B$4,"Year",A18)</f>
        <v>135928</v>
      </c>
      <c r="D18" s="955">
        <f>GETPIVOTDATA("Sum of Over Five Years",DistinctPropertiesPivot!$B$4,"Year",A18)</f>
        <v>235923</v>
      </c>
      <c r="E18" s="960">
        <f>GETPIVOTDATA("Sum of Non-repeat Visits",DistinctPropertiesPivot!$B$4,"Year",A18)</f>
        <v>12799</v>
      </c>
      <c r="F18" s="959">
        <f>E18/HFSVs!D20</f>
        <v>0.64001400140013998</v>
      </c>
      <c r="G18" s="508"/>
      <c r="H18" s="508"/>
      <c r="I18" s="508"/>
      <c r="J18" s="508"/>
      <c r="K18" s="508"/>
    </row>
    <row r="19" spans="1:11" ht="15.75" x14ac:dyDescent="0.25">
      <c r="A19" s="739" t="s">
        <v>1010</v>
      </c>
      <c r="B19" s="376">
        <f>GETPIVOTDATA("Sum of In One Year",DistinctPropertiesPivot!$B$4,"Year",A19)</f>
        <v>42606</v>
      </c>
      <c r="C19" s="948">
        <f>GETPIVOTDATA("Sum of Over Three Years",DistinctPropertiesPivot!$B$4,"Year",A19)</f>
        <v>116376</v>
      </c>
      <c r="D19" s="955">
        <f>GETPIVOTDATA("Sum of Over Five Years",DistinctPropertiesPivot!$B$4,"Year",A19)</f>
        <v>217787</v>
      </c>
      <c r="E19" s="960">
        <f>GETPIVOTDATA("Sum of Non-repeat Visits",DistinctPropertiesPivot!$B$4,"Year",A19)</f>
        <v>32582</v>
      </c>
      <c r="F19" s="959">
        <f>E19/HFSVs!D21</f>
        <v>0.73721603765046606</v>
      </c>
      <c r="G19" s="508"/>
      <c r="H19" s="508"/>
      <c r="I19" s="508"/>
      <c r="J19" s="508"/>
      <c r="K19" s="508"/>
    </row>
    <row r="20" spans="1:11" ht="15.75" x14ac:dyDescent="0.25">
      <c r="A20" s="739" t="s">
        <v>1061</v>
      </c>
      <c r="B20" s="376">
        <f>GETPIVOTDATA("Sum of In One Year",DistinctPropertiesPivot!$B$4,"Year",A20)</f>
        <v>36957</v>
      </c>
      <c r="C20" s="948">
        <f>GETPIVOTDATA("Sum of Over Three Years",DistinctPropertiesPivot!$B$4,"Year",A20)</f>
        <v>87999</v>
      </c>
      <c r="D20" s="955">
        <f>GETPIVOTDATA("Sum of Over Five Years",DistinctPropertiesPivot!$B$4,"Year",A20)</f>
        <v>193539</v>
      </c>
      <c r="E20" s="960">
        <f>GETPIVOTDATA("Sum of Non-repeat Visits",DistinctPropertiesPivot!$B$4,"Year",A20)</f>
        <v>26709</v>
      </c>
      <c r="F20" s="959">
        <f>E20/HFSVs!D22</f>
        <v>0.6901728726840487</v>
      </c>
      <c r="G20" s="508"/>
      <c r="H20" s="508"/>
      <c r="I20" s="508"/>
      <c r="J20" s="508"/>
      <c r="K20" s="508"/>
    </row>
    <row r="21" spans="1:11" ht="16.5" thickBot="1" x14ac:dyDescent="0.3">
      <c r="A21" s="813" t="s">
        <v>1108</v>
      </c>
      <c r="B21" s="778">
        <f>GETPIVOTDATA("Sum of In One Year",DistinctPropertiesPivot!$B$4,"Year",A21)</f>
        <v>35000</v>
      </c>
      <c r="C21" s="950">
        <f>GETPIVOTDATA("Sum of Over Three Years",DistinctPropertiesPivot!$B$4,"Year",A21)</f>
        <v>100834</v>
      </c>
      <c r="D21" s="956">
        <f>GETPIVOTDATA("Sum of Over Five Years",DistinctPropertiesPivot!$B$4,"Year",A21)</f>
        <v>168447</v>
      </c>
      <c r="E21" s="963">
        <f>GETPIVOTDATA("Sum of Non-repeat Visits",DistinctPropertiesPivot!$B$4,"Year",A21)</f>
        <v>27138</v>
      </c>
      <c r="F21" s="964">
        <f>E21/HFSVs!D23</f>
        <v>0.73869018455005719</v>
      </c>
      <c r="G21" s="508"/>
      <c r="H21" s="508"/>
      <c r="I21" s="508"/>
      <c r="J21" s="508"/>
      <c r="K21" s="508"/>
    </row>
    <row r="22" spans="1:11" ht="15.75" x14ac:dyDescent="0.25">
      <c r="C22" s="508"/>
      <c r="D22" s="508"/>
      <c r="E22" s="508"/>
      <c r="F22" s="508"/>
      <c r="G22" s="508"/>
      <c r="H22" s="508"/>
      <c r="I22" s="508"/>
      <c r="J22" s="508"/>
      <c r="K22" s="508"/>
    </row>
    <row r="23" spans="1:11" x14ac:dyDescent="0.25">
      <c r="A23" s="317" t="s">
        <v>8</v>
      </c>
    </row>
    <row r="24" spans="1:11" ht="30.6" customHeight="1" x14ac:dyDescent="0.25">
      <c r="A24" s="992" t="s">
        <v>1232</v>
      </c>
      <c r="B24" s="992"/>
      <c r="C24" s="992"/>
      <c r="D24" s="992"/>
      <c r="E24" s="992"/>
      <c r="F24" s="992"/>
    </row>
    <row r="25" spans="1:11" ht="17.45" customHeight="1" x14ac:dyDescent="0.25">
      <c r="A25" t="s">
        <v>740</v>
      </c>
    </row>
    <row r="26" spans="1:11" ht="15.75" x14ac:dyDescent="0.25">
      <c r="G26" s="508"/>
      <c r="H26" s="508"/>
      <c r="I26" s="508"/>
      <c r="J26" s="508"/>
      <c r="K26" s="508"/>
    </row>
    <row r="27" spans="1:11" ht="15.75" x14ac:dyDescent="0.25">
      <c r="A27" s="1035" t="s">
        <v>536</v>
      </c>
      <c r="B27" s="1035"/>
      <c r="C27" s="1035"/>
      <c r="D27" s="1035"/>
      <c r="E27" s="1035"/>
      <c r="F27" s="508"/>
      <c r="G27" s="508"/>
      <c r="H27" s="508"/>
      <c r="I27" s="508"/>
      <c r="J27" s="508"/>
      <c r="K27" s="508"/>
    </row>
    <row r="28" spans="1:11" ht="15.75" x14ac:dyDescent="0.25">
      <c r="A28" t="s">
        <v>328</v>
      </c>
      <c r="B28" t="s">
        <v>698</v>
      </c>
      <c r="C28" s="508"/>
      <c r="D28" s="508"/>
      <c r="E28" s="508"/>
      <c r="F28" s="508"/>
      <c r="G28" s="508"/>
      <c r="H28" s="508"/>
      <c r="I28" s="508"/>
      <c r="J28" s="508"/>
      <c r="K28" s="508"/>
    </row>
    <row r="29" spans="1:11" ht="15.75" x14ac:dyDescent="0.25">
      <c r="A29" t="s">
        <v>329</v>
      </c>
      <c r="B29" t="s">
        <v>331</v>
      </c>
      <c r="C29" s="508"/>
      <c r="D29" s="508"/>
      <c r="E29" s="508"/>
      <c r="F29" s="508"/>
    </row>
    <row r="30" spans="1:11" ht="16.5" customHeight="1" x14ac:dyDescent="0.25">
      <c r="A30" t="s">
        <v>330</v>
      </c>
      <c r="B30" t="s">
        <v>534</v>
      </c>
      <c r="C30" s="508"/>
      <c r="D30" s="508"/>
      <c r="E30" s="508"/>
      <c r="F30" s="508"/>
    </row>
    <row r="31" spans="1:11" ht="17.45" customHeight="1" x14ac:dyDescent="0.25"/>
    <row r="32" spans="1:11" x14ac:dyDescent="0.25">
      <c r="A32" s="317"/>
      <c r="B32" s="317" t="s">
        <v>540</v>
      </c>
      <c r="C32" s="317"/>
      <c r="D32" s="317"/>
    </row>
    <row r="33" spans="1:8" x14ac:dyDescent="0.25">
      <c r="A33" s="612" t="s">
        <v>1</v>
      </c>
      <c r="B33" s="706" t="s">
        <v>538</v>
      </c>
      <c r="C33" s="706" t="s">
        <v>358</v>
      </c>
      <c r="D33" s="707" t="s">
        <v>359</v>
      </c>
    </row>
    <row r="34" spans="1:8" x14ac:dyDescent="0.25">
      <c r="A34" s="739" t="s">
        <v>192</v>
      </c>
      <c r="B34" s="614">
        <f>GETPIVOTDATA("Sum of In One Year",DistinctPropertiesPivot!$B$24,"Year",A34)</f>
        <v>29094</v>
      </c>
      <c r="C34" s="719"/>
      <c r="D34" s="852"/>
    </row>
    <row r="35" spans="1:8" x14ac:dyDescent="0.25">
      <c r="A35" s="739" t="s">
        <v>191</v>
      </c>
      <c r="B35" s="614">
        <f>GETPIVOTDATA("Sum of In One Year",DistinctPropertiesPivot!$B$24,"Year",A35)</f>
        <v>26541</v>
      </c>
      <c r="C35" s="719"/>
      <c r="D35" s="852"/>
    </row>
    <row r="36" spans="1:8" x14ac:dyDescent="0.25">
      <c r="A36" s="739" t="s">
        <v>190</v>
      </c>
      <c r="B36" s="614">
        <f>GETPIVOTDATA("Sum of In One Year",DistinctPropertiesPivot!$B$24,"Year",A36)</f>
        <v>27846</v>
      </c>
      <c r="C36" s="614">
        <f>GETPIVOTDATA("Sum of Over Three Years",DistinctPropertiesPivot!$B$24,"Year",A36)</f>
        <v>79298</v>
      </c>
      <c r="D36" s="852"/>
    </row>
    <row r="37" spans="1:8" x14ac:dyDescent="0.25">
      <c r="A37" s="739" t="s">
        <v>257</v>
      </c>
      <c r="B37" s="614">
        <f>GETPIVOTDATA("Sum of In One Year",DistinctPropertiesPivot!$B$24,"Year",A37)</f>
        <v>28400</v>
      </c>
      <c r="C37" s="614">
        <f>GETPIVOTDATA("Sum of Over Three Years",DistinctPropertiesPivot!$B$24,"Year",A37)</f>
        <v>78665</v>
      </c>
      <c r="D37" s="852"/>
    </row>
    <row r="38" spans="1:8" x14ac:dyDescent="0.25">
      <c r="A38" s="739" t="s">
        <v>240</v>
      </c>
      <c r="B38" s="614">
        <f>GETPIVOTDATA("Sum of In One Year",DistinctPropertiesPivot!$B$24,"Year",A38)</f>
        <v>27184</v>
      </c>
      <c r="C38" s="614">
        <f>GETPIVOTDATA("Sum of Over Three Years",DistinctPropertiesPivot!$B$24,"Year",A38)</f>
        <v>79049</v>
      </c>
      <c r="D38" s="620">
        <f>GETPIVOTDATA("Sum of Over Five Years",DistinctPropertiesPivot!$B$24,"Year",A38)</f>
        <v>121558</v>
      </c>
    </row>
    <row r="39" spans="1:8" x14ac:dyDescent="0.25">
      <c r="A39" s="739" t="s">
        <v>239</v>
      </c>
      <c r="B39" s="614">
        <f>GETPIVOTDATA("Sum of In One Year",DistinctPropertiesPivot!$B$24,"Year",A39)</f>
        <v>23995</v>
      </c>
      <c r="C39" s="614">
        <f>GETPIVOTDATA("Sum of Over Three Years",DistinctPropertiesPivot!$B$24,"Year",A39)</f>
        <v>75250</v>
      </c>
      <c r="D39" s="620">
        <f>GETPIVOTDATA("Sum of Over Five Years",DistinctPropertiesPivot!$B$24,"Year",A39)</f>
        <v>119658</v>
      </c>
    </row>
    <row r="40" spans="1:8" x14ac:dyDescent="0.25">
      <c r="A40" s="739" t="s">
        <v>760</v>
      </c>
      <c r="B40" s="614">
        <f>GETPIVOTDATA("Sum of In One Year",DistinctPropertiesPivot!$B$24,"Year",A40)</f>
        <v>21868</v>
      </c>
      <c r="C40" s="614">
        <f>GETPIVOTDATA("Sum of Over Three Years",DistinctPropertiesPivot!$B$24,"Year",A40)</f>
        <v>69792</v>
      </c>
      <c r="D40" s="620">
        <f>GETPIVOTDATA("Sum of Over Five Years",DistinctPropertiesPivot!$B$24,"Year",A40)</f>
        <v>117387</v>
      </c>
    </row>
    <row r="41" spans="1:8" x14ac:dyDescent="0.25">
      <c r="A41" s="739" t="s">
        <v>917</v>
      </c>
      <c r="B41" s="614">
        <f>GETPIVOTDATA("Sum of In One Year",DistinctPropertiesPivot!$B$24,"Year",A41)</f>
        <v>7589</v>
      </c>
      <c r="C41" s="614">
        <f>GETPIVOTDATA("Sum of Over Three Years",DistinctPropertiesPivot!$B$24,"Year",A41)</f>
        <v>51886</v>
      </c>
      <c r="D41" s="620">
        <f>GETPIVOTDATA("Sum of Over Five Years",DistinctPropertiesPivot!$B$24,"Year",A41)</f>
        <v>100274</v>
      </c>
    </row>
    <row r="42" spans="1:8" x14ac:dyDescent="0.25">
      <c r="A42" s="739" t="s">
        <v>1010</v>
      </c>
      <c r="B42" s="719"/>
      <c r="C42" s="719"/>
      <c r="D42" s="852"/>
    </row>
    <row r="43" spans="1:8" x14ac:dyDescent="0.25">
      <c r="A43" s="739" t="s">
        <v>1061</v>
      </c>
      <c r="B43" s="719"/>
      <c r="C43" s="719"/>
      <c r="D43" s="852"/>
    </row>
    <row r="44" spans="1:8" ht="15.75" thickBot="1" x14ac:dyDescent="0.3">
      <c r="A44" s="813" t="s">
        <v>1108</v>
      </c>
      <c r="B44" s="619">
        <f>GETPIVOTDATA("Sum of In One Year",DistinctPropertiesPivot!$B$24,"Year",A44)</f>
        <v>5788</v>
      </c>
      <c r="C44" s="976"/>
      <c r="D44" s="977"/>
      <c r="E44" s="423"/>
      <c r="F44" s="423"/>
    </row>
    <row r="45" spans="1:8" ht="19.5" customHeight="1" x14ac:dyDescent="0.25">
      <c r="E45" s="423"/>
      <c r="F45" s="423"/>
    </row>
    <row r="46" spans="1:8" ht="14.45" customHeight="1" x14ac:dyDescent="0.25">
      <c r="A46" s="317" t="s">
        <v>8</v>
      </c>
      <c r="E46" s="423"/>
      <c r="F46" s="423"/>
    </row>
    <row r="47" spans="1:8" ht="43.5" customHeight="1" x14ac:dyDescent="0.25">
      <c r="A47" s="992" t="s">
        <v>1230</v>
      </c>
      <c r="B47" s="992"/>
      <c r="C47" s="992"/>
      <c r="D47" s="992"/>
      <c r="E47" s="992"/>
      <c r="F47" s="992"/>
      <c r="G47" s="992"/>
      <c r="H47" s="992"/>
    </row>
    <row r="48" spans="1:8" ht="15" customHeight="1" x14ac:dyDescent="0.25">
      <c r="A48" t="s">
        <v>1231</v>
      </c>
    </row>
  </sheetData>
  <sheetProtection algorithmName="SHA-512" hashValue="CFrKsEBCNDh/r/rMXFeVTV0EuL6Q7WN1YrpvJHLeHhICHn80V8nGVng/LCiDLcbRlp+AycOjkWen5J+wDYvQ9Q==" saltValue="HfgfAceA3gi4orrgV8fLHA==" spinCount="100000" sheet="1" scenarios="1" formatCells="0" sort="0" autoFilter="0" pivotTables="0"/>
  <mergeCells count="5">
    <mergeCell ref="A47:H47"/>
    <mergeCell ref="A4:K4"/>
    <mergeCell ref="A24:F24"/>
    <mergeCell ref="A27:E27"/>
    <mergeCell ref="B9:D9"/>
  </mergeCells>
  <hyperlinks>
    <hyperlink ref="A2" location="'Table of Contents'!A1" display="Back to Table of Contents" xr:uid="{00000000-0004-0000-8100-000000000000}"/>
  </hyperlink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A92B8-1EBF-4874-BA9F-AD29C1610575}">
  <sheetPr>
    <tabColor theme="7" tint="-0.249977111117893"/>
  </sheetPr>
  <dimension ref="B4:E44"/>
  <sheetViews>
    <sheetView topLeftCell="A13" workbookViewId="0">
      <selection activeCell="B33" sqref="B33"/>
    </sheetView>
  </sheetViews>
  <sheetFormatPr defaultRowHeight="15" x14ac:dyDescent="0.25"/>
  <cols>
    <col min="2" max="2" width="12.5703125" bestFit="1" customWidth="1"/>
    <col min="3" max="3" width="17.28515625" bestFit="1" customWidth="1"/>
    <col min="4" max="4" width="22.140625" bestFit="1" customWidth="1"/>
    <col min="5" max="5" width="20.7109375" bestFit="1" customWidth="1"/>
  </cols>
  <sheetData>
    <row r="4" spans="2:5" x14ac:dyDescent="0.25">
      <c r="B4" s="394" t="s">
        <v>231</v>
      </c>
      <c r="C4" t="s">
        <v>1239</v>
      </c>
      <c r="D4" t="s">
        <v>1240</v>
      </c>
      <c r="E4" t="s">
        <v>1241</v>
      </c>
    </row>
    <row r="5" spans="2:5" x14ac:dyDescent="0.25">
      <c r="B5" s="395" t="s">
        <v>192</v>
      </c>
      <c r="C5">
        <v>2.7800000000000002E-2</v>
      </c>
    </row>
    <row r="6" spans="2:5" x14ac:dyDescent="0.25">
      <c r="B6" s="395" t="s">
        <v>191</v>
      </c>
      <c r="C6">
        <v>2.63E-2</v>
      </c>
    </row>
    <row r="7" spans="2:5" x14ac:dyDescent="0.25">
      <c r="B7" s="395" t="s">
        <v>190</v>
      </c>
      <c r="C7">
        <v>2.8399999999999998E-2</v>
      </c>
      <c r="D7">
        <v>7.2999999999999995E-2</v>
      </c>
    </row>
    <row r="8" spans="2:5" x14ac:dyDescent="0.25">
      <c r="B8" s="395" t="s">
        <v>257</v>
      </c>
      <c r="C8">
        <v>2.7900000000000001E-2</v>
      </c>
      <c r="D8">
        <v>7.2900000000000006E-2</v>
      </c>
    </row>
    <row r="9" spans="2:5" x14ac:dyDescent="0.25">
      <c r="B9" s="395" t="s">
        <v>240</v>
      </c>
      <c r="C9">
        <v>2.7300000000000001E-2</v>
      </c>
      <c r="D9">
        <v>7.3700000000000002E-2</v>
      </c>
      <c r="E9">
        <v>0.1079</v>
      </c>
    </row>
    <row r="10" spans="2:5" x14ac:dyDescent="0.25">
      <c r="B10" s="395" t="s">
        <v>239</v>
      </c>
      <c r="C10">
        <v>2.6699999999999998E-2</v>
      </c>
      <c r="D10">
        <v>7.17E-2</v>
      </c>
      <c r="E10">
        <v>0.10869999999999999</v>
      </c>
    </row>
    <row r="11" spans="2:5" x14ac:dyDescent="0.25">
      <c r="B11" s="395" t="s">
        <v>760</v>
      </c>
      <c r="C11">
        <v>2.6499999999999999E-2</v>
      </c>
      <c r="D11">
        <v>7.0499999999999993E-2</v>
      </c>
      <c r="E11">
        <v>0.1099</v>
      </c>
    </row>
    <row r="12" spans="2:5" x14ac:dyDescent="0.25">
      <c r="B12" s="395" t="s">
        <v>917</v>
      </c>
      <c r="C12">
        <v>7.7000000000000002E-3</v>
      </c>
      <c r="D12">
        <v>5.45E-2</v>
      </c>
      <c r="E12">
        <v>9.4600000000000004E-2</v>
      </c>
    </row>
    <row r="13" spans="2:5" x14ac:dyDescent="0.25">
      <c r="B13" s="395" t="s">
        <v>1010</v>
      </c>
      <c r="C13">
        <v>1.6800000000000002E-2</v>
      </c>
      <c r="D13">
        <v>4.6399999999999997E-2</v>
      </c>
      <c r="E13">
        <v>8.6699999999999999E-2</v>
      </c>
    </row>
    <row r="14" spans="2:5" x14ac:dyDescent="0.25">
      <c r="B14" s="395" t="s">
        <v>1061</v>
      </c>
      <c r="C14">
        <v>1.4499999999999999E-2</v>
      </c>
      <c r="D14">
        <v>3.4799999999999998E-2</v>
      </c>
      <c r="E14">
        <v>7.6499999999999999E-2</v>
      </c>
    </row>
    <row r="15" spans="2:5" x14ac:dyDescent="0.25">
      <c r="B15" s="395" t="s">
        <v>1108</v>
      </c>
      <c r="C15">
        <v>1.38E-2</v>
      </c>
      <c r="D15">
        <v>3.9699999999999999E-2</v>
      </c>
      <c r="E15">
        <v>6.6400000000000001E-2</v>
      </c>
    </row>
    <row r="16" spans="2:5" x14ac:dyDescent="0.25">
      <c r="B16" s="395" t="s">
        <v>236</v>
      </c>
      <c r="C16">
        <v>0.2437</v>
      </c>
      <c r="D16">
        <v>0.53720000000000001</v>
      </c>
      <c r="E16">
        <v>0.65070000000000006</v>
      </c>
    </row>
    <row r="33" spans="2:5" x14ac:dyDescent="0.25">
      <c r="B33" s="394" t="s">
        <v>231</v>
      </c>
      <c r="C33" t="s">
        <v>1239</v>
      </c>
      <c r="D33" t="s">
        <v>1240</v>
      </c>
      <c r="E33" t="s">
        <v>1241</v>
      </c>
    </row>
    <row r="34" spans="2:5" x14ac:dyDescent="0.25">
      <c r="B34" s="395" t="s">
        <v>192</v>
      </c>
      <c r="C34">
        <v>1.21E-2</v>
      </c>
    </row>
    <row r="35" spans="2:5" x14ac:dyDescent="0.25">
      <c r="B35" s="395" t="s">
        <v>191</v>
      </c>
      <c r="C35">
        <v>1.1000000000000001E-2</v>
      </c>
    </row>
    <row r="36" spans="2:5" x14ac:dyDescent="0.25">
      <c r="B36" s="395" t="s">
        <v>190</v>
      </c>
      <c r="C36">
        <v>1.15E-2</v>
      </c>
      <c r="D36">
        <v>3.2800000000000003E-2</v>
      </c>
    </row>
    <row r="37" spans="2:5" x14ac:dyDescent="0.25">
      <c r="B37" s="395" t="s">
        <v>257</v>
      </c>
      <c r="C37">
        <v>1.1599999999999999E-2</v>
      </c>
      <c r="D37">
        <v>3.2400000000000005E-2</v>
      </c>
    </row>
    <row r="38" spans="2:5" x14ac:dyDescent="0.25">
      <c r="B38" s="395" t="s">
        <v>240</v>
      </c>
      <c r="C38">
        <v>1.1000000000000001E-2</v>
      </c>
      <c r="D38">
        <v>3.2300000000000002E-2</v>
      </c>
      <c r="E38">
        <v>4.9699999999999994E-2</v>
      </c>
    </row>
    <row r="39" spans="2:5" x14ac:dyDescent="0.25">
      <c r="B39" s="395" t="s">
        <v>239</v>
      </c>
      <c r="C39">
        <v>9.7000000000000003E-3</v>
      </c>
      <c r="D39">
        <v>3.0600000000000002E-2</v>
      </c>
      <c r="E39">
        <v>4.8600000000000004E-2</v>
      </c>
    </row>
    <row r="40" spans="2:5" x14ac:dyDescent="0.25">
      <c r="B40" s="395" t="s">
        <v>760</v>
      </c>
      <c r="C40">
        <v>8.8000000000000005E-3</v>
      </c>
      <c r="D40">
        <v>2.8199999999999999E-2</v>
      </c>
      <c r="E40">
        <v>4.7400000000000005E-2</v>
      </c>
    </row>
    <row r="41" spans="2:5" x14ac:dyDescent="0.25">
      <c r="B41" s="395" t="s">
        <v>917</v>
      </c>
      <c r="C41">
        <v>3.0000000000000001E-3</v>
      </c>
      <c r="D41">
        <v>2.0799999999999999E-2</v>
      </c>
      <c r="E41">
        <v>4.0199999999999993E-2</v>
      </c>
    </row>
    <row r="42" spans="2:5" x14ac:dyDescent="0.25">
      <c r="B42" s="395" t="s">
        <v>1010</v>
      </c>
      <c r="C42">
        <v>2.3E-3</v>
      </c>
      <c r="D42">
        <v>1.38E-2</v>
      </c>
      <c r="E42">
        <v>3.2400000000000005E-2</v>
      </c>
    </row>
    <row r="43" spans="2:5" x14ac:dyDescent="0.25">
      <c r="B43" s="395" t="s">
        <v>1108</v>
      </c>
      <c r="C43">
        <v>2.3E-3</v>
      </c>
    </row>
    <row r="44" spans="2:5" x14ac:dyDescent="0.25">
      <c r="B44" s="395" t="s">
        <v>236</v>
      </c>
      <c r="C44">
        <v>8.3300000000000013E-2</v>
      </c>
      <c r="D44">
        <v>0.19089999999999999</v>
      </c>
      <c r="E44">
        <v>0.21829999999999999</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6555-7E6F-4D0D-9BD4-AF9A194DDA55}">
  <sheetPr>
    <tabColor theme="7" tint="-0.249977111117893"/>
  </sheetPr>
  <dimension ref="A1:D29"/>
  <sheetViews>
    <sheetView workbookViewId="0">
      <selection activeCell="A19" sqref="A19:D29"/>
    </sheetView>
  </sheetViews>
  <sheetFormatPr defaultRowHeight="15" x14ac:dyDescent="0.25"/>
  <cols>
    <col min="1" max="1" width="7.42578125" bestFit="1" customWidth="1"/>
    <col min="2" max="2" width="13.140625" bestFit="1" customWidth="1"/>
    <col min="3" max="3" width="17.85546875" bestFit="1" customWidth="1"/>
    <col min="4" max="4" width="16.42578125" bestFit="1" customWidth="1"/>
  </cols>
  <sheetData>
    <row r="1" spans="1:4" x14ac:dyDescent="0.25">
      <c r="A1" t="s">
        <v>1</v>
      </c>
      <c r="B1" t="s">
        <v>538</v>
      </c>
      <c r="C1" t="s">
        <v>358</v>
      </c>
      <c r="D1" t="s">
        <v>359</v>
      </c>
    </row>
    <row r="2" spans="1:4" x14ac:dyDescent="0.25">
      <c r="A2" t="s">
        <v>192</v>
      </c>
      <c r="B2">
        <v>2.7800000000000002E-2</v>
      </c>
    </row>
    <row r="3" spans="1:4" x14ac:dyDescent="0.25">
      <c r="A3" t="s">
        <v>191</v>
      </c>
      <c r="B3">
        <v>2.63E-2</v>
      </c>
    </row>
    <row r="4" spans="1:4" x14ac:dyDescent="0.25">
      <c r="A4" t="s">
        <v>190</v>
      </c>
      <c r="B4">
        <v>2.8399999999999998E-2</v>
      </c>
      <c r="C4">
        <v>7.2999999999999995E-2</v>
      </c>
    </row>
    <row r="5" spans="1:4" x14ac:dyDescent="0.25">
      <c r="A5" t="s">
        <v>257</v>
      </c>
      <c r="B5">
        <v>2.7900000000000001E-2</v>
      </c>
      <c r="C5">
        <v>7.2900000000000006E-2</v>
      </c>
    </row>
    <row r="6" spans="1:4" x14ac:dyDescent="0.25">
      <c r="A6" t="s">
        <v>240</v>
      </c>
      <c r="B6">
        <v>2.7300000000000001E-2</v>
      </c>
      <c r="C6">
        <v>7.3700000000000002E-2</v>
      </c>
      <c r="D6">
        <v>0.1079</v>
      </c>
    </row>
    <row r="7" spans="1:4" x14ac:dyDescent="0.25">
      <c r="A7" t="s">
        <v>239</v>
      </c>
      <c r="B7">
        <v>2.6699999999999998E-2</v>
      </c>
      <c r="C7">
        <v>7.17E-2</v>
      </c>
      <c r="D7">
        <v>0.10869999999999999</v>
      </c>
    </row>
    <row r="8" spans="1:4" x14ac:dyDescent="0.25">
      <c r="A8" t="s">
        <v>1108</v>
      </c>
      <c r="B8">
        <v>1.38E-2</v>
      </c>
      <c r="C8">
        <v>3.9699999999999999E-2</v>
      </c>
      <c r="D8">
        <v>6.6400000000000001E-2</v>
      </c>
    </row>
    <row r="9" spans="1:4" x14ac:dyDescent="0.25">
      <c r="A9" t="s">
        <v>917</v>
      </c>
      <c r="B9">
        <v>7.7000000000000002E-3</v>
      </c>
      <c r="C9">
        <v>5.45E-2</v>
      </c>
      <c r="D9">
        <v>9.4600000000000004E-2</v>
      </c>
    </row>
    <row r="10" spans="1:4" x14ac:dyDescent="0.25">
      <c r="A10" t="s">
        <v>1010</v>
      </c>
      <c r="B10">
        <v>1.6800000000000002E-2</v>
      </c>
      <c r="C10">
        <v>4.6399999999999997E-2</v>
      </c>
      <c r="D10">
        <v>8.6699999999999999E-2</v>
      </c>
    </row>
    <row r="11" spans="1:4" x14ac:dyDescent="0.25">
      <c r="A11" t="s">
        <v>760</v>
      </c>
      <c r="B11">
        <v>2.6499999999999999E-2</v>
      </c>
      <c r="C11">
        <v>7.0499999999999993E-2</v>
      </c>
      <c r="D11">
        <v>0.1099</v>
      </c>
    </row>
    <row r="12" spans="1:4" x14ac:dyDescent="0.25">
      <c r="A12" t="s">
        <v>1061</v>
      </c>
      <c r="B12">
        <v>1.4499999999999999E-2</v>
      </c>
      <c r="C12">
        <v>3.4799999999999998E-2</v>
      </c>
      <c r="D12">
        <v>7.6499999999999999E-2</v>
      </c>
    </row>
    <row r="19" spans="1:4" x14ac:dyDescent="0.25">
      <c r="A19" t="s">
        <v>1</v>
      </c>
      <c r="B19" t="s">
        <v>538</v>
      </c>
      <c r="C19" t="s">
        <v>358</v>
      </c>
      <c r="D19" t="s">
        <v>359</v>
      </c>
    </row>
    <row r="20" spans="1:4" x14ac:dyDescent="0.25">
      <c r="A20" t="s">
        <v>192</v>
      </c>
      <c r="B20">
        <v>1.21E-2</v>
      </c>
    </row>
    <row r="21" spans="1:4" x14ac:dyDescent="0.25">
      <c r="A21" t="s">
        <v>191</v>
      </c>
      <c r="B21">
        <v>1.1000000000000001E-2</v>
      </c>
    </row>
    <row r="22" spans="1:4" x14ac:dyDescent="0.25">
      <c r="A22" t="s">
        <v>190</v>
      </c>
      <c r="B22">
        <v>1.15E-2</v>
      </c>
      <c r="C22">
        <v>3.2800000000000003E-2</v>
      </c>
    </row>
    <row r="23" spans="1:4" x14ac:dyDescent="0.25">
      <c r="A23" t="s">
        <v>257</v>
      </c>
      <c r="B23">
        <v>1.1599999999999999E-2</v>
      </c>
      <c r="C23">
        <v>3.2400000000000005E-2</v>
      </c>
    </row>
    <row r="24" spans="1:4" x14ac:dyDescent="0.25">
      <c r="A24" t="s">
        <v>240</v>
      </c>
      <c r="B24">
        <v>1.1000000000000001E-2</v>
      </c>
      <c r="C24">
        <v>3.2300000000000002E-2</v>
      </c>
      <c r="D24">
        <v>4.9699999999999994E-2</v>
      </c>
    </row>
    <row r="25" spans="1:4" x14ac:dyDescent="0.25">
      <c r="A25" t="s">
        <v>239</v>
      </c>
      <c r="B25">
        <v>9.7000000000000003E-3</v>
      </c>
      <c r="C25">
        <v>3.0600000000000002E-2</v>
      </c>
      <c r="D25">
        <v>4.8600000000000004E-2</v>
      </c>
    </row>
    <row r="26" spans="1:4" x14ac:dyDescent="0.25">
      <c r="A26" t="s">
        <v>917</v>
      </c>
      <c r="B26">
        <v>3.0000000000000001E-3</v>
      </c>
      <c r="C26">
        <v>2.0799999999999999E-2</v>
      </c>
      <c r="D26">
        <v>4.0199999999999993E-2</v>
      </c>
    </row>
    <row r="27" spans="1:4" x14ac:dyDescent="0.25">
      <c r="A27" t="s">
        <v>760</v>
      </c>
      <c r="B27">
        <v>8.8000000000000005E-3</v>
      </c>
      <c r="C27">
        <v>2.8199999999999999E-2</v>
      </c>
      <c r="D27">
        <v>4.7400000000000005E-2</v>
      </c>
    </row>
    <row r="28" spans="1:4" x14ac:dyDescent="0.25">
      <c r="A28" t="s">
        <v>1010</v>
      </c>
      <c r="B28">
        <v>2.3E-3</v>
      </c>
      <c r="C28">
        <v>1.38E-2</v>
      </c>
      <c r="D28">
        <v>3.2400000000000005E-2</v>
      </c>
    </row>
    <row r="29" spans="1:4" x14ac:dyDescent="0.25">
      <c r="A29" t="s">
        <v>1108</v>
      </c>
      <c r="B29">
        <v>2.3E-3</v>
      </c>
    </row>
  </sheetData>
  <pageMargins left="0.7" right="0.7" top="0.75" bottom="0.75" header="0.3" footer="0.3"/>
  <tableParts count="2">
    <tablePart r:id="rId1"/>
    <tablePart r:id="rId2"/>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7" tint="-0.249977111117893"/>
  </sheetPr>
  <dimension ref="A1:K49"/>
  <sheetViews>
    <sheetView showGridLines="0" workbookViewId="0">
      <pane ySplit="2" topLeftCell="A3" activePane="bottomLeft" state="frozen"/>
      <selection pane="bottomLeft"/>
    </sheetView>
  </sheetViews>
  <sheetFormatPr defaultRowHeight="15" x14ac:dyDescent="0.25"/>
  <cols>
    <col min="1" max="1" width="21.5703125" customWidth="1"/>
    <col min="2" max="2" width="15.85546875" customWidth="1"/>
    <col min="3" max="3" width="20.140625" customWidth="1"/>
    <col min="4" max="4" width="19.85546875" customWidth="1"/>
    <col min="5" max="5" width="11.42578125" customWidth="1"/>
  </cols>
  <sheetData>
    <row r="1" spans="1:11" ht="15.75" x14ac:dyDescent="0.25">
      <c r="A1" s="522" t="s">
        <v>533</v>
      </c>
      <c r="B1" s="522"/>
      <c r="C1" s="522"/>
    </row>
    <row r="2" spans="1:11" ht="15.75" x14ac:dyDescent="0.25">
      <c r="A2" s="507" t="s">
        <v>511</v>
      </c>
      <c r="B2" s="449"/>
      <c r="C2" s="449"/>
    </row>
    <row r="3" spans="1:11" x14ac:dyDescent="0.25">
      <c r="A3" s="25"/>
      <c r="B3" s="25"/>
      <c r="C3" s="25"/>
      <c r="D3" s="25"/>
      <c r="E3" s="25"/>
      <c r="F3" s="25"/>
      <c r="G3" s="25"/>
      <c r="H3" s="25"/>
      <c r="I3" s="25"/>
      <c r="J3" s="25"/>
      <c r="K3" s="25"/>
    </row>
    <row r="4" spans="1:11" ht="15.75" customHeight="1" x14ac:dyDescent="0.25">
      <c r="A4" s="531" t="s">
        <v>541</v>
      </c>
      <c r="B4" s="531"/>
      <c r="C4" s="531"/>
      <c r="D4" s="531"/>
      <c r="E4" s="531"/>
      <c r="F4" s="531"/>
      <c r="G4" s="531"/>
      <c r="H4" s="531"/>
      <c r="I4" s="531"/>
      <c r="J4" s="531"/>
      <c r="K4" s="531"/>
    </row>
    <row r="5" spans="1:11" ht="15.75" x14ac:dyDescent="0.25">
      <c r="A5" t="s">
        <v>328</v>
      </c>
      <c r="B5" t="s">
        <v>699</v>
      </c>
      <c r="C5" s="508"/>
      <c r="D5" s="508"/>
      <c r="E5" s="508"/>
      <c r="F5" s="508"/>
      <c r="G5" s="508"/>
      <c r="H5" s="508"/>
      <c r="I5" s="508"/>
      <c r="J5" s="508"/>
      <c r="K5" s="508"/>
    </row>
    <row r="6" spans="1:11" ht="15.75" x14ac:dyDescent="0.25">
      <c r="A6" t="s">
        <v>329</v>
      </c>
      <c r="B6" t="s">
        <v>331</v>
      </c>
      <c r="C6" s="508"/>
      <c r="D6" s="508"/>
      <c r="E6" s="508"/>
      <c r="F6" s="508"/>
      <c r="G6" s="508"/>
      <c r="H6" s="508"/>
      <c r="I6" s="508"/>
      <c r="J6" s="508"/>
      <c r="K6" s="508"/>
    </row>
    <row r="7" spans="1:11" ht="15.75" x14ac:dyDescent="0.25">
      <c r="A7" t="s">
        <v>330</v>
      </c>
      <c r="B7" t="s">
        <v>534</v>
      </c>
      <c r="C7" s="508"/>
      <c r="D7" s="508"/>
      <c r="E7" s="508"/>
      <c r="F7" s="508"/>
      <c r="G7" s="508"/>
      <c r="H7" s="508"/>
      <c r="I7" s="508"/>
      <c r="J7" s="508"/>
      <c r="K7" s="508"/>
    </row>
    <row r="9" spans="1:11" s="468" customFormat="1" x14ac:dyDescent="0.25">
      <c r="A9" s="317"/>
      <c r="B9" s="317"/>
      <c r="C9" s="317" t="s">
        <v>436</v>
      </c>
      <c r="D9" s="317"/>
    </row>
    <row r="10" spans="1:11" x14ac:dyDescent="0.25">
      <c r="A10" s="612" t="s">
        <v>1</v>
      </c>
      <c r="B10" s="707" t="s">
        <v>538</v>
      </c>
      <c r="C10" s="706" t="s">
        <v>358</v>
      </c>
      <c r="D10" s="707" t="s">
        <v>359</v>
      </c>
    </row>
    <row r="11" spans="1:11" x14ac:dyDescent="0.25">
      <c r="A11" s="739" t="s">
        <v>192</v>
      </c>
      <c r="B11" s="708">
        <f>GETPIVOTDATA("Sum of In One Year",DistinctPropertPopPivot!$B$4,"Year",A11)</f>
        <v>2.7800000000000002E-2</v>
      </c>
      <c r="C11" s="709"/>
      <c r="D11" s="710"/>
    </row>
    <row r="12" spans="1:11" x14ac:dyDescent="0.25">
      <c r="A12" s="739" t="s">
        <v>191</v>
      </c>
      <c r="B12" s="708">
        <f>GETPIVOTDATA("Sum of In One Year",DistinctPropertPopPivot!$B$4,"Year",A12)</f>
        <v>2.63E-2</v>
      </c>
      <c r="C12" s="709"/>
      <c r="D12" s="711"/>
    </row>
    <row r="13" spans="1:11" x14ac:dyDescent="0.25">
      <c r="A13" s="739" t="s">
        <v>190</v>
      </c>
      <c r="B13" s="708">
        <f>GETPIVOTDATA("Sum of In One Year",DistinctPropertPopPivot!$B$4,"Year",A13)</f>
        <v>2.8399999999999998E-2</v>
      </c>
      <c r="C13" s="708">
        <f>GETPIVOTDATA("Sum of Over Three Years",DistinctPropertPopPivot!$B$4,"Year",A13)</f>
        <v>7.2999999999999995E-2</v>
      </c>
      <c r="D13" s="711"/>
    </row>
    <row r="14" spans="1:11" x14ac:dyDescent="0.25">
      <c r="A14" s="739" t="s">
        <v>257</v>
      </c>
      <c r="B14" s="708">
        <f>GETPIVOTDATA("Sum of In One Year",DistinctPropertPopPivot!$B$4,"Year",A14)</f>
        <v>2.7900000000000001E-2</v>
      </c>
      <c r="C14" s="708">
        <f>GETPIVOTDATA("Sum of Over Three Years",DistinctPropertPopPivot!$B$4,"Year",A14)</f>
        <v>7.2900000000000006E-2</v>
      </c>
      <c r="D14" s="711"/>
    </row>
    <row r="15" spans="1:11" x14ac:dyDescent="0.25">
      <c r="A15" s="739" t="s">
        <v>240</v>
      </c>
      <c r="B15" s="708">
        <f>GETPIVOTDATA("Sum of In One Year",DistinctPropertPopPivot!$B$4,"Year",A15)</f>
        <v>2.7300000000000001E-2</v>
      </c>
      <c r="C15" s="708">
        <f>GETPIVOTDATA("Sum of Over Three Years",DistinctPropertPopPivot!$B$4,"Year",A15)</f>
        <v>7.3700000000000002E-2</v>
      </c>
      <c r="D15" s="704">
        <f>GETPIVOTDATA("Sum of Over Five Years",DistinctPropertPopPivot!$B$4,"Year",A15)</f>
        <v>0.1079</v>
      </c>
    </row>
    <row r="16" spans="1:11" x14ac:dyDescent="0.25">
      <c r="A16" s="739" t="s">
        <v>239</v>
      </c>
      <c r="B16" s="708">
        <f>GETPIVOTDATA("Sum of In One Year",DistinctPropertPopPivot!$B$4,"Year",A16)</f>
        <v>2.6699999999999998E-2</v>
      </c>
      <c r="C16" s="708">
        <f>GETPIVOTDATA("Sum of Over Three Years",DistinctPropertPopPivot!$B$4,"Year",A16)</f>
        <v>7.17E-2</v>
      </c>
      <c r="D16" s="704">
        <f>GETPIVOTDATA("Sum of Over Five Years",DistinctPropertPopPivot!$B$4,"Year",A16)</f>
        <v>0.10869999999999999</v>
      </c>
    </row>
    <row r="17" spans="1:11" x14ac:dyDescent="0.25">
      <c r="A17" s="739" t="s">
        <v>760</v>
      </c>
      <c r="B17" s="708">
        <f>GETPIVOTDATA("Sum of In One Year",DistinctPropertPopPivot!$B$4,"Year",A17)</f>
        <v>2.6499999999999999E-2</v>
      </c>
      <c r="C17" s="708">
        <f>GETPIVOTDATA("Sum of Over Three Years",DistinctPropertPopPivot!$B$4,"Year",A17)</f>
        <v>7.0499999999999993E-2</v>
      </c>
      <c r="D17" s="704">
        <f>GETPIVOTDATA("Sum of Over Five Years",DistinctPropertPopPivot!$B$4,"Year",A17)</f>
        <v>0.1099</v>
      </c>
    </row>
    <row r="18" spans="1:11" x14ac:dyDescent="0.25">
      <c r="A18" s="739" t="s">
        <v>917</v>
      </c>
      <c r="B18" s="708">
        <f>GETPIVOTDATA("Sum of In One Year",DistinctPropertPopPivot!$B$4,"Year",A18)</f>
        <v>7.7000000000000002E-3</v>
      </c>
      <c r="C18" s="708">
        <f>GETPIVOTDATA("Sum of Over Three Years",DistinctPropertPopPivot!$B$4,"Year",A18)</f>
        <v>5.45E-2</v>
      </c>
      <c r="D18" s="704">
        <f>GETPIVOTDATA("Sum of Over Five Years",DistinctPropertPopPivot!$B$4,"Year",A18)</f>
        <v>9.4600000000000004E-2</v>
      </c>
    </row>
    <row r="19" spans="1:11" x14ac:dyDescent="0.25">
      <c r="A19" s="739" t="s">
        <v>1010</v>
      </c>
      <c r="B19" s="708">
        <f>GETPIVOTDATA("Sum of In One Year",DistinctPropertPopPivot!$B$4,"Year",A19)</f>
        <v>1.6800000000000002E-2</v>
      </c>
      <c r="C19" s="708">
        <f>GETPIVOTDATA("Sum of Over Three Years",DistinctPropertPopPivot!$B$4,"Year",A19)</f>
        <v>4.6399999999999997E-2</v>
      </c>
      <c r="D19" s="704">
        <f>GETPIVOTDATA("Sum of Over Five Years",DistinctPropertPopPivot!$B$4,"Year",A19)</f>
        <v>8.6699999999999999E-2</v>
      </c>
    </row>
    <row r="20" spans="1:11" x14ac:dyDescent="0.25">
      <c r="A20" s="739" t="s">
        <v>1061</v>
      </c>
      <c r="B20" s="708">
        <f>GETPIVOTDATA("Sum of In One Year",DistinctPropertPopPivot!$B$4,"Year",A20)</f>
        <v>1.4499999999999999E-2</v>
      </c>
      <c r="C20" s="708">
        <f>GETPIVOTDATA("Sum of Over Three Years",DistinctPropertPopPivot!$B$4,"Year",A20)</f>
        <v>3.4799999999999998E-2</v>
      </c>
      <c r="D20" s="704">
        <f>GETPIVOTDATA("Sum of Over Five Years",DistinctPropertPopPivot!$B$4,"Year",A20)</f>
        <v>7.6499999999999999E-2</v>
      </c>
      <c r="E20" s="423"/>
      <c r="F20" s="423"/>
      <c r="G20" s="423"/>
      <c r="H20" s="423"/>
      <c r="I20" s="423"/>
    </row>
    <row r="21" spans="1:11" ht="15.75" thickBot="1" x14ac:dyDescent="0.3">
      <c r="A21" s="813" t="s">
        <v>1108</v>
      </c>
      <c r="B21" s="712">
        <f>GETPIVOTDATA("Sum of In One Year",DistinctPropertPopPivot!$B$4,"Year",A21)</f>
        <v>1.38E-2</v>
      </c>
      <c r="C21" s="712">
        <f>GETPIVOTDATA("Sum of Over Three Years",DistinctPropertPopPivot!$B$4,"Year",A21)</f>
        <v>3.9699999999999999E-2</v>
      </c>
      <c r="D21" s="705">
        <f>GETPIVOTDATA("Sum of Over Five Years",DistinctPropertPopPivot!$B$4,"Year",A21)</f>
        <v>6.6400000000000001E-2</v>
      </c>
      <c r="E21" s="423"/>
      <c r="F21" s="423"/>
      <c r="G21" s="423"/>
      <c r="H21" s="423"/>
      <c r="I21" s="423"/>
    </row>
    <row r="22" spans="1:11" ht="20.45" customHeight="1" x14ac:dyDescent="0.25">
      <c r="E22" s="423"/>
      <c r="F22" s="423"/>
      <c r="G22" s="423"/>
      <c r="H22" s="423"/>
      <c r="I22" s="423"/>
    </row>
    <row r="23" spans="1:11" x14ac:dyDescent="0.25">
      <c r="A23" s="317" t="s">
        <v>8</v>
      </c>
      <c r="E23" s="423"/>
      <c r="F23" s="423"/>
      <c r="G23" s="423"/>
    </row>
    <row r="24" spans="1:11" ht="28.5" customHeight="1" x14ac:dyDescent="0.25">
      <c r="A24" s="992" t="s">
        <v>741</v>
      </c>
      <c r="B24" s="992"/>
      <c r="C24" s="992"/>
      <c r="D24" s="992"/>
      <c r="E24" s="992"/>
      <c r="F24" s="992"/>
      <c r="G24" s="992"/>
    </row>
    <row r="25" spans="1:11" ht="15.75" customHeight="1" x14ac:dyDescent="0.25">
      <c r="A25" s="507" t="s">
        <v>739</v>
      </c>
      <c r="E25" s="531"/>
      <c r="F25" s="531"/>
      <c r="G25" s="531"/>
      <c r="H25" s="531"/>
      <c r="I25" s="531"/>
      <c r="J25" s="531"/>
      <c r="K25" s="531"/>
    </row>
    <row r="26" spans="1:11" ht="15.75" x14ac:dyDescent="0.25">
      <c r="E26" s="508"/>
      <c r="F26" s="508"/>
      <c r="G26" s="508"/>
      <c r="H26" s="508"/>
      <c r="I26" s="508"/>
      <c r="J26" s="508"/>
      <c r="K26" s="508"/>
    </row>
    <row r="27" spans="1:11" ht="15.75" x14ac:dyDescent="0.25">
      <c r="A27" s="531" t="s">
        <v>591</v>
      </c>
      <c r="B27" s="531"/>
      <c r="C27" s="531"/>
      <c r="D27" s="531"/>
      <c r="E27" s="508"/>
      <c r="F27" s="508"/>
      <c r="G27" s="508"/>
      <c r="H27" s="508"/>
      <c r="I27" s="508"/>
      <c r="J27" s="508"/>
      <c r="K27" s="508"/>
    </row>
    <row r="28" spans="1:11" ht="15.75" x14ac:dyDescent="0.25">
      <c r="A28" t="s">
        <v>328</v>
      </c>
      <c r="B28" t="s">
        <v>700</v>
      </c>
      <c r="C28" s="508"/>
      <c r="D28" s="508"/>
      <c r="E28" s="508"/>
      <c r="F28" s="508"/>
      <c r="G28" s="508"/>
      <c r="H28" s="508"/>
      <c r="I28" s="508"/>
      <c r="J28" s="508"/>
      <c r="K28" s="508"/>
    </row>
    <row r="29" spans="1:11" ht="15.75" x14ac:dyDescent="0.25">
      <c r="A29" t="s">
        <v>329</v>
      </c>
      <c r="B29" t="s">
        <v>331</v>
      </c>
      <c r="C29" s="508"/>
      <c r="D29" s="508"/>
    </row>
    <row r="30" spans="1:11" ht="15.75" x14ac:dyDescent="0.25">
      <c r="A30" t="s">
        <v>330</v>
      </c>
      <c r="B30" t="s">
        <v>534</v>
      </c>
      <c r="C30" s="508"/>
      <c r="D30" s="508"/>
    </row>
    <row r="32" spans="1:11" ht="14.45" customHeight="1" x14ac:dyDescent="0.25">
      <c r="B32" s="317" t="s">
        <v>437</v>
      </c>
      <c r="C32" s="317"/>
      <c r="D32" s="317"/>
    </row>
    <row r="33" spans="1:7" x14ac:dyDescent="0.25">
      <c r="A33" s="612" t="s">
        <v>1</v>
      </c>
      <c r="B33" s="706" t="s">
        <v>538</v>
      </c>
      <c r="C33" s="706" t="s">
        <v>358</v>
      </c>
      <c r="D33" s="707" t="s">
        <v>359</v>
      </c>
    </row>
    <row r="34" spans="1:7" x14ac:dyDescent="0.25">
      <c r="A34" s="739" t="s">
        <v>192</v>
      </c>
      <c r="B34" s="708">
        <f>GETPIVOTDATA("Sum of In One Year",DistinctPropertPopPivot!$B$33,"Year",A34)</f>
        <v>1.21E-2</v>
      </c>
      <c r="C34" s="709"/>
      <c r="D34" s="711"/>
    </row>
    <row r="35" spans="1:7" x14ac:dyDescent="0.25">
      <c r="A35" s="739" t="s">
        <v>191</v>
      </c>
      <c r="B35" s="708">
        <f>GETPIVOTDATA("Sum of In One Year",DistinctPropertPopPivot!$B$33,"Year",A35)</f>
        <v>1.1000000000000001E-2</v>
      </c>
      <c r="C35" s="709"/>
      <c r="D35" s="711"/>
    </row>
    <row r="36" spans="1:7" x14ac:dyDescent="0.25">
      <c r="A36" s="739" t="s">
        <v>190</v>
      </c>
      <c r="B36" s="708">
        <f>GETPIVOTDATA("Sum of In One Year",DistinctPropertPopPivot!$B$33,"Year",A36)</f>
        <v>1.15E-2</v>
      </c>
      <c r="C36" s="708">
        <v>3.2800000000000003E-2</v>
      </c>
      <c r="D36" s="711"/>
    </row>
    <row r="37" spans="1:7" x14ac:dyDescent="0.25">
      <c r="A37" s="739" t="s">
        <v>257</v>
      </c>
      <c r="B37" s="708">
        <f>GETPIVOTDATA("Sum of In One Year",DistinctPropertPopPivot!$B$33,"Year",A37)</f>
        <v>1.1599999999999999E-2</v>
      </c>
      <c r="C37" s="708">
        <v>3.2400000000000005E-2</v>
      </c>
      <c r="D37" s="711"/>
    </row>
    <row r="38" spans="1:7" x14ac:dyDescent="0.25">
      <c r="A38" s="739" t="s">
        <v>240</v>
      </c>
      <c r="B38" s="708">
        <f>GETPIVOTDATA("Sum of In One Year",DistinctPropertPopPivot!$B$33,"Year",A38)</f>
        <v>1.1000000000000001E-2</v>
      </c>
      <c r="C38" s="708">
        <v>3.2300000000000002E-2</v>
      </c>
      <c r="D38" s="704">
        <v>4.9699999999999994E-2</v>
      </c>
    </row>
    <row r="39" spans="1:7" x14ac:dyDescent="0.25">
      <c r="A39" s="739" t="s">
        <v>239</v>
      </c>
      <c r="B39" s="708">
        <f>GETPIVOTDATA("Sum of In One Year",DistinctPropertPopPivot!$B$33,"Year",A39)</f>
        <v>9.7000000000000003E-3</v>
      </c>
      <c r="C39" s="708">
        <v>3.0600000000000002E-2</v>
      </c>
      <c r="D39" s="704">
        <v>4.8600000000000004E-2</v>
      </c>
    </row>
    <row r="40" spans="1:7" x14ac:dyDescent="0.25">
      <c r="A40" s="739" t="s">
        <v>760</v>
      </c>
      <c r="B40" s="708">
        <f>GETPIVOTDATA("Sum of In One Year",DistinctPropertPopPivot!$B$33,"Year",A40)</f>
        <v>8.8000000000000005E-3</v>
      </c>
      <c r="C40" s="708">
        <v>2.8199999999999999E-2</v>
      </c>
      <c r="D40" s="704">
        <v>4.7400000000000005E-2</v>
      </c>
    </row>
    <row r="41" spans="1:7" x14ac:dyDescent="0.25">
      <c r="A41" s="739" t="s">
        <v>917</v>
      </c>
      <c r="B41" s="708">
        <f>GETPIVOTDATA("Sum of In One Year",DistinctPropertPopPivot!$B$33,"Year",A41)</f>
        <v>3.0000000000000001E-3</v>
      </c>
      <c r="C41" s="708">
        <v>2.0799999999999999E-2</v>
      </c>
      <c r="D41" s="704">
        <v>4.0199999999999993E-2</v>
      </c>
    </row>
    <row r="42" spans="1:7" x14ac:dyDescent="0.25">
      <c r="A42" s="739" t="s">
        <v>1010</v>
      </c>
      <c r="B42" s="709"/>
      <c r="C42" s="709"/>
      <c r="D42" s="711"/>
    </row>
    <row r="43" spans="1:7" x14ac:dyDescent="0.25">
      <c r="A43" s="739" t="s">
        <v>1061</v>
      </c>
      <c r="B43" s="709"/>
      <c r="C43" s="709"/>
      <c r="D43" s="711"/>
    </row>
    <row r="44" spans="1:7" ht="15.75" thickBot="1" x14ac:dyDescent="0.3">
      <c r="A44" s="813" t="s">
        <v>1108</v>
      </c>
      <c r="B44" s="712">
        <f>GETPIVOTDATA("Sum of In One Year",DistinctPropertPopPivot!$B$33,"Year",A44)</f>
        <v>2.3E-3</v>
      </c>
      <c r="C44" s="713"/>
      <c r="D44" s="714"/>
    </row>
    <row r="46" spans="1:7" x14ac:dyDescent="0.25">
      <c r="A46" s="317" t="s">
        <v>8</v>
      </c>
      <c r="E46" s="423"/>
      <c r="F46" s="423"/>
      <c r="G46" s="423"/>
    </row>
    <row r="47" spans="1:7" ht="32.1" customHeight="1" x14ac:dyDescent="0.25">
      <c r="A47" s="992" t="s">
        <v>742</v>
      </c>
      <c r="B47" s="992"/>
      <c r="C47" s="992"/>
      <c r="D47" s="992"/>
      <c r="E47" s="992"/>
      <c r="F47" s="992"/>
      <c r="G47" s="992"/>
    </row>
    <row r="48" spans="1:7" x14ac:dyDescent="0.25">
      <c r="A48" s="507" t="s">
        <v>739</v>
      </c>
    </row>
    <row r="49" spans="1:1" x14ac:dyDescent="0.25">
      <c r="A49" t="s">
        <v>1102</v>
      </c>
    </row>
  </sheetData>
  <sheetProtection algorithmName="SHA-512" hashValue="UzbHe+Ye6fp043BuBzUQPSEqxunanRmVEaiSpF8nqoT3x+EhO9LkWalCiL85gzaEopU/5RTBf+buUC4RCNcRag==" saltValue="bXCe9eB83S0ylN3MvscW/A==" spinCount="100000" sheet="1" scenarios="1" formatCells="0" sort="0" autoFilter="0" pivotTables="0"/>
  <mergeCells count="2">
    <mergeCell ref="A47:G47"/>
    <mergeCell ref="A24:G24"/>
  </mergeCells>
  <hyperlinks>
    <hyperlink ref="A2" location="'Table of Contents'!A1" display="Back to Table of Contents" xr:uid="{00000000-0004-0000-8200-000000000000}"/>
    <hyperlink ref="A25" r:id="rId1" xr:uid="{00000000-0004-0000-8200-000001000000}"/>
    <hyperlink ref="A48" r:id="rId2" xr:uid="{00000000-0004-0000-8200-000002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9F9F7-7EFE-4BCF-A116-2BA65891D905}">
  <sheetPr>
    <tabColor theme="7" tint="-0.249977111117893"/>
  </sheetPr>
  <dimension ref="A1:H13"/>
  <sheetViews>
    <sheetView workbookViewId="0">
      <selection activeCell="C9" sqref="C9"/>
    </sheetView>
  </sheetViews>
  <sheetFormatPr defaultRowHeight="15" x14ac:dyDescent="0.25"/>
  <cols>
    <col min="1" max="1" width="12.5703125" bestFit="1" customWidth="1"/>
    <col min="2" max="2" width="14.85546875" bestFit="1" customWidth="1"/>
    <col min="3" max="3" width="12.85546875" bestFit="1" customWidth="1"/>
    <col min="4" max="6" width="13.85546875" bestFit="1" customWidth="1"/>
    <col min="7" max="7" width="13.7109375" bestFit="1" customWidth="1"/>
    <col min="8" max="8" width="18.5703125" bestFit="1" customWidth="1"/>
  </cols>
  <sheetData>
    <row r="1" spans="1:8" x14ac:dyDescent="0.25">
      <c r="A1" s="394" t="s">
        <v>231</v>
      </c>
      <c r="B1" t="s">
        <v>1182</v>
      </c>
      <c r="C1" t="s">
        <v>1183</v>
      </c>
      <c r="D1" t="s">
        <v>1184</v>
      </c>
      <c r="E1" t="s">
        <v>1185</v>
      </c>
      <c r="F1" t="s">
        <v>1186</v>
      </c>
      <c r="G1" t="s">
        <v>1187</v>
      </c>
      <c r="H1" t="s">
        <v>1188</v>
      </c>
    </row>
    <row r="2" spans="1:8" x14ac:dyDescent="0.25">
      <c r="A2" s="395" t="s">
        <v>192</v>
      </c>
      <c r="B2">
        <v>9522</v>
      </c>
      <c r="C2">
        <v>8378</v>
      </c>
      <c r="D2">
        <v>6148</v>
      </c>
      <c r="E2">
        <v>21422</v>
      </c>
      <c r="F2">
        <v>45974</v>
      </c>
      <c r="G2">
        <v>43449</v>
      </c>
      <c r="H2">
        <v>134893</v>
      </c>
    </row>
    <row r="3" spans="1:8" x14ac:dyDescent="0.25">
      <c r="A3" s="395" t="s">
        <v>191</v>
      </c>
      <c r="B3">
        <v>9301</v>
      </c>
      <c r="C3">
        <v>8100</v>
      </c>
      <c r="D3">
        <v>5611</v>
      </c>
      <c r="E3">
        <v>17596</v>
      </c>
      <c r="F3">
        <v>41757</v>
      </c>
      <c r="G3">
        <v>43048</v>
      </c>
      <c r="H3">
        <v>125413</v>
      </c>
    </row>
    <row r="4" spans="1:8" x14ac:dyDescent="0.25">
      <c r="A4" s="395" t="s">
        <v>190</v>
      </c>
      <c r="B4">
        <v>9270</v>
      </c>
      <c r="C4">
        <v>8385</v>
      </c>
      <c r="D4">
        <v>5779</v>
      </c>
      <c r="E4">
        <v>17567</v>
      </c>
      <c r="F4">
        <v>43991</v>
      </c>
      <c r="G4">
        <v>49733</v>
      </c>
      <c r="H4">
        <v>134725</v>
      </c>
    </row>
    <row r="5" spans="1:8" x14ac:dyDescent="0.25">
      <c r="A5" s="395" t="s">
        <v>257</v>
      </c>
      <c r="B5">
        <v>7684</v>
      </c>
      <c r="C5">
        <v>7945</v>
      </c>
      <c r="D5">
        <v>5617</v>
      </c>
      <c r="E5">
        <v>13019</v>
      </c>
      <c r="F5">
        <v>42665</v>
      </c>
      <c r="G5">
        <v>52260</v>
      </c>
      <c r="H5">
        <v>129190</v>
      </c>
    </row>
    <row r="6" spans="1:8" x14ac:dyDescent="0.25">
      <c r="A6" s="395" t="s">
        <v>240</v>
      </c>
      <c r="B6">
        <v>7694</v>
      </c>
      <c r="C6">
        <v>7954</v>
      </c>
      <c r="D6">
        <v>5364</v>
      </c>
      <c r="E6">
        <v>13881</v>
      </c>
      <c r="F6">
        <v>42205</v>
      </c>
      <c r="G6">
        <v>50848</v>
      </c>
      <c r="H6">
        <v>127946</v>
      </c>
    </row>
    <row r="7" spans="1:8" x14ac:dyDescent="0.25">
      <c r="A7" s="395" t="s">
        <v>239</v>
      </c>
      <c r="B7">
        <v>7266</v>
      </c>
      <c r="C7">
        <v>7987</v>
      </c>
      <c r="D7">
        <v>5517</v>
      </c>
      <c r="E7">
        <v>13947</v>
      </c>
      <c r="F7">
        <v>41141</v>
      </c>
      <c r="G7">
        <v>48727</v>
      </c>
      <c r="H7">
        <v>124585</v>
      </c>
    </row>
    <row r="8" spans="1:8" x14ac:dyDescent="0.25">
      <c r="A8" s="395" t="s">
        <v>760</v>
      </c>
      <c r="B8">
        <v>7040</v>
      </c>
      <c r="C8">
        <v>7889</v>
      </c>
      <c r="D8">
        <v>5512</v>
      </c>
      <c r="E8">
        <v>13665</v>
      </c>
      <c r="F8">
        <v>40173</v>
      </c>
      <c r="G8">
        <v>48769</v>
      </c>
      <c r="H8">
        <v>123048</v>
      </c>
    </row>
    <row r="9" spans="1:8" x14ac:dyDescent="0.25">
      <c r="A9" s="395" t="s">
        <v>917</v>
      </c>
      <c r="B9">
        <v>1270</v>
      </c>
      <c r="C9">
        <v>1639</v>
      </c>
      <c r="D9">
        <v>1291</v>
      </c>
      <c r="E9">
        <v>2992</v>
      </c>
      <c r="F9">
        <v>9416</v>
      </c>
      <c r="G9">
        <v>16017</v>
      </c>
      <c r="H9">
        <v>32625</v>
      </c>
    </row>
    <row r="10" spans="1:8" x14ac:dyDescent="0.25">
      <c r="A10" s="395" t="s">
        <v>1010</v>
      </c>
      <c r="B10">
        <v>2198</v>
      </c>
      <c r="C10">
        <v>2826</v>
      </c>
      <c r="D10">
        <v>2403</v>
      </c>
      <c r="E10">
        <v>5628</v>
      </c>
      <c r="F10">
        <v>18596</v>
      </c>
      <c r="G10">
        <v>39107</v>
      </c>
      <c r="H10">
        <v>70758</v>
      </c>
    </row>
    <row r="11" spans="1:8" x14ac:dyDescent="0.25">
      <c r="A11" s="395" t="s">
        <v>1061</v>
      </c>
      <c r="B11">
        <v>2300</v>
      </c>
      <c r="C11">
        <v>3133</v>
      </c>
      <c r="D11">
        <v>2463</v>
      </c>
      <c r="E11">
        <v>5787</v>
      </c>
      <c r="F11">
        <v>18149</v>
      </c>
      <c r="G11">
        <v>30792</v>
      </c>
      <c r="H11">
        <v>62624</v>
      </c>
    </row>
    <row r="12" spans="1:8" x14ac:dyDescent="0.25">
      <c r="A12" s="395" t="s">
        <v>1108</v>
      </c>
      <c r="B12">
        <v>2410</v>
      </c>
      <c r="C12">
        <v>3147</v>
      </c>
      <c r="D12">
        <v>2485</v>
      </c>
      <c r="E12">
        <v>6086</v>
      </c>
      <c r="F12">
        <v>18425</v>
      </c>
      <c r="G12">
        <v>28177</v>
      </c>
      <c r="H12">
        <v>60730</v>
      </c>
    </row>
    <row r="13" spans="1:8" x14ac:dyDescent="0.25">
      <c r="A13" s="395" t="s">
        <v>236</v>
      </c>
      <c r="B13">
        <v>65955</v>
      </c>
      <c r="C13">
        <v>67383</v>
      </c>
      <c r="D13">
        <v>48190</v>
      </c>
      <c r="E13">
        <v>131590</v>
      </c>
      <c r="F13">
        <v>362492</v>
      </c>
      <c r="G13">
        <v>450927</v>
      </c>
      <c r="H13">
        <v>1126537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80EBC-FD7E-4ADD-8E71-FA2D77AA6D18}">
  <sheetPr>
    <tabColor theme="4" tint="0.59999389629810485"/>
  </sheetPr>
  <dimension ref="A1:K110"/>
  <sheetViews>
    <sheetView workbookViewId="0">
      <selection activeCell="J11" sqref="J11"/>
    </sheetView>
  </sheetViews>
  <sheetFormatPr defaultRowHeight="15" x14ac:dyDescent="0.25"/>
  <cols>
    <col min="1" max="1" width="10.28515625" bestFit="1" customWidth="1"/>
    <col min="2" max="2" width="19.42578125" bestFit="1" customWidth="1"/>
    <col min="3" max="3" width="12.5703125" bestFit="1" customWidth="1"/>
    <col min="4" max="4" width="7.85546875" bestFit="1" customWidth="1"/>
    <col min="9" max="9" width="10.28515625" bestFit="1" customWidth="1"/>
    <col min="10" max="10" width="20.28515625" bestFit="1" customWidth="1"/>
    <col min="11" max="11" width="32.7109375" bestFit="1" customWidth="1"/>
  </cols>
  <sheetData>
    <row r="1" spans="1:11" x14ac:dyDescent="0.25">
      <c r="A1" t="s">
        <v>1062</v>
      </c>
      <c r="B1" t="s">
        <v>1083</v>
      </c>
      <c r="C1" t="s">
        <v>1063</v>
      </c>
      <c r="D1" t="s">
        <v>976</v>
      </c>
    </row>
    <row r="2" spans="1:11" x14ac:dyDescent="0.25">
      <c r="A2" t="s">
        <v>760</v>
      </c>
      <c r="C2" t="s">
        <v>1092</v>
      </c>
      <c r="D2">
        <v>4</v>
      </c>
    </row>
    <row r="3" spans="1:11" x14ac:dyDescent="0.25">
      <c r="A3" t="s">
        <v>760</v>
      </c>
      <c r="B3" t="s">
        <v>1093</v>
      </c>
      <c r="C3" t="s">
        <v>1064</v>
      </c>
      <c r="D3">
        <v>8</v>
      </c>
    </row>
    <row r="4" spans="1:11" x14ac:dyDescent="0.25">
      <c r="A4" t="s">
        <v>760</v>
      </c>
      <c r="B4" t="s">
        <v>1093</v>
      </c>
      <c r="C4" t="s">
        <v>1065</v>
      </c>
      <c r="D4">
        <v>4</v>
      </c>
    </row>
    <row r="5" spans="1:11" x14ac:dyDescent="0.25">
      <c r="A5" t="s">
        <v>760</v>
      </c>
      <c r="B5" t="s">
        <v>1093</v>
      </c>
      <c r="C5" t="s">
        <v>1067</v>
      </c>
      <c r="D5">
        <v>78</v>
      </c>
    </row>
    <row r="6" spans="1:11" x14ac:dyDescent="0.25">
      <c r="A6" t="s">
        <v>760</v>
      </c>
      <c r="B6" t="s">
        <v>1093</v>
      </c>
      <c r="C6" t="s">
        <v>1069</v>
      </c>
      <c r="D6">
        <v>1</v>
      </c>
      <c r="I6" t="s">
        <v>1062</v>
      </c>
      <c r="J6" t="s">
        <v>1083</v>
      </c>
      <c r="K6" t="s">
        <v>1090</v>
      </c>
    </row>
    <row r="7" spans="1:11" x14ac:dyDescent="0.25">
      <c r="A7" t="s">
        <v>760</v>
      </c>
      <c r="B7" t="s">
        <v>1093</v>
      </c>
      <c r="C7" t="s">
        <v>1070</v>
      </c>
      <c r="D7">
        <v>4</v>
      </c>
      <c r="I7" t="s">
        <v>760</v>
      </c>
      <c r="J7" t="s">
        <v>1084</v>
      </c>
      <c r="K7">
        <v>95</v>
      </c>
    </row>
    <row r="8" spans="1:11" x14ac:dyDescent="0.25">
      <c r="A8" t="s">
        <v>760</v>
      </c>
      <c r="B8" t="s">
        <v>1093</v>
      </c>
      <c r="C8" t="s">
        <v>1072</v>
      </c>
      <c r="D8">
        <v>5</v>
      </c>
      <c r="I8" t="s">
        <v>760</v>
      </c>
      <c r="J8" t="s">
        <v>1085</v>
      </c>
      <c r="K8">
        <v>37</v>
      </c>
    </row>
    <row r="9" spans="1:11" x14ac:dyDescent="0.25">
      <c r="A9" t="s">
        <v>760</v>
      </c>
      <c r="B9" t="s">
        <v>1093</v>
      </c>
      <c r="C9" t="s">
        <v>1076</v>
      </c>
      <c r="D9">
        <v>3</v>
      </c>
      <c r="I9" t="s">
        <v>760</v>
      </c>
      <c r="J9" t="s">
        <v>1086</v>
      </c>
      <c r="K9">
        <v>54</v>
      </c>
    </row>
    <row r="10" spans="1:11" x14ac:dyDescent="0.25">
      <c r="A10" t="s">
        <v>760</v>
      </c>
      <c r="B10" t="s">
        <v>1093</v>
      </c>
      <c r="C10" t="s">
        <v>1077</v>
      </c>
      <c r="D10">
        <v>20</v>
      </c>
      <c r="I10" t="s">
        <v>917</v>
      </c>
      <c r="J10" t="s">
        <v>1084</v>
      </c>
      <c r="K10">
        <v>95</v>
      </c>
    </row>
    <row r="11" spans="1:11" x14ac:dyDescent="0.25">
      <c r="A11" t="s">
        <v>760</v>
      </c>
      <c r="B11" t="s">
        <v>1093</v>
      </c>
      <c r="C11" t="s">
        <v>1080</v>
      </c>
      <c r="D11">
        <v>10</v>
      </c>
      <c r="I11" t="s">
        <v>917</v>
      </c>
      <c r="J11" t="s">
        <v>1085</v>
      </c>
      <c r="K11">
        <v>37</v>
      </c>
    </row>
    <row r="12" spans="1:11" x14ac:dyDescent="0.25">
      <c r="A12" t="s">
        <v>760</v>
      </c>
      <c r="B12" t="s">
        <v>1085</v>
      </c>
      <c r="C12" t="s">
        <v>1066</v>
      </c>
      <c r="D12">
        <v>5</v>
      </c>
      <c r="I12" t="s">
        <v>917</v>
      </c>
      <c r="J12" t="s">
        <v>1086</v>
      </c>
      <c r="K12">
        <v>54</v>
      </c>
    </row>
    <row r="13" spans="1:11" x14ac:dyDescent="0.25">
      <c r="A13" t="s">
        <v>760</v>
      </c>
      <c r="B13" t="s">
        <v>1085</v>
      </c>
      <c r="C13" t="s">
        <v>1068</v>
      </c>
      <c r="D13">
        <v>25</v>
      </c>
      <c r="I13" t="s">
        <v>1010</v>
      </c>
      <c r="J13" t="s">
        <v>1084</v>
      </c>
      <c r="K13">
        <v>101</v>
      </c>
    </row>
    <row r="14" spans="1:11" x14ac:dyDescent="0.25">
      <c r="A14" t="s">
        <v>760</v>
      </c>
      <c r="B14" t="s">
        <v>1085</v>
      </c>
      <c r="C14" t="s">
        <v>1071</v>
      </c>
      <c r="D14">
        <v>8</v>
      </c>
      <c r="I14" t="s">
        <v>1010</v>
      </c>
      <c r="J14" t="s">
        <v>1085</v>
      </c>
      <c r="K14">
        <v>36</v>
      </c>
    </row>
    <row r="15" spans="1:11" x14ac:dyDescent="0.25">
      <c r="A15" t="s">
        <v>760</v>
      </c>
      <c r="B15" t="s">
        <v>1085</v>
      </c>
      <c r="C15" t="s">
        <v>1094</v>
      </c>
      <c r="D15">
        <v>17</v>
      </c>
      <c r="I15" t="s">
        <v>1010</v>
      </c>
      <c r="J15" t="s">
        <v>1086</v>
      </c>
      <c r="K15">
        <v>55</v>
      </c>
    </row>
    <row r="16" spans="1:11" x14ac:dyDescent="0.25">
      <c r="A16" t="s">
        <v>760</v>
      </c>
      <c r="B16" t="s">
        <v>1085</v>
      </c>
      <c r="C16" t="s">
        <v>1074</v>
      </c>
      <c r="D16">
        <v>3</v>
      </c>
      <c r="I16" t="s">
        <v>1061</v>
      </c>
      <c r="J16" t="s">
        <v>1084</v>
      </c>
      <c r="K16">
        <v>104</v>
      </c>
    </row>
    <row r="17" spans="1:11" x14ac:dyDescent="0.25">
      <c r="A17" t="s">
        <v>760</v>
      </c>
      <c r="B17" t="s">
        <v>1085</v>
      </c>
      <c r="C17" t="s">
        <v>807</v>
      </c>
      <c r="D17">
        <v>7</v>
      </c>
      <c r="I17" t="s">
        <v>1061</v>
      </c>
      <c r="J17" t="s">
        <v>1085</v>
      </c>
      <c r="K17">
        <v>35</v>
      </c>
    </row>
    <row r="18" spans="1:11" x14ac:dyDescent="0.25">
      <c r="A18" t="s">
        <v>760</v>
      </c>
      <c r="B18" t="s">
        <v>1086</v>
      </c>
      <c r="C18" t="s">
        <v>1095</v>
      </c>
      <c r="D18">
        <v>6</v>
      </c>
      <c r="I18" t="s">
        <v>1061</v>
      </c>
      <c r="J18" t="s">
        <v>1086</v>
      </c>
      <c r="K18">
        <v>55</v>
      </c>
    </row>
    <row r="19" spans="1:11" x14ac:dyDescent="0.25">
      <c r="A19" t="s">
        <v>760</v>
      </c>
      <c r="B19" t="s">
        <v>1086</v>
      </c>
      <c r="C19" t="s">
        <v>1096</v>
      </c>
      <c r="D19">
        <v>21</v>
      </c>
      <c r="I19" t="s">
        <v>1108</v>
      </c>
      <c r="J19" t="s">
        <v>1084</v>
      </c>
      <c r="K19">
        <v>105</v>
      </c>
    </row>
    <row r="20" spans="1:11" x14ac:dyDescent="0.25">
      <c r="A20" t="s">
        <v>760</v>
      </c>
      <c r="B20" t="s">
        <v>1086</v>
      </c>
      <c r="C20" t="s">
        <v>1075</v>
      </c>
      <c r="D20">
        <v>35</v>
      </c>
      <c r="I20" t="s">
        <v>1108</v>
      </c>
      <c r="J20" t="s">
        <v>1085</v>
      </c>
      <c r="K20">
        <v>26</v>
      </c>
    </row>
    <row r="21" spans="1:11" x14ac:dyDescent="0.25">
      <c r="A21" t="s">
        <v>760</v>
      </c>
      <c r="B21" t="s">
        <v>1086</v>
      </c>
      <c r="C21" t="s">
        <v>1081</v>
      </c>
      <c r="D21">
        <v>5</v>
      </c>
      <c r="I21" t="s">
        <v>1108</v>
      </c>
      <c r="J21" t="s">
        <v>1086</v>
      </c>
      <c r="K21">
        <v>56</v>
      </c>
    </row>
    <row r="22" spans="1:11" x14ac:dyDescent="0.25">
      <c r="A22" t="s">
        <v>760</v>
      </c>
      <c r="B22" t="s">
        <v>1086</v>
      </c>
      <c r="C22" t="s">
        <v>795</v>
      </c>
      <c r="D22">
        <v>19</v>
      </c>
    </row>
    <row r="23" spans="1:11" x14ac:dyDescent="0.25">
      <c r="A23" t="s">
        <v>760</v>
      </c>
      <c r="B23" t="s">
        <v>1097</v>
      </c>
      <c r="C23" t="s">
        <v>1073</v>
      </c>
      <c r="D23">
        <v>238</v>
      </c>
    </row>
    <row r="24" spans="1:11" x14ac:dyDescent="0.25">
      <c r="A24" t="s">
        <v>760</v>
      </c>
      <c r="B24" t="s">
        <v>1097</v>
      </c>
      <c r="C24" t="s">
        <v>1078</v>
      </c>
      <c r="D24">
        <v>6</v>
      </c>
    </row>
    <row r="25" spans="1:11" x14ac:dyDescent="0.25">
      <c r="A25" t="s">
        <v>760</v>
      </c>
      <c r="B25" t="s">
        <v>1097</v>
      </c>
      <c r="C25" t="s">
        <v>1079</v>
      </c>
      <c r="D25">
        <v>101</v>
      </c>
    </row>
    <row r="26" spans="1:11" x14ac:dyDescent="0.25">
      <c r="A26" t="s">
        <v>917</v>
      </c>
      <c r="C26" t="s">
        <v>1092</v>
      </c>
      <c r="D26">
        <v>4</v>
      </c>
    </row>
    <row r="27" spans="1:11" x14ac:dyDescent="0.25">
      <c r="A27" t="s">
        <v>917</v>
      </c>
      <c r="B27" t="s">
        <v>1093</v>
      </c>
      <c r="C27" t="s">
        <v>1064</v>
      </c>
      <c r="D27">
        <v>8</v>
      </c>
    </row>
    <row r="28" spans="1:11" x14ac:dyDescent="0.25">
      <c r="A28" t="s">
        <v>917</v>
      </c>
      <c r="B28" t="s">
        <v>1093</v>
      </c>
      <c r="C28" t="s">
        <v>1065</v>
      </c>
      <c r="D28">
        <v>4</v>
      </c>
    </row>
    <row r="29" spans="1:11" x14ac:dyDescent="0.25">
      <c r="A29" t="s">
        <v>917</v>
      </c>
      <c r="B29" t="s">
        <v>1093</v>
      </c>
      <c r="C29" t="s">
        <v>1067</v>
      </c>
      <c r="D29">
        <v>78</v>
      </c>
    </row>
    <row r="30" spans="1:11" x14ac:dyDescent="0.25">
      <c r="A30" t="s">
        <v>917</v>
      </c>
      <c r="B30" t="s">
        <v>1093</v>
      </c>
      <c r="C30" t="s">
        <v>1069</v>
      </c>
      <c r="D30">
        <v>1</v>
      </c>
    </row>
    <row r="31" spans="1:11" x14ac:dyDescent="0.25">
      <c r="A31" t="s">
        <v>917</v>
      </c>
      <c r="B31" t="s">
        <v>1093</v>
      </c>
      <c r="C31" t="s">
        <v>1070</v>
      </c>
      <c r="D31">
        <v>4</v>
      </c>
    </row>
    <row r="32" spans="1:11" x14ac:dyDescent="0.25">
      <c r="A32" t="s">
        <v>917</v>
      </c>
      <c r="B32" t="s">
        <v>1093</v>
      </c>
      <c r="C32" t="s">
        <v>1072</v>
      </c>
      <c r="D32">
        <v>5</v>
      </c>
    </row>
    <row r="33" spans="1:4" x14ac:dyDescent="0.25">
      <c r="A33" t="s">
        <v>917</v>
      </c>
      <c r="B33" t="s">
        <v>1093</v>
      </c>
      <c r="C33" t="s">
        <v>1076</v>
      </c>
      <c r="D33">
        <v>3</v>
      </c>
    </row>
    <row r="34" spans="1:4" x14ac:dyDescent="0.25">
      <c r="A34" t="s">
        <v>917</v>
      </c>
      <c r="B34" t="s">
        <v>1093</v>
      </c>
      <c r="C34" t="s">
        <v>1077</v>
      </c>
      <c r="D34">
        <v>20</v>
      </c>
    </row>
    <row r="35" spans="1:4" x14ac:dyDescent="0.25">
      <c r="A35" t="s">
        <v>917</v>
      </c>
      <c r="B35" t="s">
        <v>1093</v>
      </c>
      <c r="C35" t="s">
        <v>1080</v>
      </c>
      <c r="D35">
        <v>10</v>
      </c>
    </row>
    <row r="36" spans="1:4" x14ac:dyDescent="0.25">
      <c r="A36" t="s">
        <v>917</v>
      </c>
      <c r="B36" t="s">
        <v>1085</v>
      </c>
      <c r="C36" t="s">
        <v>1066</v>
      </c>
      <c r="D36">
        <v>5</v>
      </c>
    </row>
    <row r="37" spans="1:4" x14ac:dyDescent="0.25">
      <c r="A37" t="s">
        <v>917</v>
      </c>
      <c r="B37" t="s">
        <v>1085</v>
      </c>
      <c r="C37" t="s">
        <v>1068</v>
      </c>
      <c r="D37">
        <v>25</v>
      </c>
    </row>
    <row r="38" spans="1:4" x14ac:dyDescent="0.25">
      <c r="A38" t="s">
        <v>917</v>
      </c>
      <c r="B38" t="s">
        <v>1085</v>
      </c>
      <c r="C38" t="s">
        <v>1071</v>
      </c>
      <c r="D38">
        <v>8</v>
      </c>
    </row>
    <row r="39" spans="1:4" x14ac:dyDescent="0.25">
      <c r="A39" t="s">
        <v>917</v>
      </c>
      <c r="B39" t="s">
        <v>1085</v>
      </c>
      <c r="C39" t="s">
        <v>1094</v>
      </c>
      <c r="D39">
        <v>17</v>
      </c>
    </row>
    <row r="40" spans="1:4" x14ac:dyDescent="0.25">
      <c r="A40" t="s">
        <v>917</v>
      </c>
      <c r="B40" t="s">
        <v>1085</v>
      </c>
      <c r="C40" t="s">
        <v>1074</v>
      </c>
      <c r="D40">
        <v>3</v>
      </c>
    </row>
    <row r="41" spans="1:4" x14ac:dyDescent="0.25">
      <c r="A41" t="s">
        <v>917</v>
      </c>
      <c r="B41" t="s">
        <v>1085</v>
      </c>
      <c r="C41" t="s">
        <v>807</v>
      </c>
      <c r="D41">
        <v>7</v>
      </c>
    </row>
    <row r="42" spans="1:4" x14ac:dyDescent="0.25">
      <c r="A42" t="s">
        <v>917</v>
      </c>
      <c r="B42" t="s">
        <v>1086</v>
      </c>
      <c r="C42" t="s">
        <v>1095</v>
      </c>
      <c r="D42">
        <v>6</v>
      </c>
    </row>
    <row r="43" spans="1:4" x14ac:dyDescent="0.25">
      <c r="A43" t="s">
        <v>917</v>
      </c>
      <c r="B43" t="s">
        <v>1086</v>
      </c>
      <c r="C43" t="s">
        <v>1096</v>
      </c>
      <c r="D43">
        <v>21</v>
      </c>
    </row>
    <row r="44" spans="1:4" x14ac:dyDescent="0.25">
      <c r="A44" t="s">
        <v>917</v>
      </c>
      <c r="B44" t="s">
        <v>1086</v>
      </c>
      <c r="C44" t="s">
        <v>1075</v>
      </c>
      <c r="D44">
        <v>35</v>
      </c>
    </row>
    <row r="45" spans="1:4" x14ac:dyDescent="0.25">
      <c r="A45" t="s">
        <v>917</v>
      </c>
      <c r="B45" t="s">
        <v>1086</v>
      </c>
      <c r="C45" t="s">
        <v>1081</v>
      </c>
      <c r="D45">
        <v>5</v>
      </c>
    </row>
    <row r="46" spans="1:4" x14ac:dyDescent="0.25">
      <c r="A46" t="s">
        <v>917</v>
      </c>
      <c r="B46" t="s">
        <v>1086</v>
      </c>
      <c r="C46" t="s">
        <v>795</v>
      </c>
      <c r="D46">
        <v>19</v>
      </c>
    </row>
    <row r="47" spans="1:4" x14ac:dyDescent="0.25">
      <c r="A47" t="s">
        <v>917</v>
      </c>
      <c r="B47" t="s">
        <v>1097</v>
      </c>
      <c r="C47" t="s">
        <v>1073</v>
      </c>
      <c r="D47">
        <v>238</v>
      </c>
    </row>
    <row r="48" spans="1:4" x14ac:dyDescent="0.25">
      <c r="A48" t="s">
        <v>917</v>
      </c>
      <c r="B48" t="s">
        <v>1097</v>
      </c>
      <c r="C48" t="s">
        <v>1078</v>
      </c>
      <c r="D48">
        <v>6</v>
      </c>
    </row>
    <row r="49" spans="1:4" x14ac:dyDescent="0.25">
      <c r="A49" t="s">
        <v>917</v>
      </c>
      <c r="B49" t="s">
        <v>1097</v>
      </c>
      <c r="C49" t="s">
        <v>1079</v>
      </c>
      <c r="D49">
        <v>101</v>
      </c>
    </row>
    <row r="50" spans="1:4" x14ac:dyDescent="0.25">
      <c r="A50" t="s">
        <v>1010</v>
      </c>
      <c r="B50" t="s">
        <v>1093</v>
      </c>
      <c r="C50" t="s">
        <v>1064</v>
      </c>
      <c r="D50">
        <v>8</v>
      </c>
    </row>
    <row r="51" spans="1:4" x14ac:dyDescent="0.25">
      <c r="A51" t="s">
        <v>1010</v>
      </c>
      <c r="B51" t="s">
        <v>1093</v>
      </c>
      <c r="C51" t="s">
        <v>1065</v>
      </c>
      <c r="D51">
        <v>4</v>
      </c>
    </row>
    <row r="52" spans="1:4" x14ac:dyDescent="0.25">
      <c r="A52" t="s">
        <v>1010</v>
      </c>
      <c r="B52" t="s">
        <v>1093</v>
      </c>
      <c r="C52" t="s">
        <v>1067</v>
      </c>
      <c r="D52">
        <v>83</v>
      </c>
    </row>
    <row r="53" spans="1:4" x14ac:dyDescent="0.25">
      <c r="A53" t="s">
        <v>1010</v>
      </c>
      <c r="B53" t="s">
        <v>1093</v>
      </c>
      <c r="C53" t="s">
        <v>1069</v>
      </c>
      <c r="D53">
        <v>1</v>
      </c>
    </row>
    <row r="54" spans="1:4" x14ac:dyDescent="0.25">
      <c r="A54" t="s">
        <v>1010</v>
      </c>
      <c r="B54" t="s">
        <v>1093</v>
      </c>
      <c r="C54" t="s">
        <v>1070</v>
      </c>
      <c r="D54">
        <v>4</v>
      </c>
    </row>
    <row r="55" spans="1:4" x14ac:dyDescent="0.25">
      <c r="A55" t="s">
        <v>1010</v>
      </c>
      <c r="B55" t="s">
        <v>1093</v>
      </c>
      <c r="C55" t="s">
        <v>1072</v>
      </c>
      <c r="D55">
        <v>8</v>
      </c>
    </row>
    <row r="56" spans="1:4" x14ac:dyDescent="0.25">
      <c r="A56" t="s">
        <v>1010</v>
      </c>
      <c r="B56" t="s">
        <v>1093</v>
      </c>
      <c r="C56" t="s">
        <v>1076</v>
      </c>
      <c r="D56">
        <v>4</v>
      </c>
    </row>
    <row r="57" spans="1:4" x14ac:dyDescent="0.25">
      <c r="A57" t="s">
        <v>1010</v>
      </c>
      <c r="B57" t="s">
        <v>1093</v>
      </c>
      <c r="C57" t="s">
        <v>1077</v>
      </c>
      <c r="D57">
        <v>20</v>
      </c>
    </row>
    <row r="58" spans="1:4" x14ac:dyDescent="0.25">
      <c r="A58" t="s">
        <v>1010</v>
      </c>
      <c r="B58" t="s">
        <v>1093</v>
      </c>
      <c r="C58" t="s">
        <v>1080</v>
      </c>
      <c r="D58">
        <v>7</v>
      </c>
    </row>
    <row r="59" spans="1:4" x14ac:dyDescent="0.25">
      <c r="A59" t="s">
        <v>1010</v>
      </c>
      <c r="B59" t="s">
        <v>1085</v>
      </c>
      <c r="C59" t="s">
        <v>1066</v>
      </c>
      <c r="D59">
        <v>5</v>
      </c>
    </row>
    <row r="60" spans="1:4" x14ac:dyDescent="0.25">
      <c r="A60" t="s">
        <v>1010</v>
      </c>
      <c r="B60" t="s">
        <v>1085</v>
      </c>
      <c r="C60" t="s">
        <v>1068</v>
      </c>
      <c r="D60">
        <v>25</v>
      </c>
    </row>
    <row r="61" spans="1:4" x14ac:dyDescent="0.25">
      <c r="A61" t="s">
        <v>1010</v>
      </c>
      <c r="B61" t="s">
        <v>1085</v>
      </c>
      <c r="C61" t="s">
        <v>1071</v>
      </c>
      <c r="D61">
        <v>7</v>
      </c>
    </row>
    <row r="62" spans="1:4" x14ac:dyDescent="0.25">
      <c r="A62" t="s">
        <v>1010</v>
      </c>
      <c r="B62" t="s">
        <v>1085</v>
      </c>
      <c r="C62" t="s">
        <v>1074</v>
      </c>
      <c r="D62">
        <v>4</v>
      </c>
    </row>
    <row r="63" spans="1:4" x14ac:dyDescent="0.25">
      <c r="A63" t="s">
        <v>1010</v>
      </c>
      <c r="B63" t="s">
        <v>1085</v>
      </c>
      <c r="C63" t="s">
        <v>807</v>
      </c>
      <c r="D63">
        <v>7</v>
      </c>
    </row>
    <row r="64" spans="1:4" x14ac:dyDescent="0.25">
      <c r="A64" t="s">
        <v>1010</v>
      </c>
      <c r="B64" t="s">
        <v>1086</v>
      </c>
      <c r="C64" t="s">
        <v>1075</v>
      </c>
      <c r="D64">
        <v>34</v>
      </c>
    </row>
    <row r="65" spans="1:4" x14ac:dyDescent="0.25">
      <c r="A65" t="s">
        <v>1010</v>
      </c>
      <c r="B65" t="s">
        <v>1086</v>
      </c>
      <c r="C65" t="s">
        <v>1081</v>
      </c>
      <c r="D65">
        <v>5</v>
      </c>
    </row>
    <row r="66" spans="1:4" x14ac:dyDescent="0.25">
      <c r="A66" t="s">
        <v>1010</v>
      </c>
      <c r="B66" t="s">
        <v>1086</v>
      </c>
      <c r="C66" t="s">
        <v>795</v>
      </c>
      <c r="D66">
        <v>18</v>
      </c>
    </row>
    <row r="67" spans="1:4" x14ac:dyDescent="0.25">
      <c r="A67" t="s">
        <v>1010</v>
      </c>
      <c r="B67" t="s">
        <v>1097</v>
      </c>
      <c r="C67" t="s">
        <v>1073</v>
      </c>
      <c r="D67">
        <v>237</v>
      </c>
    </row>
    <row r="68" spans="1:4" x14ac:dyDescent="0.25">
      <c r="A68" t="s">
        <v>1010</v>
      </c>
      <c r="B68" t="s">
        <v>1097</v>
      </c>
      <c r="C68" t="s">
        <v>1104</v>
      </c>
      <c r="D68">
        <v>1</v>
      </c>
    </row>
    <row r="69" spans="1:4" x14ac:dyDescent="0.25">
      <c r="A69" t="s">
        <v>1010</v>
      </c>
      <c r="B69" t="s">
        <v>1097</v>
      </c>
      <c r="C69" t="s">
        <v>1078</v>
      </c>
      <c r="D69">
        <v>6</v>
      </c>
    </row>
    <row r="70" spans="1:4" x14ac:dyDescent="0.25">
      <c r="A70" t="s">
        <v>1010</v>
      </c>
      <c r="B70" t="s">
        <v>1097</v>
      </c>
      <c r="C70" t="s">
        <v>1079</v>
      </c>
      <c r="D70">
        <v>102</v>
      </c>
    </row>
    <row r="71" spans="1:4" x14ac:dyDescent="0.25">
      <c r="A71" t="s">
        <v>1061</v>
      </c>
      <c r="B71" t="s">
        <v>1093</v>
      </c>
      <c r="C71" t="s">
        <v>1064</v>
      </c>
      <c r="D71">
        <v>8</v>
      </c>
    </row>
    <row r="72" spans="1:4" x14ac:dyDescent="0.25">
      <c r="A72" t="s">
        <v>1061</v>
      </c>
      <c r="B72" t="s">
        <v>1093</v>
      </c>
      <c r="C72" t="s">
        <v>1065</v>
      </c>
      <c r="D72">
        <v>4</v>
      </c>
    </row>
    <row r="73" spans="1:4" x14ac:dyDescent="0.25">
      <c r="A73" t="s">
        <v>1061</v>
      </c>
      <c r="B73" t="s">
        <v>1093</v>
      </c>
      <c r="C73" t="s">
        <v>1067</v>
      </c>
      <c r="D73">
        <v>91</v>
      </c>
    </row>
    <row r="74" spans="1:4" x14ac:dyDescent="0.25">
      <c r="A74" t="s">
        <v>1061</v>
      </c>
      <c r="B74" t="s">
        <v>1093</v>
      </c>
      <c r="C74" t="s">
        <v>1069</v>
      </c>
      <c r="D74">
        <v>1</v>
      </c>
    </row>
    <row r="75" spans="1:4" x14ac:dyDescent="0.25">
      <c r="A75" t="s">
        <v>1061</v>
      </c>
      <c r="B75" t="s">
        <v>1093</v>
      </c>
      <c r="C75" t="s">
        <v>1070</v>
      </c>
      <c r="D75">
        <v>4</v>
      </c>
    </row>
    <row r="76" spans="1:4" x14ac:dyDescent="0.25">
      <c r="A76" t="s">
        <v>1061</v>
      </c>
      <c r="B76" t="s">
        <v>1093</v>
      </c>
      <c r="C76" t="s">
        <v>1072</v>
      </c>
      <c r="D76">
        <v>7</v>
      </c>
    </row>
    <row r="77" spans="1:4" x14ac:dyDescent="0.25">
      <c r="A77" t="s">
        <v>1061</v>
      </c>
      <c r="B77" t="s">
        <v>1093</v>
      </c>
      <c r="C77" t="s">
        <v>1076</v>
      </c>
      <c r="D77">
        <v>3</v>
      </c>
    </row>
    <row r="78" spans="1:4" x14ac:dyDescent="0.25">
      <c r="A78" t="s">
        <v>1061</v>
      </c>
      <c r="B78" t="s">
        <v>1093</v>
      </c>
      <c r="C78" t="s">
        <v>1077</v>
      </c>
      <c r="D78">
        <v>20</v>
      </c>
    </row>
    <row r="79" spans="1:4" x14ac:dyDescent="0.25">
      <c r="A79" t="s">
        <v>1061</v>
      </c>
      <c r="B79" t="s">
        <v>1093</v>
      </c>
      <c r="C79" t="s">
        <v>1080</v>
      </c>
      <c r="D79">
        <v>6</v>
      </c>
    </row>
    <row r="80" spans="1:4" x14ac:dyDescent="0.25">
      <c r="A80" t="s">
        <v>1061</v>
      </c>
      <c r="B80" t="s">
        <v>1085</v>
      </c>
      <c r="C80" t="s">
        <v>1066</v>
      </c>
      <c r="D80">
        <v>5</v>
      </c>
    </row>
    <row r="81" spans="1:4" x14ac:dyDescent="0.25">
      <c r="A81" t="s">
        <v>1061</v>
      </c>
      <c r="B81" t="s">
        <v>1085</v>
      </c>
      <c r="C81" t="s">
        <v>1068</v>
      </c>
      <c r="D81">
        <v>25</v>
      </c>
    </row>
    <row r="82" spans="1:4" x14ac:dyDescent="0.25">
      <c r="A82" t="s">
        <v>1061</v>
      </c>
      <c r="B82" t="s">
        <v>1085</v>
      </c>
      <c r="C82" t="s">
        <v>1071</v>
      </c>
      <c r="D82">
        <v>7</v>
      </c>
    </row>
    <row r="83" spans="1:4" x14ac:dyDescent="0.25">
      <c r="A83" t="s">
        <v>1061</v>
      </c>
      <c r="B83" t="s">
        <v>1085</v>
      </c>
      <c r="C83" t="s">
        <v>1074</v>
      </c>
      <c r="D83">
        <v>4</v>
      </c>
    </row>
    <row r="84" spans="1:4" x14ac:dyDescent="0.25">
      <c r="A84" t="s">
        <v>1061</v>
      </c>
      <c r="B84" t="s">
        <v>1085</v>
      </c>
      <c r="C84" t="s">
        <v>807</v>
      </c>
      <c r="D84">
        <v>8</v>
      </c>
    </row>
    <row r="85" spans="1:4" x14ac:dyDescent="0.25">
      <c r="A85" t="s">
        <v>1061</v>
      </c>
      <c r="B85" t="s">
        <v>1086</v>
      </c>
      <c r="C85" t="s">
        <v>1075</v>
      </c>
      <c r="D85">
        <v>33</v>
      </c>
    </row>
    <row r="86" spans="1:4" x14ac:dyDescent="0.25">
      <c r="A86" t="s">
        <v>1061</v>
      </c>
      <c r="B86" t="s">
        <v>1086</v>
      </c>
      <c r="C86" t="s">
        <v>1081</v>
      </c>
      <c r="D86">
        <v>5</v>
      </c>
    </row>
    <row r="87" spans="1:4" x14ac:dyDescent="0.25">
      <c r="A87" t="s">
        <v>1061</v>
      </c>
      <c r="B87" t="s">
        <v>1086</v>
      </c>
      <c r="C87" t="s">
        <v>795</v>
      </c>
      <c r="D87">
        <v>18</v>
      </c>
    </row>
    <row r="88" spans="1:4" x14ac:dyDescent="0.25">
      <c r="A88" t="s">
        <v>1061</v>
      </c>
      <c r="B88" t="s">
        <v>1097</v>
      </c>
      <c r="C88" t="s">
        <v>1073</v>
      </c>
      <c r="D88">
        <v>238</v>
      </c>
    </row>
    <row r="89" spans="1:4" x14ac:dyDescent="0.25">
      <c r="A89" t="s">
        <v>1061</v>
      </c>
      <c r="B89" t="s">
        <v>1097</v>
      </c>
      <c r="C89" t="s">
        <v>1078</v>
      </c>
      <c r="D89">
        <v>6</v>
      </c>
    </row>
    <row r="90" spans="1:4" x14ac:dyDescent="0.25">
      <c r="A90" t="s">
        <v>1061</v>
      </c>
      <c r="B90" t="s">
        <v>1097</v>
      </c>
      <c r="C90" t="s">
        <v>1079</v>
      </c>
      <c r="D90">
        <v>101</v>
      </c>
    </row>
    <row r="91" spans="1:4" x14ac:dyDescent="0.25">
      <c r="A91" t="s">
        <v>1108</v>
      </c>
      <c r="B91" t="s">
        <v>1093</v>
      </c>
      <c r="C91" t="s">
        <v>1064</v>
      </c>
      <c r="D91">
        <v>8</v>
      </c>
    </row>
    <row r="92" spans="1:4" x14ac:dyDescent="0.25">
      <c r="A92" t="s">
        <v>1108</v>
      </c>
      <c r="B92" t="s">
        <v>1093</v>
      </c>
      <c r="C92" t="s">
        <v>1065</v>
      </c>
      <c r="D92">
        <v>4</v>
      </c>
    </row>
    <row r="93" spans="1:4" x14ac:dyDescent="0.25">
      <c r="A93" t="s">
        <v>1108</v>
      </c>
      <c r="B93" t="s">
        <v>1093</v>
      </c>
      <c r="C93" t="s">
        <v>1067</v>
      </c>
      <c r="D93">
        <v>91</v>
      </c>
    </row>
    <row r="94" spans="1:4" x14ac:dyDescent="0.25">
      <c r="A94" t="s">
        <v>1108</v>
      </c>
      <c r="B94" t="s">
        <v>1093</v>
      </c>
      <c r="C94" t="s">
        <v>1069</v>
      </c>
      <c r="D94">
        <v>1</v>
      </c>
    </row>
    <row r="95" spans="1:4" x14ac:dyDescent="0.25">
      <c r="A95" t="s">
        <v>1108</v>
      </c>
      <c r="B95" t="s">
        <v>1093</v>
      </c>
      <c r="C95" t="s">
        <v>1070</v>
      </c>
      <c r="D95">
        <v>4</v>
      </c>
    </row>
    <row r="96" spans="1:4" x14ac:dyDescent="0.25">
      <c r="A96" t="s">
        <v>1108</v>
      </c>
      <c r="B96" t="s">
        <v>1093</v>
      </c>
      <c r="C96" t="s">
        <v>1072</v>
      </c>
      <c r="D96">
        <v>7</v>
      </c>
    </row>
    <row r="97" spans="1:4" x14ac:dyDescent="0.25">
      <c r="A97" t="s">
        <v>1108</v>
      </c>
      <c r="B97" t="s">
        <v>1093</v>
      </c>
      <c r="C97" t="s">
        <v>1076</v>
      </c>
      <c r="D97">
        <v>4</v>
      </c>
    </row>
    <row r="98" spans="1:4" x14ac:dyDescent="0.25">
      <c r="A98" t="s">
        <v>1108</v>
      </c>
      <c r="B98" t="s">
        <v>1093</v>
      </c>
      <c r="C98" t="s">
        <v>1077</v>
      </c>
      <c r="D98">
        <v>20</v>
      </c>
    </row>
    <row r="99" spans="1:4" x14ac:dyDescent="0.25">
      <c r="A99" t="s">
        <v>1108</v>
      </c>
      <c r="B99" t="s">
        <v>1093</v>
      </c>
      <c r="C99" t="s">
        <v>1080</v>
      </c>
      <c r="D99">
        <v>7</v>
      </c>
    </row>
    <row r="100" spans="1:4" x14ac:dyDescent="0.25">
      <c r="A100" t="s">
        <v>1108</v>
      </c>
      <c r="B100" t="s">
        <v>1085</v>
      </c>
      <c r="C100" t="s">
        <v>1066</v>
      </c>
      <c r="D100">
        <v>5</v>
      </c>
    </row>
    <row r="101" spans="1:4" x14ac:dyDescent="0.25">
      <c r="A101" t="s">
        <v>1108</v>
      </c>
      <c r="B101" t="s">
        <v>1085</v>
      </c>
      <c r="C101" t="s">
        <v>1068</v>
      </c>
      <c r="D101">
        <v>16</v>
      </c>
    </row>
    <row r="102" spans="1:4" x14ac:dyDescent="0.25">
      <c r="A102" t="s">
        <v>1108</v>
      </c>
      <c r="B102" t="s">
        <v>1085</v>
      </c>
      <c r="C102" t="s">
        <v>1071</v>
      </c>
      <c r="D102">
        <v>5</v>
      </c>
    </row>
    <row r="103" spans="1:4" x14ac:dyDescent="0.25">
      <c r="A103" t="s">
        <v>1108</v>
      </c>
      <c r="B103" t="s">
        <v>1085</v>
      </c>
      <c r="C103" t="s">
        <v>1074</v>
      </c>
      <c r="D103">
        <v>4</v>
      </c>
    </row>
    <row r="104" spans="1:4" x14ac:dyDescent="0.25">
      <c r="A104" t="s">
        <v>1108</v>
      </c>
      <c r="B104" t="s">
        <v>1085</v>
      </c>
      <c r="C104" t="s">
        <v>807</v>
      </c>
      <c r="D104">
        <v>7</v>
      </c>
    </row>
    <row r="105" spans="1:4" x14ac:dyDescent="0.25">
      <c r="A105" t="s">
        <v>1108</v>
      </c>
      <c r="B105" t="s">
        <v>1086</v>
      </c>
      <c r="C105" t="s">
        <v>1075</v>
      </c>
      <c r="D105">
        <v>34</v>
      </c>
    </row>
    <row r="106" spans="1:4" x14ac:dyDescent="0.25">
      <c r="A106" t="s">
        <v>1108</v>
      </c>
      <c r="B106" t="s">
        <v>1086</v>
      </c>
      <c r="C106" t="s">
        <v>1081</v>
      </c>
      <c r="D106">
        <v>5</v>
      </c>
    </row>
    <row r="107" spans="1:4" x14ac:dyDescent="0.25">
      <c r="A107" t="s">
        <v>1108</v>
      </c>
      <c r="B107" t="s">
        <v>1086</v>
      </c>
      <c r="C107" t="s">
        <v>795</v>
      </c>
      <c r="D107">
        <v>18</v>
      </c>
    </row>
    <row r="108" spans="1:4" x14ac:dyDescent="0.25">
      <c r="A108" t="s">
        <v>1108</v>
      </c>
      <c r="B108" t="s">
        <v>1097</v>
      </c>
      <c r="C108" t="s">
        <v>1073</v>
      </c>
      <c r="D108">
        <v>245</v>
      </c>
    </row>
    <row r="109" spans="1:4" x14ac:dyDescent="0.25">
      <c r="A109" t="s">
        <v>1108</v>
      </c>
      <c r="B109" t="s">
        <v>1097</v>
      </c>
      <c r="C109" t="s">
        <v>1078</v>
      </c>
      <c r="D109">
        <v>6</v>
      </c>
    </row>
    <row r="110" spans="1:4" x14ac:dyDescent="0.25">
      <c r="A110" t="s">
        <v>1108</v>
      </c>
      <c r="B110" t="s">
        <v>1097</v>
      </c>
      <c r="C110" t="s">
        <v>1079</v>
      </c>
      <c r="D110">
        <v>94</v>
      </c>
    </row>
  </sheetData>
  <pageMargins left="0.7" right="0.7" top="0.75" bottom="0.75" header="0.3" footer="0.3"/>
  <tableParts count="2">
    <tablePart r:id="rId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5217C-4872-4DCE-915E-4384307FB649}">
  <sheetPr>
    <tabColor theme="7" tint="-0.249977111117893"/>
  </sheetPr>
  <dimension ref="A1:H12"/>
  <sheetViews>
    <sheetView workbookViewId="0">
      <selection activeCell="E7" sqref="E7"/>
    </sheetView>
  </sheetViews>
  <sheetFormatPr defaultRowHeight="15" x14ac:dyDescent="0.25"/>
  <cols>
    <col min="1" max="1" width="7.42578125" bestFit="1" customWidth="1"/>
    <col min="2" max="2" width="10.7109375" bestFit="1" customWidth="1"/>
    <col min="3" max="3" width="8.85546875" bestFit="1" customWidth="1"/>
    <col min="4" max="6" width="9.85546875" bestFit="1" customWidth="1"/>
    <col min="7" max="7" width="9.5703125" bestFit="1" customWidth="1"/>
    <col min="8" max="8" width="14.28515625" bestFit="1" customWidth="1"/>
  </cols>
  <sheetData>
    <row r="1" spans="1:8" x14ac:dyDescent="0.25">
      <c r="A1" t="s">
        <v>1</v>
      </c>
      <c r="B1" t="s">
        <v>351</v>
      </c>
      <c r="C1" t="s">
        <v>352</v>
      </c>
      <c r="D1" t="s">
        <v>353</v>
      </c>
      <c r="E1" t="s">
        <v>354</v>
      </c>
      <c r="F1" t="s">
        <v>355</v>
      </c>
      <c r="G1" t="s">
        <v>356</v>
      </c>
      <c r="H1" t="s">
        <v>357</v>
      </c>
    </row>
    <row r="2" spans="1:8" x14ac:dyDescent="0.25">
      <c r="A2" t="s">
        <v>192</v>
      </c>
      <c r="B2">
        <v>9522</v>
      </c>
      <c r="C2">
        <v>8378</v>
      </c>
      <c r="D2">
        <v>6148</v>
      </c>
      <c r="E2">
        <v>21422</v>
      </c>
      <c r="F2">
        <v>45974</v>
      </c>
      <c r="G2">
        <v>43449</v>
      </c>
      <c r="H2">
        <v>134893</v>
      </c>
    </row>
    <row r="3" spans="1:8" x14ac:dyDescent="0.25">
      <c r="A3" t="s">
        <v>191</v>
      </c>
      <c r="B3">
        <v>9301</v>
      </c>
      <c r="C3">
        <v>8100</v>
      </c>
      <c r="D3">
        <v>5611</v>
      </c>
      <c r="E3">
        <v>17596</v>
      </c>
      <c r="F3">
        <v>41757</v>
      </c>
      <c r="G3">
        <v>43048</v>
      </c>
      <c r="H3">
        <v>125413</v>
      </c>
    </row>
    <row r="4" spans="1:8" x14ac:dyDescent="0.25">
      <c r="A4" t="s">
        <v>190</v>
      </c>
      <c r="B4">
        <v>9270</v>
      </c>
      <c r="C4">
        <v>8385</v>
      </c>
      <c r="D4">
        <v>5779</v>
      </c>
      <c r="E4">
        <v>17567</v>
      </c>
      <c r="F4">
        <v>43991</v>
      </c>
      <c r="G4">
        <v>49733</v>
      </c>
      <c r="H4">
        <v>134725</v>
      </c>
    </row>
    <row r="5" spans="1:8" x14ac:dyDescent="0.25">
      <c r="A5" t="s">
        <v>257</v>
      </c>
      <c r="B5">
        <v>7684</v>
      </c>
      <c r="C5">
        <v>7945</v>
      </c>
      <c r="D5">
        <v>5617</v>
      </c>
      <c r="E5">
        <v>13019</v>
      </c>
      <c r="F5">
        <v>42665</v>
      </c>
      <c r="G5">
        <v>52260</v>
      </c>
      <c r="H5">
        <v>129190</v>
      </c>
    </row>
    <row r="6" spans="1:8" x14ac:dyDescent="0.25">
      <c r="A6" t="s">
        <v>240</v>
      </c>
      <c r="B6">
        <v>7694</v>
      </c>
      <c r="C6">
        <v>7954</v>
      </c>
      <c r="D6">
        <v>5364</v>
      </c>
      <c r="E6">
        <v>13881</v>
      </c>
      <c r="F6">
        <v>42205</v>
      </c>
      <c r="G6">
        <v>50848</v>
      </c>
      <c r="H6">
        <v>127946</v>
      </c>
    </row>
    <row r="7" spans="1:8" x14ac:dyDescent="0.25">
      <c r="A7" t="s">
        <v>239</v>
      </c>
      <c r="B7">
        <v>7266</v>
      </c>
      <c r="C7">
        <v>7987</v>
      </c>
      <c r="D7">
        <v>5517</v>
      </c>
      <c r="E7">
        <v>13947</v>
      </c>
      <c r="F7">
        <v>41141</v>
      </c>
      <c r="G7">
        <v>48727</v>
      </c>
      <c r="H7">
        <v>124585</v>
      </c>
    </row>
    <row r="8" spans="1:8" x14ac:dyDescent="0.25">
      <c r="A8" t="s">
        <v>760</v>
      </c>
      <c r="B8">
        <v>7040</v>
      </c>
      <c r="C8">
        <v>7889</v>
      </c>
      <c r="D8">
        <v>5512</v>
      </c>
      <c r="E8">
        <v>13665</v>
      </c>
      <c r="F8">
        <v>40173</v>
      </c>
      <c r="G8">
        <v>48769</v>
      </c>
      <c r="H8">
        <v>123048</v>
      </c>
    </row>
    <row r="9" spans="1:8" x14ac:dyDescent="0.25">
      <c r="A9" t="s">
        <v>917</v>
      </c>
      <c r="B9">
        <v>1270</v>
      </c>
      <c r="C9">
        <v>1639</v>
      </c>
      <c r="D9">
        <v>1291</v>
      </c>
      <c r="E9">
        <v>2992</v>
      </c>
      <c r="F9">
        <v>9416</v>
      </c>
      <c r="G9">
        <v>16017</v>
      </c>
      <c r="H9">
        <v>32625</v>
      </c>
    </row>
    <row r="10" spans="1:8" x14ac:dyDescent="0.25">
      <c r="A10" t="s">
        <v>1010</v>
      </c>
      <c r="B10">
        <v>2198</v>
      </c>
      <c r="C10">
        <v>2826</v>
      </c>
      <c r="D10">
        <v>2403</v>
      </c>
      <c r="E10">
        <v>5628</v>
      </c>
      <c r="F10">
        <v>18596</v>
      </c>
      <c r="G10">
        <v>39107</v>
      </c>
      <c r="H10">
        <v>70758</v>
      </c>
    </row>
    <row r="11" spans="1:8" x14ac:dyDescent="0.25">
      <c r="A11" t="s">
        <v>1061</v>
      </c>
      <c r="B11">
        <v>2300</v>
      </c>
      <c r="C11">
        <v>3133</v>
      </c>
      <c r="D11">
        <v>2463</v>
      </c>
      <c r="E11">
        <v>5787</v>
      </c>
      <c r="F11">
        <v>18149</v>
      </c>
      <c r="G11">
        <v>30792</v>
      </c>
      <c r="H11">
        <v>62624</v>
      </c>
    </row>
    <row r="12" spans="1:8" x14ac:dyDescent="0.25">
      <c r="A12" t="s">
        <v>1108</v>
      </c>
      <c r="B12">
        <v>2410</v>
      </c>
      <c r="C12">
        <v>3147</v>
      </c>
      <c r="D12">
        <v>2485</v>
      </c>
      <c r="E12">
        <v>6086</v>
      </c>
      <c r="F12">
        <v>18425</v>
      </c>
      <c r="G12">
        <v>28177</v>
      </c>
      <c r="H12">
        <v>60730</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4DFAD-6417-488A-A832-30B5AFD9F152}">
  <sheetPr>
    <tabColor theme="7" tint="-0.249977111117893"/>
  </sheetPr>
  <dimension ref="B4:I16"/>
  <sheetViews>
    <sheetView workbookViewId="0">
      <selection activeCell="D8" sqref="D8"/>
    </sheetView>
  </sheetViews>
  <sheetFormatPr defaultRowHeight="15" x14ac:dyDescent="0.25"/>
  <cols>
    <col min="2" max="2" width="12.5703125" bestFit="1" customWidth="1"/>
    <col min="3" max="3" width="14.85546875" bestFit="1" customWidth="1"/>
    <col min="4" max="4" width="12.85546875" bestFit="1" customWidth="1"/>
    <col min="5" max="7" width="13.85546875" bestFit="1" customWidth="1"/>
    <col min="8" max="8" width="13.7109375" bestFit="1" customWidth="1"/>
    <col min="9" max="9" width="18.5703125" bestFit="1" customWidth="1"/>
  </cols>
  <sheetData>
    <row r="4" spans="2:9" x14ac:dyDescent="0.25">
      <c r="B4" s="394" t="s">
        <v>231</v>
      </c>
      <c r="C4" t="s">
        <v>1182</v>
      </c>
      <c r="D4" t="s">
        <v>1183</v>
      </c>
      <c r="E4" t="s">
        <v>1184</v>
      </c>
      <c r="F4" t="s">
        <v>1185</v>
      </c>
      <c r="G4" t="s">
        <v>1186</v>
      </c>
      <c r="H4" t="s">
        <v>1187</v>
      </c>
      <c r="I4" t="s">
        <v>1188</v>
      </c>
    </row>
    <row r="5" spans="2:9" x14ac:dyDescent="0.25">
      <c r="B5" s="395" t="s">
        <v>192</v>
      </c>
      <c r="C5">
        <v>3.2383018810173998</v>
      </c>
      <c r="D5">
        <v>2.4963871217651699</v>
      </c>
      <c r="E5">
        <v>1.7888109120957101</v>
      </c>
      <c r="F5">
        <v>2.17919399729813</v>
      </c>
      <c r="G5">
        <v>2.1170750711117798</v>
      </c>
      <c r="H5">
        <v>3.6214893874166001</v>
      </c>
      <c r="I5">
        <v>2.53191808848096</v>
      </c>
    </row>
    <row r="6" spans="2:9" x14ac:dyDescent="0.25">
      <c r="B6" s="395" t="s">
        <v>191</v>
      </c>
      <c r="C6">
        <v>3.1868346484751102</v>
      </c>
      <c r="D6">
        <v>2.3587378131879699</v>
      </c>
      <c r="E6">
        <v>1.6718611261747101</v>
      </c>
      <c r="F6">
        <v>1.78860036633983</v>
      </c>
      <c r="G6">
        <v>1.9208273399</v>
      </c>
      <c r="H6">
        <v>3.5313264951207199</v>
      </c>
      <c r="I6">
        <v>2.3452202857356599</v>
      </c>
    </row>
    <row r="7" spans="2:9" x14ac:dyDescent="0.25">
      <c r="B7" s="395" t="s">
        <v>190</v>
      </c>
      <c r="C7">
        <v>3.1836633765377398</v>
      </c>
      <c r="D7">
        <v>2.4072968224256099</v>
      </c>
      <c r="E7">
        <v>1.7431198195046</v>
      </c>
      <c r="F7">
        <v>1.77315129774044</v>
      </c>
      <c r="G7">
        <v>2.02073514685482</v>
      </c>
      <c r="H7">
        <v>4.0293256937670296</v>
      </c>
      <c r="I7">
        <v>2.5074446305602098</v>
      </c>
    </row>
    <row r="8" spans="2:9" x14ac:dyDescent="0.25">
      <c r="B8" s="395" t="s">
        <v>257</v>
      </c>
      <c r="C8">
        <v>2.6751335129753002</v>
      </c>
      <c r="D8">
        <v>2.23490559668745</v>
      </c>
      <c r="E8">
        <v>1.7018839798088801</v>
      </c>
      <c r="F8">
        <v>1.3071088286823001</v>
      </c>
      <c r="G8">
        <v>1.9537466004626001</v>
      </c>
      <c r="H8">
        <v>4.1736147049239998</v>
      </c>
      <c r="I8">
        <v>2.3903269376653702</v>
      </c>
    </row>
    <row r="9" spans="2:9" x14ac:dyDescent="0.25">
      <c r="B9" s="395" t="s">
        <v>240</v>
      </c>
      <c r="C9">
        <v>2.7273436226099399</v>
      </c>
      <c r="D9">
        <v>2.2093953467700702</v>
      </c>
      <c r="E9">
        <v>1.6209257770713299</v>
      </c>
      <c r="F9">
        <v>1.39846824355774</v>
      </c>
      <c r="G9">
        <v>1.92917123571634</v>
      </c>
      <c r="H9">
        <v>3.99921035100841</v>
      </c>
      <c r="I9">
        <v>2.35853856363368</v>
      </c>
    </row>
    <row r="10" spans="2:9" x14ac:dyDescent="0.25">
      <c r="B10" s="395" t="s">
        <v>239</v>
      </c>
      <c r="C10">
        <v>2.6244121620157301</v>
      </c>
      <c r="D10">
        <v>2.2083850613962599</v>
      </c>
      <c r="E10">
        <v>1.6496084534584401</v>
      </c>
      <c r="F10">
        <v>1.4152106479203099</v>
      </c>
      <c r="G10">
        <v>1.87941605212535</v>
      </c>
      <c r="H10">
        <v>3.77556001518685</v>
      </c>
      <c r="I10">
        <v>2.2909655946010599</v>
      </c>
    </row>
    <row r="11" spans="2:9" x14ac:dyDescent="0.25">
      <c r="B11" s="395" t="s">
        <v>760</v>
      </c>
      <c r="C11">
        <v>2.5909500763667817</v>
      </c>
      <c r="D11">
        <v>2.1887441563666123</v>
      </c>
      <c r="E11">
        <v>1.6055974529491785</v>
      </c>
      <c r="F11">
        <v>1.3978495723593021</v>
      </c>
      <c r="G11">
        <v>1.8302517057382788</v>
      </c>
      <c r="H11">
        <v>3.7077274669399558</v>
      </c>
      <c r="I11">
        <v>2.2522651144912418</v>
      </c>
    </row>
    <row r="12" spans="2:9" x14ac:dyDescent="0.25">
      <c r="B12" s="395" t="s">
        <v>917</v>
      </c>
      <c r="C12">
        <v>0.48141437268295645</v>
      </c>
      <c r="D12">
        <v>0.45840896568505429</v>
      </c>
      <c r="E12">
        <v>0.36746497554977431</v>
      </c>
      <c r="F12">
        <v>0.31022444614256844</v>
      </c>
      <c r="G12">
        <v>0.42915501219418262</v>
      </c>
      <c r="H12">
        <v>1.1999685342583262</v>
      </c>
      <c r="I12">
        <v>0.59687156970362243</v>
      </c>
    </row>
    <row r="13" spans="2:9" x14ac:dyDescent="0.25">
      <c r="B13" s="395" t="s">
        <v>1010</v>
      </c>
      <c r="C13">
        <v>0.86048614726918959</v>
      </c>
      <c r="D13">
        <v>0.79249568838598416</v>
      </c>
      <c r="E13">
        <v>0.67354317907895844</v>
      </c>
      <c r="F13">
        <v>0.59173152968067744</v>
      </c>
      <c r="G13">
        <v>0.8446089414273964</v>
      </c>
      <c r="H13">
        <v>2.8791941466373943</v>
      </c>
      <c r="I13">
        <v>1.291227942115732</v>
      </c>
    </row>
    <row r="14" spans="2:9" x14ac:dyDescent="0.25">
      <c r="B14" s="395" t="s">
        <v>1061</v>
      </c>
      <c r="C14">
        <v>0.92840391221335528</v>
      </c>
      <c r="D14">
        <v>0.91604169407774516</v>
      </c>
      <c r="E14">
        <v>0.68323291501614458</v>
      </c>
      <c r="F14">
        <v>0.62138478503866068</v>
      </c>
      <c r="G14">
        <v>0.83499267558356105</v>
      </c>
      <c r="H14">
        <v>2.2111206616127999</v>
      </c>
      <c r="I14">
        <v>1.1495493511023001</v>
      </c>
    </row>
    <row r="15" spans="2:9" x14ac:dyDescent="0.25">
      <c r="B15" s="395" t="s">
        <v>1108</v>
      </c>
      <c r="C15">
        <v>0.97280583844964619</v>
      </c>
      <c r="D15">
        <v>0.92013508179465808</v>
      </c>
      <c r="E15">
        <v>0.68933568567402326</v>
      </c>
      <c r="F15">
        <v>0.65349020247888179</v>
      </c>
      <c r="G15">
        <v>0.8476907844854874</v>
      </c>
      <c r="H15">
        <v>2.0233420005931366</v>
      </c>
      <c r="I15">
        <v>1.1147823852267928</v>
      </c>
    </row>
    <row r="16" spans="2:9" x14ac:dyDescent="0.25">
      <c r="B16" s="395" t="s">
        <v>236</v>
      </c>
      <c r="C16">
        <v>23.469749550613145</v>
      </c>
      <c r="D16">
        <v>19.190933348542586</v>
      </c>
      <c r="E16">
        <v>14.19538427638175</v>
      </c>
      <c r="F16">
        <v>13.436413917238839</v>
      </c>
      <c r="G16">
        <v>16.607670565599797</v>
      </c>
      <c r="H16">
        <v>35.151879457465228</v>
      </c>
      <c r="I16">
        <v>20.829110463316631</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28D-22C2-4887-9D9A-B17147022B7E}">
  <sheetPr>
    <tabColor theme="7" tint="-0.249977111117893"/>
  </sheetPr>
  <dimension ref="A1:H12"/>
  <sheetViews>
    <sheetView workbookViewId="0">
      <selection activeCell="D9" sqref="D9"/>
    </sheetView>
  </sheetViews>
  <sheetFormatPr defaultRowHeight="15" x14ac:dyDescent="0.25"/>
  <cols>
    <col min="1" max="1" width="7.42578125" bestFit="1" customWidth="1"/>
    <col min="2" max="7" width="11.85546875" bestFit="1" customWidth="1"/>
    <col min="8" max="8" width="14.28515625" bestFit="1" customWidth="1"/>
  </cols>
  <sheetData>
    <row r="1" spans="1:8" x14ac:dyDescent="0.25">
      <c r="A1" t="s">
        <v>1</v>
      </c>
      <c r="B1" t="s">
        <v>351</v>
      </c>
      <c r="C1" t="s">
        <v>352</v>
      </c>
      <c r="D1" t="s">
        <v>353</v>
      </c>
      <c r="E1" t="s">
        <v>354</v>
      </c>
      <c r="F1" t="s">
        <v>355</v>
      </c>
      <c r="G1" t="s">
        <v>356</v>
      </c>
      <c r="H1" t="s">
        <v>357</v>
      </c>
    </row>
    <row r="2" spans="1:8" x14ac:dyDescent="0.25">
      <c r="A2" t="s">
        <v>192</v>
      </c>
      <c r="B2">
        <v>3.2383018810173998</v>
      </c>
      <c r="C2">
        <v>2.4963871217651699</v>
      </c>
      <c r="D2">
        <v>1.7888109120957101</v>
      </c>
      <c r="E2">
        <v>2.17919399729813</v>
      </c>
      <c r="F2">
        <v>2.1170750711117798</v>
      </c>
      <c r="G2">
        <v>3.6214893874166001</v>
      </c>
      <c r="H2">
        <v>2.53191808848096</v>
      </c>
    </row>
    <row r="3" spans="1:8" x14ac:dyDescent="0.25">
      <c r="A3" t="s">
        <v>191</v>
      </c>
      <c r="B3">
        <v>3.1868346484751102</v>
      </c>
      <c r="C3">
        <v>2.3587378131879699</v>
      </c>
      <c r="D3">
        <v>1.6718611261747101</v>
      </c>
      <c r="E3">
        <v>1.78860036633983</v>
      </c>
      <c r="F3">
        <v>1.9208273399</v>
      </c>
      <c r="G3">
        <v>3.5313264951207199</v>
      </c>
      <c r="H3">
        <v>2.3452202857356599</v>
      </c>
    </row>
    <row r="4" spans="1:8" x14ac:dyDescent="0.25">
      <c r="A4" t="s">
        <v>190</v>
      </c>
      <c r="B4">
        <v>3.1836633765377398</v>
      </c>
      <c r="C4">
        <v>2.4072968224256099</v>
      </c>
      <c r="D4">
        <v>1.7431198195046</v>
      </c>
      <c r="E4">
        <v>1.77315129774044</v>
      </c>
      <c r="F4">
        <v>2.02073514685482</v>
      </c>
      <c r="G4">
        <v>4.0293256937670296</v>
      </c>
      <c r="H4">
        <v>2.5074446305602098</v>
      </c>
    </row>
    <row r="5" spans="1:8" x14ac:dyDescent="0.25">
      <c r="A5" t="s">
        <v>257</v>
      </c>
      <c r="B5">
        <v>2.6751335129753002</v>
      </c>
      <c r="C5">
        <v>2.23490559668745</v>
      </c>
      <c r="D5">
        <v>1.7018839798088801</v>
      </c>
      <c r="E5">
        <v>1.3071088286823001</v>
      </c>
      <c r="F5">
        <v>1.9537466004626001</v>
      </c>
      <c r="G5">
        <v>4.1736147049239998</v>
      </c>
      <c r="H5">
        <v>2.3903269376653702</v>
      </c>
    </row>
    <row r="6" spans="1:8" x14ac:dyDescent="0.25">
      <c r="A6" t="s">
        <v>240</v>
      </c>
      <c r="B6">
        <v>2.7273436226099399</v>
      </c>
      <c r="C6">
        <v>2.2093953467700702</v>
      </c>
      <c r="D6">
        <v>1.6209257770713299</v>
      </c>
      <c r="E6">
        <v>1.39846824355774</v>
      </c>
      <c r="F6">
        <v>1.92917123571634</v>
      </c>
      <c r="G6">
        <v>3.99921035100841</v>
      </c>
      <c r="H6">
        <v>2.35853856363368</v>
      </c>
    </row>
    <row r="7" spans="1:8" x14ac:dyDescent="0.25">
      <c r="A7" t="s">
        <v>239</v>
      </c>
      <c r="B7">
        <v>2.6244121620157301</v>
      </c>
      <c r="C7">
        <v>2.2083850613962599</v>
      </c>
      <c r="D7">
        <v>1.6496084534584401</v>
      </c>
      <c r="E7">
        <v>1.4152106479203099</v>
      </c>
      <c r="F7">
        <v>1.87941605212535</v>
      </c>
      <c r="G7">
        <v>3.77556001518685</v>
      </c>
      <c r="H7">
        <v>2.2909655946010599</v>
      </c>
    </row>
    <row r="8" spans="1:8" x14ac:dyDescent="0.25">
      <c r="A8" t="s">
        <v>760</v>
      </c>
      <c r="B8">
        <v>2.5909500763667817</v>
      </c>
      <c r="C8">
        <v>2.1887441563666123</v>
      </c>
      <c r="D8">
        <v>1.6055974529491785</v>
      </c>
      <c r="E8">
        <v>1.3978495723593021</v>
      </c>
      <c r="F8">
        <v>1.8302517057382788</v>
      </c>
      <c r="G8">
        <v>3.7077274669399558</v>
      </c>
      <c r="H8">
        <v>2.2522651144912418</v>
      </c>
    </row>
    <row r="9" spans="1:8" x14ac:dyDescent="0.25">
      <c r="A9" t="s">
        <v>917</v>
      </c>
      <c r="B9">
        <v>0.48141437268295645</v>
      </c>
      <c r="C9">
        <v>0.45840896568505429</v>
      </c>
      <c r="D9">
        <v>0.36746497554977431</v>
      </c>
      <c r="E9">
        <v>0.31022444614256844</v>
      </c>
      <c r="F9">
        <v>0.42915501219418262</v>
      </c>
      <c r="G9">
        <v>1.1999685342583262</v>
      </c>
      <c r="H9">
        <v>0.59687156970362243</v>
      </c>
    </row>
    <row r="10" spans="1:8" x14ac:dyDescent="0.25">
      <c r="A10" t="s">
        <v>1010</v>
      </c>
      <c r="B10">
        <v>0.86048614726918959</v>
      </c>
      <c r="C10">
        <v>0.79249568838598416</v>
      </c>
      <c r="D10">
        <v>0.67354317907895844</v>
      </c>
      <c r="E10">
        <v>0.59173152968067744</v>
      </c>
      <c r="F10">
        <v>0.8446089414273964</v>
      </c>
      <c r="G10">
        <v>2.8791941466373943</v>
      </c>
      <c r="H10">
        <v>1.291227942115732</v>
      </c>
    </row>
    <row r="11" spans="1:8" x14ac:dyDescent="0.25">
      <c r="A11" t="s">
        <v>1061</v>
      </c>
      <c r="B11">
        <v>0.92840391221335528</v>
      </c>
      <c r="C11">
        <v>0.91604169407774516</v>
      </c>
      <c r="D11">
        <v>0.68323291501614458</v>
      </c>
      <c r="E11">
        <v>0.62138478503866068</v>
      </c>
      <c r="F11">
        <v>0.83499267558356105</v>
      </c>
      <c r="G11">
        <v>2.2111206616127999</v>
      </c>
      <c r="H11">
        <v>1.1495493511023001</v>
      </c>
    </row>
    <row r="12" spans="1:8" x14ac:dyDescent="0.25">
      <c r="A12" t="s">
        <v>1108</v>
      </c>
      <c r="B12">
        <v>0.97280583844964619</v>
      </c>
      <c r="C12">
        <v>0.92013508179465808</v>
      </c>
      <c r="D12">
        <v>0.68933568567402326</v>
      </c>
      <c r="E12">
        <v>0.65349020247888179</v>
      </c>
      <c r="F12">
        <v>0.8476907844854874</v>
      </c>
      <c r="G12">
        <v>2.0233420005931366</v>
      </c>
      <c r="H12">
        <v>1.1147823852267928</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theme="7" tint="-0.249977111117893"/>
  </sheetPr>
  <dimension ref="A1:AA48"/>
  <sheetViews>
    <sheetView showGridLines="0" zoomScaleNormal="100" workbookViewId="0">
      <pane ySplit="2" topLeftCell="A3" activePane="bottomLeft" state="frozen"/>
      <selection pane="bottomLeft"/>
    </sheetView>
  </sheetViews>
  <sheetFormatPr defaultRowHeight="15" x14ac:dyDescent="0.25"/>
  <cols>
    <col min="1" max="1" width="18.28515625" customWidth="1"/>
    <col min="2" max="2" width="14.85546875" customWidth="1"/>
    <col min="3" max="3" width="14.7109375" customWidth="1"/>
    <col min="4" max="4" width="16" customWidth="1"/>
    <col min="5" max="5" width="14.42578125" customWidth="1"/>
    <col min="6" max="6" width="17.140625" customWidth="1"/>
    <col min="7" max="7" width="14.85546875" customWidth="1"/>
    <col min="8" max="8" width="14.42578125" customWidth="1"/>
    <col min="9" max="9" width="8.5703125" bestFit="1" customWidth="1"/>
    <col min="10" max="15" width="12.5703125" bestFit="1" customWidth="1"/>
    <col min="16" max="16" width="15.42578125" customWidth="1"/>
    <col min="17" max="17" width="18.5703125" customWidth="1"/>
    <col min="18" max="18" width="12.85546875" bestFit="1" customWidth="1"/>
    <col min="19" max="19" width="11.140625" bestFit="1" customWidth="1"/>
    <col min="20" max="22" width="12.140625" bestFit="1" customWidth="1"/>
    <col min="23" max="23" width="11.85546875" bestFit="1" customWidth="1"/>
    <col min="24" max="24" width="16" bestFit="1" customWidth="1"/>
    <col min="25" max="31" width="19.85546875" bestFit="1" customWidth="1"/>
    <col min="32" max="32" width="19.85546875" customWidth="1"/>
    <col min="33" max="37" width="19.85546875" bestFit="1" customWidth="1"/>
    <col min="38" max="38" width="17.28515625" bestFit="1" customWidth="1"/>
    <col min="39" max="39" width="24.7109375" bestFit="1" customWidth="1"/>
    <col min="40" max="40" width="18.7109375" bestFit="1" customWidth="1"/>
  </cols>
  <sheetData>
    <row r="1" spans="1:27" ht="15.75" x14ac:dyDescent="0.25">
      <c r="A1" s="522" t="s">
        <v>533</v>
      </c>
      <c r="B1" s="522"/>
      <c r="C1" s="522"/>
    </row>
    <row r="2" spans="1:27" ht="15.75" x14ac:dyDescent="0.25">
      <c r="A2" s="507" t="s">
        <v>511</v>
      </c>
      <c r="B2" s="449"/>
      <c r="C2" s="449"/>
    </row>
    <row r="3" spans="1:27" x14ac:dyDescent="0.25">
      <c r="A3" s="25"/>
      <c r="B3" s="25"/>
      <c r="C3" s="25"/>
      <c r="D3" s="25"/>
      <c r="E3" s="25"/>
      <c r="F3" s="25"/>
      <c r="G3" s="25"/>
      <c r="H3" s="25"/>
      <c r="I3" s="25"/>
      <c r="Z3" s="25"/>
      <c r="AA3" s="25"/>
    </row>
    <row r="4" spans="1:27" ht="15.75" customHeight="1" x14ac:dyDescent="0.25">
      <c r="A4" s="531" t="s">
        <v>593</v>
      </c>
      <c r="B4" s="531"/>
      <c r="C4" s="531"/>
      <c r="D4" s="531"/>
      <c r="E4" s="531"/>
      <c r="F4" s="531"/>
      <c r="G4" s="531"/>
      <c r="H4" s="531"/>
      <c r="I4" s="531"/>
      <c r="Z4" s="531"/>
      <c r="AA4" s="531"/>
    </row>
    <row r="5" spans="1:27" ht="15.75" x14ac:dyDescent="0.25">
      <c r="A5" t="s">
        <v>328</v>
      </c>
      <c r="B5" t="s">
        <v>701</v>
      </c>
      <c r="C5" s="508"/>
      <c r="D5" s="508"/>
      <c r="E5" s="508"/>
      <c r="F5" s="508"/>
      <c r="G5" s="508"/>
      <c r="H5" s="508"/>
      <c r="I5" s="508"/>
      <c r="Z5" s="508"/>
      <c r="AA5" s="508"/>
    </row>
    <row r="6" spans="1:27" ht="15.75" x14ac:dyDescent="0.25">
      <c r="A6" t="s">
        <v>329</v>
      </c>
      <c r="B6" t="s">
        <v>331</v>
      </c>
      <c r="C6" s="508"/>
      <c r="D6" s="508"/>
      <c r="E6" s="508"/>
      <c r="F6" s="508"/>
      <c r="G6" s="508"/>
      <c r="H6" s="508"/>
      <c r="I6" s="508"/>
      <c r="Z6" s="508"/>
      <c r="AA6" s="508"/>
    </row>
    <row r="7" spans="1:27" ht="15.75" x14ac:dyDescent="0.25">
      <c r="A7" t="s">
        <v>330</v>
      </c>
      <c r="B7" t="s">
        <v>534</v>
      </c>
      <c r="C7" s="508"/>
      <c r="D7" s="508"/>
      <c r="E7" s="508"/>
      <c r="F7" s="508"/>
      <c r="G7" s="508"/>
      <c r="H7" s="508"/>
      <c r="I7" s="508"/>
      <c r="Z7" s="508"/>
      <c r="AA7" s="508"/>
    </row>
    <row r="8" spans="1:27" ht="15.75" x14ac:dyDescent="0.25">
      <c r="C8" s="508"/>
      <c r="D8" s="508"/>
      <c r="E8" s="508"/>
      <c r="F8" s="508"/>
      <c r="G8" s="508"/>
      <c r="H8" s="508"/>
      <c r="I8" s="508"/>
      <c r="Z8" s="508"/>
      <c r="AA8" s="508"/>
    </row>
    <row r="9" spans="1:27" x14ac:dyDescent="0.25">
      <c r="C9" s="532" t="s">
        <v>939</v>
      </c>
    </row>
    <row r="10" spans="1:27" x14ac:dyDescent="0.25">
      <c r="A10" s="549" t="s">
        <v>1</v>
      </c>
      <c r="B10" s="661" t="s">
        <v>351</v>
      </c>
      <c r="C10" s="661" t="s">
        <v>352</v>
      </c>
      <c r="D10" s="661" t="s">
        <v>353</v>
      </c>
      <c r="E10" s="661" t="s">
        <v>354</v>
      </c>
      <c r="F10" s="661" t="s">
        <v>355</v>
      </c>
      <c r="G10" s="661" t="s">
        <v>356</v>
      </c>
      <c r="H10" s="661" t="s">
        <v>357</v>
      </c>
    </row>
    <row r="11" spans="1:27" x14ac:dyDescent="0.25">
      <c r="A11" s="317" t="s">
        <v>192</v>
      </c>
      <c r="B11" s="376">
        <f>GETPIVOTDATA("Sum of Under 5s",ResidentsPivot!$A$1,"Year",A11)</f>
        <v>9522</v>
      </c>
      <c r="C11" s="376">
        <f>GETPIVOTDATA("Sum of 5 to 10",ResidentsPivot!$A$1,"Year",A11)</f>
        <v>8378</v>
      </c>
      <c r="D11" s="376">
        <f>GETPIVOTDATA("Sum of 11 to 16",ResidentsPivot!$A$1,"Year",A11)</f>
        <v>6148</v>
      </c>
      <c r="E11" s="376">
        <f>GETPIVOTDATA("Sum of 17 to 30",ResidentsPivot!$A$1,"Year",A11)</f>
        <v>21422</v>
      </c>
      <c r="F11" s="376">
        <f>GETPIVOTDATA("Sum of 31 to 60",ResidentsPivot!$A$1,"Year",A11)</f>
        <v>45974</v>
      </c>
      <c r="G11" s="376">
        <f>GETPIVOTDATA("Sum of Over 60",ResidentsPivot!$A$1,"Year",A11)</f>
        <v>43449</v>
      </c>
      <c r="H11" s="772">
        <f>GETPIVOTDATA("Sum of All Residents",ResidentsPivot!$A$1,"Year",A11)</f>
        <v>134893</v>
      </c>
    </row>
    <row r="12" spans="1:27" x14ac:dyDescent="0.25">
      <c r="A12" s="317" t="s">
        <v>191</v>
      </c>
      <c r="B12" s="376">
        <f>GETPIVOTDATA("Sum of Under 5s",ResidentsPivot!$A$1,"Year",A12)</f>
        <v>9301</v>
      </c>
      <c r="C12" s="376">
        <f>GETPIVOTDATA("Sum of 5 to 10",ResidentsPivot!$A$1,"Year",A12)</f>
        <v>8100</v>
      </c>
      <c r="D12" s="376">
        <f>GETPIVOTDATA("Sum of 11 to 16",ResidentsPivot!$A$1,"Year",A12)</f>
        <v>5611</v>
      </c>
      <c r="E12" s="376">
        <f>GETPIVOTDATA("Sum of 17 to 30",ResidentsPivot!$A$1,"Year",A12)</f>
        <v>17596</v>
      </c>
      <c r="F12" s="376">
        <f>GETPIVOTDATA("Sum of 31 to 60",ResidentsPivot!$A$1,"Year",A12)</f>
        <v>41757</v>
      </c>
      <c r="G12" s="376">
        <f>GETPIVOTDATA("Sum of Over 60",ResidentsPivot!$A$1,"Year",A12)</f>
        <v>43048</v>
      </c>
      <c r="H12" s="772">
        <f>GETPIVOTDATA("Sum of All Residents",ResidentsPivot!$A$1,"Year",A12)</f>
        <v>125413</v>
      </c>
    </row>
    <row r="13" spans="1:27" x14ac:dyDescent="0.25">
      <c r="A13" s="317" t="s">
        <v>190</v>
      </c>
      <c r="B13" s="376">
        <f>GETPIVOTDATA("Sum of Under 5s",ResidentsPivot!$A$1,"Year",A13)</f>
        <v>9270</v>
      </c>
      <c r="C13" s="376">
        <f>GETPIVOTDATA("Sum of 5 to 10",ResidentsPivot!$A$1,"Year",A13)</f>
        <v>8385</v>
      </c>
      <c r="D13" s="376">
        <f>GETPIVOTDATA("Sum of 11 to 16",ResidentsPivot!$A$1,"Year",A13)</f>
        <v>5779</v>
      </c>
      <c r="E13" s="376">
        <f>GETPIVOTDATA("Sum of 17 to 30",ResidentsPivot!$A$1,"Year",A13)</f>
        <v>17567</v>
      </c>
      <c r="F13" s="376">
        <f>GETPIVOTDATA("Sum of 31 to 60",ResidentsPivot!$A$1,"Year",A13)</f>
        <v>43991</v>
      </c>
      <c r="G13" s="376">
        <f>GETPIVOTDATA("Sum of Over 60",ResidentsPivot!$A$1,"Year",A13)</f>
        <v>49733</v>
      </c>
      <c r="H13" s="772">
        <f>GETPIVOTDATA("Sum of All Residents",ResidentsPivot!$A$1,"Year",A13)</f>
        <v>134725</v>
      </c>
    </row>
    <row r="14" spans="1:27" x14ac:dyDescent="0.25">
      <c r="A14" s="317" t="s">
        <v>257</v>
      </c>
      <c r="B14" s="376">
        <f>GETPIVOTDATA("Sum of Under 5s",ResidentsPivot!$A$1,"Year",A14)</f>
        <v>7684</v>
      </c>
      <c r="C14" s="376">
        <f>GETPIVOTDATA("Sum of 5 to 10",ResidentsPivot!$A$1,"Year",A14)</f>
        <v>7945</v>
      </c>
      <c r="D14" s="376">
        <f>GETPIVOTDATA("Sum of 11 to 16",ResidentsPivot!$A$1,"Year",A14)</f>
        <v>5617</v>
      </c>
      <c r="E14" s="376">
        <f>GETPIVOTDATA("Sum of 17 to 30",ResidentsPivot!$A$1,"Year",A14)</f>
        <v>13019</v>
      </c>
      <c r="F14" s="376">
        <f>GETPIVOTDATA("Sum of 31 to 60",ResidentsPivot!$A$1,"Year",A14)</f>
        <v>42665</v>
      </c>
      <c r="G14" s="376">
        <f>GETPIVOTDATA("Sum of Over 60",ResidentsPivot!$A$1,"Year",A14)</f>
        <v>52260</v>
      </c>
      <c r="H14" s="772">
        <f>GETPIVOTDATA("Sum of All Residents",ResidentsPivot!$A$1,"Year",A14)</f>
        <v>129190</v>
      </c>
    </row>
    <row r="15" spans="1:27" x14ac:dyDescent="0.25">
      <c r="A15" s="317" t="s">
        <v>240</v>
      </c>
      <c r="B15" s="376">
        <f>GETPIVOTDATA("Sum of Under 5s",ResidentsPivot!$A$1,"Year",A15)</f>
        <v>7694</v>
      </c>
      <c r="C15" s="376">
        <f>GETPIVOTDATA("Sum of 5 to 10",ResidentsPivot!$A$1,"Year",A15)</f>
        <v>7954</v>
      </c>
      <c r="D15" s="376">
        <f>GETPIVOTDATA("Sum of 11 to 16",ResidentsPivot!$A$1,"Year",A15)</f>
        <v>5364</v>
      </c>
      <c r="E15" s="376">
        <f>GETPIVOTDATA("Sum of 17 to 30",ResidentsPivot!$A$1,"Year",A15)</f>
        <v>13881</v>
      </c>
      <c r="F15" s="376">
        <f>GETPIVOTDATA("Sum of 31 to 60",ResidentsPivot!$A$1,"Year",A15)</f>
        <v>42205</v>
      </c>
      <c r="G15" s="376">
        <f>GETPIVOTDATA("Sum of Over 60",ResidentsPivot!$A$1,"Year",A15)</f>
        <v>50848</v>
      </c>
      <c r="H15" s="772">
        <f>GETPIVOTDATA("Sum of All Residents",ResidentsPivot!$A$1,"Year",A15)</f>
        <v>127946</v>
      </c>
    </row>
    <row r="16" spans="1:27" x14ac:dyDescent="0.25">
      <c r="A16" s="317" t="s">
        <v>239</v>
      </c>
      <c r="B16" s="376">
        <f>GETPIVOTDATA("Sum of Under 5s",ResidentsPivot!$A$1,"Year",A16)</f>
        <v>7266</v>
      </c>
      <c r="C16" s="376">
        <f>GETPIVOTDATA("Sum of 5 to 10",ResidentsPivot!$A$1,"Year",A16)</f>
        <v>7987</v>
      </c>
      <c r="D16" s="376">
        <f>GETPIVOTDATA("Sum of 11 to 16",ResidentsPivot!$A$1,"Year",A16)</f>
        <v>5517</v>
      </c>
      <c r="E16" s="376">
        <f>GETPIVOTDATA("Sum of 17 to 30",ResidentsPivot!$A$1,"Year",A16)</f>
        <v>13947</v>
      </c>
      <c r="F16" s="376">
        <f>GETPIVOTDATA("Sum of 31 to 60",ResidentsPivot!$A$1,"Year",A16)</f>
        <v>41141</v>
      </c>
      <c r="G16" s="376">
        <f>GETPIVOTDATA("Sum of Over 60",ResidentsPivot!$A$1,"Year",A16)</f>
        <v>48727</v>
      </c>
      <c r="H16" s="772">
        <f>GETPIVOTDATA("Sum of All Residents",ResidentsPivot!$A$1,"Year",A16)</f>
        <v>124585</v>
      </c>
    </row>
    <row r="17" spans="1:27" x14ac:dyDescent="0.25">
      <c r="A17" s="317" t="s">
        <v>760</v>
      </c>
      <c r="B17" s="376">
        <f>GETPIVOTDATA("Sum of Under 5s",ResidentsPivot!$A$1,"Year",A17)</f>
        <v>7040</v>
      </c>
      <c r="C17" s="376">
        <f>GETPIVOTDATA("Sum of 5 to 10",ResidentsPivot!$A$1,"Year",A17)</f>
        <v>7889</v>
      </c>
      <c r="D17" s="376">
        <f>GETPIVOTDATA("Sum of 11 to 16",ResidentsPivot!$A$1,"Year",A17)</f>
        <v>5512</v>
      </c>
      <c r="E17" s="376">
        <f>GETPIVOTDATA("Sum of 17 to 30",ResidentsPivot!$A$1,"Year",A17)</f>
        <v>13665</v>
      </c>
      <c r="F17" s="376">
        <f>GETPIVOTDATA("Sum of 31 to 60",ResidentsPivot!$A$1,"Year",A17)</f>
        <v>40173</v>
      </c>
      <c r="G17" s="376">
        <f>GETPIVOTDATA("Sum of Over 60",ResidentsPivot!$A$1,"Year",A17)</f>
        <v>48769</v>
      </c>
      <c r="H17" s="772">
        <f>GETPIVOTDATA("Sum of All Residents",ResidentsPivot!$A$1,"Year",A17)</f>
        <v>123048</v>
      </c>
    </row>
    <row r="18" spans="1:27" x14ac:dyDescent="0.25">
      <c r="A18" s="317" t="s">
        <v>917</v>
      </c>
      <c r="B18" s="376">
        <f>GETPIVOTDATA("Sum of Under 5s",ResidentsPivot!$A$1,"Year",A18)</f>
        <v>1270</v>
      </c>
      <c r="C18" s="376">
        <f>GETPIVOTDATA("Sum of 5 to 10",ResidentsPivot!$A$1,"Year",A18)</f>
        <v>1639</v>
      </c>
      <c r="D18" s="376">
        <f>GETPIVOTDATA("Sum of 11 to 16",ResidentsPivot!$A$1,"Year",A18)</f>
        <v>1291</v>
      </c>
      <c r="E18" s="376">
        <f>GETPIVOTDATA("Sum of 17 to 30",ResidentsPivot!$A$1,"Year",A18)</f>
        <v>2992</v>
      </c>
      <c r="F18" s="376">
        <f>GETPIVOTDATA("Sum of 31 to 60",ResidentsPivot!$A$1,"Year",A18)</f>
        <v>9416</v>
      </c>
      <c r="G18" s="376">
        <f>GETPIVOTDATA("Sum of Over 60",ResidentsPivot!$A$1,"Year",A18)</f>
        <v>16017</v>
      </c>
      <c r="H18" s="772">
        <f>GETPIVOTDATA("Sum of All Residents",ResidentsPivot!$A$1,"Year",A18)</f>
        <v>32625</v>
      </c>
    </row>
    <row r="19" spans="1:27" x14ac:dyDescent="0.25">
      <c r="A19" s="317" t="s">
        <v>1010</v>
      </c>
      <c r="B19" s="376">
        <f>GETPIVOTDATA("Sum of Under 5s",ResidentsPivot!$A$1,"Year",A19)</f>
        <v>2198</v>
      </c>
      <c r="C19" s="376">
        <f>GETPIVOTDATA("Sum of 5 to 10",ResidentsPivot!$A$1,"Year",A19)</f>
        <v>2826</v>
      </c>
      <c r="D19" s="376">
        <f>GETPIVOTDATA("Sum of 11 to 16",ResidentsPivot!$A$1,"Year",A19)</f>
        <v>2403</v>
      </c>
      <c r="E19" s="376">
        <f>GETPIVOTDATA("Sum of 17 to 30",ResidentsPivot!$A$1,"Year",A19)</f>
        <v>5628</v>
      </c>
      <c r="F19" s="376">
        <f>GETPIVOTDATA("Sum of 31 to 60",ResidentsPivot!$A$1,"Year",A19)</f>
        <v>18596</v>
      </c>
      <c r="G19" s="376">
        <f>GETPIVOTDATA("Sum of Over 60",ResidentsPivot!$A$1,"Year",A19)</f>
        <v>39107</v>
      </c>
      <c r="H19" s="772">
        <f>GETPIVOTDATA("Sum of All Residents",ResidentsPivot!$A$1,"Year",A19)</f>
        <v>70758</v>
      </c>
    </row>
    <row r="20" spans="1:27" x14ac:dyDescent="0.25">
      <c r="A20" s="317" t="s">
        <v>1061</v>
      </c>
      <c r="B20" s="376">
        <f>GETPIVOTDATA("Sum of Under 5s",ResidentsPivot!$A$1,"Year",A20)</f>
        <v>2300</v>
      </c>
      <c r="C20" s="376">
        <f>GETPIVOTDATA("Sum of 5 to 10",ResidentsPivot!$A$1,"Year",A20)</f>
        <v>3133</v>
      </c>
      <c r="D20" s="376">
        <f>GETPIVOTDATA("Sum of 11 to 16",ResidentsPivot!$A$1,"Year",A20)</f>
        <v>2463</v>
      </c>
      <c r="E20" s="376">
        <f>GETPIVOTDATA("Sum of 17 to 30",ResidentsPivot!$A$1,"Year",A20)</f>
        <v>5787</v>
      </c>
      <c r="F20" s="376">
        <f>GETPIVOTDATA("Sum of 31 to 60",ResidentsPivot!$A$1,"Year",A20)</f>
        <v>18149</v>
      </c>
      <c r="G20" s="376">
        <f>GETPIVOTDATA("Sum of Over 60",ResidentsPivot!$A$1,"Year",A20)</f>
        <v>30792</v>
      </c>
      <c r="H20" s="772">
        <f>GETPIVOTDATA("Sum of All Residents",ResidentsPivot!$A$1,"Year",A20)</f>
        <v>62624</v>
      </c>
    </row>
    <row r="21" spans="1:27" ht="15.75" thickBot="1" x14ac:dyDescent="0.3">
      <c r="A21" s="533" t="s">
        <v>1108</v>
      </c>
      <c r="B21" s="778">
        <f>GETPIVOTDATA("Sum of Under 5s",ResidentsPivot!$A$1,"Year",A21)</f>
        <v>2410</v>
      </c>
      <c r="C21" s="778">
        <f>GETPIVOTDATA("Sum of 5 to 10",ResidentsPivot!$A$1,"Year",A21)</f>
        <v>3147</v>
      </c>
      <c r="D21" s="778">
        <f>GETPIVOTDATA("Sum of 11 to 16",ResidentsPivot!$A$1,"Year",A21)</f>
        <v>2485</v>
      </c>
      <c r="E21" s="778">
        <f>GETPIVOTDATA("Sum of 17 to 30",ResidentsPivot!$A$1,"Year",A21)</f>
        <v>6086</v>
      </c>
      <c r="F21" s="778">
        <f>GETPIVOTDATA("Sum of 31 to 60",ResidentsPivot!$A$1,"Year",A21)</f>
        <v>18425</v>
      </c>
      <c r="G21" s="778">
        <f>GETPIVOTDATA("Sum of Over 60",ResidentsPivot!$A$1,"Year",A21)</f>
        <v>28177</v>
      </c>
      <c r="H21" s="928">
        <f>GETPIVOTDATA("Sum of All Residents",ResidentsPivot!$A$1,"Year",A21)</f>
        <v>60730</v>
      </c>
      <c r="Q21" s="176"/>
      <c r="R21" s="176"/>
      <c r="S21" s="176"/>
      <c r="T21" s="176"/>
      <c r="U21" s="176"/>
      <c r="V21" s="176"/>
      <c r="W21" s="176"/>
      <c r="X21" s="176"/>
      <c r="Y21" s="176"/>
    </row>
    <row r="22" spans="1:27" x14ac:dyDescent="0.25">
      <c r="A22" s="317"/>
      <c r="Q22" s="176"/>
      <c r="R22" s="176"/>
      <c r="S22" s="176"/>
      <c r="T22" s="176"/>
      <c r="U22" s="176"/>
      <c r="V22" s="176"/>
      <c r="W22" s="176"/>
      <c r="X22" s="176"/>
      <c r="Y22" s="176"/>
    </row>
    <row r="23" spans="1:27" x14ac:dyDescent="0.25">
      <c r="A23" s="176" t="s">
        <v>8</v>
      </c>
      <c r="B23" s="176"/>
      <c r="C23" s="176"/>
      <c r="D23" s="176"/>
      <c r="E23" s="176"/>
      <c r="F23" s="176"/>
      <c r="G23" s="176"/>
      <c r="H23" s="176"/>
      <c r="Q23" s="992"/>
      <c r="R23" s="992"/>
      <c r="S23" s="992"/>
      <c r="T23" s="992"/>
      <c r="U23" s="992"/>
      <c r="V23" s="992"/>
      <c r="W23" s="992"/>
      <c r="X23" s="992"/>
    </row>
    <row r="24" spans="1:27" ht="45.6" customHeight="1" x14ac:dyDescent="0.25">
      <c r="A24" s="992" t="s">
        <v>743</v>
      </c>
      <c r="B24" s="992"/>
      <c r="C24" s="992"/>
      <c r="D24" s="992"/>
      <c r="E24" s="992"/>
      <c r="F24" s="992"/>
      <c r="G24" s="992"/>
      <c r="H24" s="992"/>
      <c r="X24" s="378"/>
    </row>
    <row r="25" spans="1:27" ht="15.75" x14ac:dyDescent="0.25">
      <c r="I25" s="531"/>
      <c r="Q25" s="531"/>
      <c r="R25" s="531"/>
      <c r="S25" s="531"/>
      <c r="T25" s="531"/>
      <c r="U25" s="531"/>
      <c r="V25" s="531"/>
      <c r="W25" s="531"/>
      <c r="X25" s="531"/>
      <c r="Y25" s="531"/>
      <c r="Z25" s="531"/>
      <c r="AA25" s="531"/>
    </row>
    <row r="26" spans="1:27" ht="15.75" x14ac:dyDescent="0.25">
      <c r="A26" s="531" t="s">
        <v>592</v>
      </c>
      <c r="B26" s="531"/>
      <c r="C26" s="531"/>
      <c r="D26" s="531"/>
      <c r="E26" s="531"/>
      <c r="F26" s="531"/>
      <c r="G26" s="531"/>
      <c r="H26" s="531"/>
      <c r="I26" s="508"/>
      <c r="S26" s="508"/>
      <c r="T26" s="508"/>
      <c r="U26" s="508"/>
      <c r="V26" s="508"/>
      <c r="W26" s="508"/>
      <c r="X26" s="508"/>
      <c r="Y26" s="508"/>
      <c r="Z26" s="508"/>
      <c r="AA26" s="508"/>
    </row>
    <row r="27" spans="1:27" ht="15.75" x14ac:dyDescent="0.25">
      <c r="A27" t="s">
        <v>328</v>
      </c>
      <c r="B27" t="s">
        <v>702</v>
      </c>
      <c r="C27" s="508"/>
      <c r="D27" s="508"/>
      <c r="E27" s="508"/>
      <c r="F27" s="508"/>
      <c r="G27" s="508"/>
      <c r="H27" s="508"/>
      <c r="I27" s="508"/>
      <c r="S27" s="508"/>
      <c r="T27" s="508"/>
      <c r="U27" s="508"/>
      <c r="V27" s="508"/>
      <c r="W27" s="508"/>
      <c r="X27" s="508"/>
      <c r="Y27" s="508"/>
      <c r="Z27" s="508"/>
      <c r="AA27" s="508"/>
    </row>
    <row r="28" spans="1:27" ht="15.75" x14ac:dyDescent="0.25">
      <c r="A28" t="s">
        <v>329</v>
      </c>
      <c r="B28" t="s">
        <v>331</v>
      </c>
      <c r="C28" s="508"/>
      <c r="D28" s="508"/>
      <c r="E28" s="508"/>
      <c r="F28" s="508"/>
      <c r="G28" s="508"/>
      <c r="H28" s="508"/>
      <c r="I28" s="508"/>
      <c r="S28" s="508"/>
      <c r="T28" s="508"/>
      <c r="U28" s="508"/>
      <c r="V28" s="508"/>
      <c r="W28" s="508"/>
      <c r="X28" s="508"/>
      <c r="Y28" s="508"/>
      <c r="Z28" s="508"/>
      <c r="AA28" s="508"/>
    </row>
    <row r="29" spans="1:27" ht="15.75" x14ac:dyDescent="0.25">
      <c r="A29" t="s">
        <v>330</v>
      </c>
      <c r="B29" t="s">
        <v>534</v>
      </c>
      <c r="C29" s="508"/>
      <c r="D29" s="508"/>
      <c r="E29" s="508"/>
      <c r="F29" s="508"/>
      <c r="G29" s="508"/>
      <c r="H29" s="508"/>
      <c r="S29" s="508"/>
      <c r="T29" s="508"/>
      <c r="U29" s="508"/>
      <c r="V29" s="508"/>
      <c r="W29" s="508"/>
      <c r="X29" s="508"/>
      <c r="Y29" s="508"/>
      <c r="Z29" s="508"/>
      <c r="AA29" s="508"/>
    </row>
    <row r="30" spans="1:27" ht="15.75" x14ac:dyDescent="0.25">
      <c r="B30" s="532"/>
      <c r="C30" s="532" t="s">
        <v>542</v>
      </c>
      <c r="D30" s="508"/>
      <c r="E30" s="508"/>
      <c r="F30" s="508"/>
      <c r="G30" s="508"/>
      <c r="Y30" s="508"/>
      <c r="Z30" s="508"/>
      <c r="AA30" s="508"/>
    </row>
    <row r="31" spans="1:27" x14ac:dyDescent="0.25">
      <c r="A31" s="549" t="s">
        <v>1</v>
      </c>
      <c r="B31" s="661" t="s">
        <v>351</v>
      </c>
      <c r="C31" s="661" t="s">
        <v>352</v>
      </c>
      <c r="D31" s="661" t="s">
        <v>353</v>
      </c>
      <c r="E31" s="661" t="s">
        <v>354</v>
      </c>
      <c r="F31" s="661" t="s">
        <v>355</v>
      </c>
      <c r="G31" s="661" t="s">
        <v>356</v>
      </c>
      <c r="H31" s="661" t="s">
        <v>357</v>
      </c>
    </row>
    <row r="32" spans="1:27" x14ac:dyDescent="0.25">
      <c r="A32" s="317" t="s">
        <v>192</v>
      </c>
      <c r="B32" s="774">
        <f>GETPIVOTDATA("Sum of Under 5s",ResidentsPercentPivot!$B$4,"Year",$A32)</f>
        <v>3.2383018810173998</v>
      </c>
      <c r="C32" s="774">
        <f>GETPIVOTDATA("Sum of 5 to 10",ResidentsPercentPivot!$B$4,"Year",$A32)</f>
        <v>2.4963871217651699</v>
      </c>
      <c r="D32" s="774">
        <f>GETPIVOTDATA("Sum of 11 to 16",ResidentsPercentPivot!$B$4,"Year",$A32)</f>
        <v>1.7888109120957101</v>
      </c>
      <c r="E32" s="774">
        <f>GETPIVOTDATA("Sum of 17 to 30",ResidentsPercentPivot!$B$4,"Year",$A32)</f>
        <v>2.17919399729813</v>
      </c>
      <c r="F32" s="774">
        <f>GETPIVOTDATA("Sum of 31 to 60",ResidentsPercentPivot!$B$4,"Year",$A32)</f>
        <v>2.1170750711117798</v>
      </c>
      <c r="G32" s="774">
        <f>GETPIVOTDATA("Sum of Over 60",ResidentsPercentPivot!$B$4,"Year",$A32)</f>
        <v>3.6214893874166001</v>
      </c>
      <c r="H32" s="775">
        <f>GETPIVOTDATA("Sum of All Residents",ResidentsPercentPivot!$B$4,"Year",A32)</f>
        <v>2.53191808848096</v>
      </c>
    </row>
    <row r="33" spans="1:8" x14ac:dyDescent="0.25">
      <c r="A33" s="317" t="s">
        <v>191</v>
      </c>
      <c r="B33" s="774">
        <f>GETPIVOTDATA("Sum of Under 5s",ResidentsPercentPivot!$B$4,"Year",$A33)</f>
        <v>3.1868346484751102</v>
      </c>
      <c r="C33" s="774">
        <f>GETPIVOTDATA("Sum of 5 to 10",ResidentsPercentPivot!$B$4,"Year",$A33)</f>
        <v>2.3587378131879699</v>
      </c>
      <c r="D33" s="774">
        <f>GETPIVOTDATA("Sum of 11 to 16",ResidentsPercentPivot!$B$4,"Year",$A33)</f>
        <v>1.6718611261747101</v>
      </c>
      <c r="E33" s="774">
        <f>GETPIVOTDATA("Sum of 17 to 30",ResidentsPercentPivot!$B$4,"Year",$A33)</f>
        <v>1.78860036633983</v>
      </c>
      <c r="F33" s="774">
        <f>GETPIVOTDATA("Sum of 31 to 60",ResidentsPercentPivot!$B$4,"Year",$A33)</f>
        <v>1.9208273399</v>
      </c>
      <c r="G33" s="774">
        <f>GETPIVOTDATA("Sum of Over 60",ResidentsPercentPivot!$B$4,"Year",$A33)</f>
        <v>3.5313264951207199</v>
      </c>
      <c r="H33" s="775">
        <f>GETPIVOTDATA("Sum of All Residents",ResidentsPercentPivot!$B$4,"Year",A33)</f>
        <v>2.3452202857356599</v>
      </c>
    </row>
    <row r="34" spans="1:8" x14ac:dyDescent="0.25">
      <c r="A34" s="317" t="s">
        <v>190</v>
      </c>
      <c r="B34" s="774">
        <f>GETPIVOTDATA("Sum of Under 5s",ResidentsPercentPivot!$B$4,"Year",$A34)</f>
        <v>3.1836633765377398</v>
      </c>
      <c r="C34" s="774">
        <f>GETPIVOTDATA("Sum of 5 to 10",ResidentsPercentPivot!$B$4,"Year",$A34)</f>
        <v>2.4072968224256099</v>
      </c>
      <c r="D34" s="774">
        <f>GETPIVOTDATA("Sum of 11 to 16",ResidentsPercentPivot!$B$4,"Year",$A34)</f>
        <v>1.7431198195046</v>
      </c>
      <c r="E34" s="774">
        <f>GETPIVOTDATA("Sum of 17 to 30",ResidentsPercentPivot!$B$4,"Year",$A34)</f>
        <v>1.77315129774044</v>
      </c>
      <c r="F34" s="774">
        <f>GETPIVOTDATA("Sum of 31 to 60",ResidentsPercentPivot!$B$4,"Year",$A34)</f>
        <v>2.02073514685482</v>
      </c>
      <c r="G34" s="774">
        <f>GETPIVOTDATA("Sum of Over 60",ResidentsPercentPivot!$B$4,"Year",$A34)</f>
        <v>4.0293256937670296</v>
      </c>
      <c r="H34" s="775">
        <f>GETPIVOTDATA("Sum of All Residents",ResidentsPercentPivot!$B$4,"Year",A34)</f>
        <v>2.5074446305602098</v>
      </c>
    </row>
    <row r="35" spans="1:8" x14ac:dyDescent="0.25">
      <c r="A35" s="317" t="s">
        <v>257</v>
      </c>
      <c r="B35" s="774">
        <f>GETPIVOTDATA("Sum of Under 5s",ResidentsPercentPivot!$B$4,"Year",$A35)</f>
        <v>2.6751335129753002</v>
      </c>
      <c r="C35" s="774">
        <f>GETPIVOTDATA("Sum of 5 to 10",ResidentsPercentPivot!$B$4,"Year",$A35)</f>
        <v>2.23490559668745</v>
      </c>
      <c r="D35" s="774">
        <f>GETPIVOTDATA("Sum of 11 to 16",ResidentsPercentPivot!$B$4,"Year",$A35)</f>
        <v>1.7018839798088801</v>
      </c>
      <c r="E35" s="774">
        <f>GETPIVOTDATA("Sum of 17 to 30",ResidentsPercentPivot!$B$4,"Year",$A35)</f>
        <v>1.3071088286823001</v>
      </c>
      <c r="F35" s="774">
        <f>GETPIVOTDATA("Sum of 31 to 60",ResidentsPercentPivot!$B$4,"Year",$A35)</f>
        <v>1.9537466004626001</v>
      </c>
      <c r="G35" s="774">
        <f>GETPIVOTDATA("Sum of Over 60",ResidentsPercentPivot!$B$4,"Year",$A35)</f>
        <v>4.1736147049239998</v>
      </c>
      <c r="H35" s="775">
        <f>GETPIVOTDATA("Sum of All Residents",ResidentsPercentPivot!$B$4,"Year",A35)</f>
        <v>2.3903269376653702</v>
      </c>
    </row>
    <row r="36" spans="1:8" x14ac:dyDescent="0.25">
      <c r="A36" s="317" t="s">
        <v>240</v>
      </c>
      <c r="B36" s="774">
        <f>GETPIVOTDATA("Sum of Under 5s",ResidentsPercentPivot!$B$4,"Year",$A36)</f>
        <v>2.7273436226099399</v>
      </c>
      <c r="C36" s="774">
        <f>GETPIVOTDATA("Sum of 5 to 10",ResidentsPercentPivot!$B$4,"Year",$A36)</f>
        <v>2.2093953467700702</v>
      </c>
      <c r="D36" s="774">
        <f>GETPIVOTDATA("Sum of 11 to 16",ResidentsPercentPivot!$B$4,"Year",$A36)</f>
        <v>1.6209257770713299</v>
      </c>
      <c r="E36" s="774">
        <f>GETPIVOTDATA("Sum of 17 to 30",ResidentsPercentPivot!$B$4,"Year",$A36)</f>
        <v>1.39846824355774</v>
      </c>
      <c r="F36" s="774">
        <f>GETPIVOTDATA("Sum of 31 to 60",ResidentsPercentPivot!$B$4,"Year",$A36)</f>
        <v>1.92917123571634</v>
      </c>
      <c r="G36" s="774">
        <f>GETPIVOTDATA("Sum of Over 60",ResidentsPercentPivot!$B$4,"Year",$A36)</f>
        <v>3.99921035100841</v>
      </c>
      <c r="H36" s="775">
        <f>GETPIVOTDATA("Sum of All Residents",ResidentsPercentPivot!$B$4,"Year",A36)</f>
        <v>2.35853856363368</v>
      </c>
    </row>
    <row r="37" spans="1:8" x14ac:dyDescent="0.25">
      <c r="A37" s="317" t="s">
        <v>239</v>
      </c>
      <c r="B37" s="774">
        <f>GETPIVOTDATA("Sum of Under 5s",ResidentsPercentPivot!$B$4,"Year",$A37)</f>
        <v>2.6244121620157301</v>
      </c>
      <c r="C37" s="774">
        <f>GETPIVOTDATA("Sum of 5 to 10",ResidentsPercentPivot!$B$4,"Year",$A37)</f>
        <v>2.2083850613962599</v>
      </c>
      <c r="D37" s="774">
        <f>GETPIVOTDATA("Sum of 11 to 16",ResidentsPercentPivot!$B$4,"Year",$A37)</f>
        <v>1.6496084534584401</v>
      </c>
      <c r="E37" s="774">
        <f>GETPIVOTDATA("Sum of 17 to 30",ResidentsPercentPivot!$B$4,"Year",$A37)</f>
        <v>1.4152106479203099</v>
      </c>
      <c r="F37" s="774">
        <f>GETPIVOTDATA("Sum of 31 to 60",ResidentsPercentPivot!$B$4,"Year",$A37)</f>
        <v>1.87941605212535</v>
      </c>
      <c r="G37" s="774">
        <f>GETPIVOTDATA("Sum of Over 60",ResidentsPercentPivot!$B$4,"Year",$A37)</f>
        <v>3.77556001518685</v>
      </c>
      <c r="H37" s="775">
        <f>GETPIVOTDATA("Sum of All Residents",ResidentsPercentPivot!$B$4,"Year",A37)</f>
        <v>2.2909655946010599</v>
      </c>
    </row>
    <row r="38" spans="1:8" x14ac:dyDescent="0.25">
      <c r="A38" s="317" t="s">
        <v>760</v>
      </c>
      <c r="B38" s="774">
        <f>GETPIVOTDATA("Sum of Under 5s",ResidentsPercentPivot!$B$4,"Year",$A38)</f>
        <v>2.5909500763667817</v>
      </c>
      <c r="C38" s="774">
        <f>GETPIVOTDATA("Sum of 5 to 10",ResidentsPercentPivot!$B$4,"Year",$A38)</f>
        <v>2.1887441563666123</v>
      </c>
      <c r="D38" s="774">
        <f>GETPIVOTDATA("Sum of 11 to 16",ResidentsPercentPivot!$B$4,"Year",$A38)</f>
        <v>1.6055974529491785</v>
      </c>
      <c r="E38" s="774">
        <f>GETPIVOTDATA("Sum of 17 to 30",ResidentsPercentPivot!$B$4,"Year",$A38)</f>
        <v>1.3978495723593021</v>
      </c>
      <c r="F38" s="774">
        <f>GETPIVOTDATA("Sum of 31 to 60",ResidentsPercentPivot!$B$4,"Year",$A38)</f>
        <v>1.8302517057382788</v>
      </c>
      <c r="G38" s="774">
        <f>GETPIVOTDATA("Sum of Over 60",ResidentsPercentPivot!$B$4,"Year",$A38)</f>
        <v>3.7077274669399558</v>
      </c>
      <c r="H38" s="775">
        <f>GETPIVOTDATA("Sum of All Residents",ResidentsPercentPivot!$B$4,"Year",A38)</f>
        <v>2.2522651144912418</v>
      </c>
    </row>
    <row r="39" spans="1:8" x14ac:dyDescent="0.25">
      <c r="A39" s="317" t="s">
        <v>917</v>
      </c>
      <c r="B39" s="774">
        <f>GETPIVOTDATA("Sum of Under 5s",ResidentsPercentPivot!$B$4,"Year",$A39)</f>
        <v>0.48141437268295645</v>
      </c>
      <c r="C39" s="774">
        <f>GETPIVOTDATA("Sum of 5 to 10",ResidentsPercentPivot!$B$4,"Year",$A39)</f>
        <v>0.45840896568505429</v>
      </c>
      <c r="D39" s="774">
        <f>GETPIVOTDATA("Sum of 11 to 16",ResidentsPercentPivot!$B$4,"Year",$A39)</f>
        <v>0.36746497554977431</v>
      </c>
      <c r="E39" s="774">
        <f>GETPIVOTDATA("Sum of 17 to 30",ResidentsPercentPivot!$B$4,"Year",$A39)</f>
        <v>0.31022444614256844</v>
      </c>
      <c r="F39" s="774">
        <f>GETPIVOTDATA("Sum of 31 to 60",ResidentsPercentPivot!$B$4,"Year",$A39)</f>
        <v>0.42915501219418262</v>
      </c>
      <c r="G39" s="774">
        <f>GETPIVOTDATA("Sum of Over 60",ResidentsPercentPivot!$B$4,"Year",$A39)</f>
        <v>1.1999685342583262</v>
      </c>
      <c r="H39" s="775">
        <f>GETPIVOTDATA("Sum of All Residents",ResidentsPercentPivot!$B$4,"Year",A39)</f>
        <v>0.59687156970362243</v>
      </c>
    </row>
    <row r="40" spans="1:8" x14ac:dyDescent="0.25">
      <c r="A40" s="317" t="s">
        <v>1010</v>
      </c>
      <c r="B40" s="774">
        <f>GETPIVOTDATA("Sum of Under 5s",ResidentsPercentPivot!$B$4,"Year",$A40)</f>
        <v>0.86048614726918959</v>
      </c>
      <c r="C40" s="774">
        <f>GETPIVOTDATA("Sum of 5 to 10",ResidentsPercentPivot!$B$4,"Year",$A40)</f>
        <v>0.79249568838598416</v>
      </c>
      <c r="D40" s="774">
        <f>GETPIVOTDATA("Sum of 11 to 16",ResidentsPercentPivot!$B$4,"Year",$A40)</f>
        <v>0.67354317907895844</v>
      </c>
      <c r="E40" s="774">
        <f>GETPIVOTDATA("Sum of 17 to 30",ResidentsPercentPivot!$B$4,"Year",$A40)</f>
        <v>0.59173152968067744</v>
      </c>
      <c r="F40" s="774">
        <f>GETPIVOTDATA("Sum of 31 to 60",ResidentsPercentPivot!$B$4,"Year",$A40)</f>
        <v>0.8446089414273964</v>
      </c>
      <c r="G40" s="774">
        <f>GETPIVOTDATA("Sum of Over 60",ResidentsPercentPivot!$B$4,"Year",$A40)</f>
        <v>2.8791941466373943</v>
      </c>
      <c r="H40" s="775">
        <f>GETPIVOTDATA("Sum of All Residents",ResidentsPercentPivot!$B$4,"Year",A40)</f>
        <v>1.291227942115732</v>
      </c>
    </row>
    <row r="41" spans="1:8" x14ac:dyDescent="0.25">
      <c r="A41" s="317" t="s">
        <v>1061</v>
      </c>
      <c r="B41" s="774">
        <f>GETPIVOTDATA("Sum of Under 5s",ResidentsPercentPivot!$B$4,"Year",$A41)</f>
        <v>0.92840391221335528</v>
      </c>
      <c r="C41" s="774">
        <f>GETPIVOTDATA("Sum of 5 to 10",ResidentsPercentPivot!$B$4,"Year",$A41)</f>
        <v>0.91604169407774516</v>
      </c>
      <c r="D41" s="774">
        <f>GETPIVOTDATA("Sum of 11 to 16",ResidentsPercentPivot!$B$4,"Year",$A41)</f>
        <v>0.68323291501614458</v>
      </c>
      <c r="E41" s="774">
        <f>GETPIVOTDATA("Sum of 17 to 30",ResidentsPercentPivot!$B$4,"Year",$A41)</f>
        <v>0.62138478503866068</v>
      </c>
      <c r="F41" s="774">
        <f>GETPIVOTDATA("Sum of 31 to 60",ResidentsPercentPivot!$B$4,"Year",$A41)</f>
        <v>0.83499267558356105</v>
      </c>
      <c r="G41" s="774">
        <f>GETPIVOTDATA("Sum of Over 60",ResidentsPercentPivot!$B$4,"Year",$A41)</f>
        <v>2.2111206616127999</v>
      </c>
      <c r="H41" s="775">
        <f>GETPIVOTDATA("Sum of All Residents",ResidentsPercentPivot!$B$4,"Year",A41)</f>
        <v>1.1495493511023001</v>
      </c>
    </row>
    <row r="42" spans="1:8" ht="15.75" thickBot="1" x14ac:dyDescent="0.3">
      <c r="A42" s="533" t="s">
        <v>1108</v>
      </c>
      <c r="B42" s="776">
        <f>GETPIVOTDATA("Sum of Under 5s",ResidentsPercentPivot!$B$4,"Year",$A42)</f>
        <v>0.97280583844964619</v>
      </c>
      <c r="C42" s="776">
        <f>GETPIVOTDATA("Sum of 5 to 10",ResidentsPercentPivot!$B$4,"Year",$A42)</f>
        <v>0.92013508179465808</v>
      </c>
      <c r="D42" s="776">
        <f>GETPIVOTDATA("Sum of 11 to 16",ResidentsPercentPivot!$B$4,"Year",$A42)</f>
        <v>0.68933568567402326</v>
      </c>
      <c r="E42" s="776">
        <f>GETPIVOTDATA("Sum of 17 to 30",ResidentsPercentPivot!$B$4,"Year",$A42)</f>
        <v>0.65349020247888179</v>
      </c>
      <c r="F42" s="776">
        <f>GETPIVOTDATA("Sum of 31 to 60",ResidentsPercentPivot!$B$4,"Year",$A42)</f>
        <v>0.8476907844854874</v>
      </c>
      <c r="G42" s="776">
        <f>GETPIVOTDATA("Sum of Over 60",ResidentsPercentPivot!$B$4,"Year",$A42)</f>
        <v>2.0233420005931366</v>
      </c>
      <c r="H42" s="777">
        <f>GETPIVOTDATA("Sum of All Residents",ResidentsPercentPivot!$B$4,"Year",A42)</f>
        <v>1.1147823852267928</v>
      </c>
    </row>
    <row r="43" spans="1:8" x14ac:dyDescent="0.25">
      <c r="A43" s="317"/>
    </row>
    <row r="44" spans="1:8" x14ac:dyDescent="0.25">
      <c r="A44" s="317" t="s">
        <v>8</v>
      </c>
      <c r="H44" s="378"/>
    </row>
    <row r="45" spans="1:8" ht="28.5" customHeight="1" x14ac:dyDescent="0.25">
      <c r="A45" s="992" t="s">
        <v>744</v>
      </c>
      <c r="B45" s="992"/>
      <c r="C45" s="992"/>
      <c r="D45" s="992"/>
      <c r="E45" s="992"/>
      <c r="F45" s="992"/>
      <c r="G45" s="992"/>
      <c r="H45" s="992"/>
    </row>
    <row r="46" spans="1:8" x14ac:dyDescent="0.25">
      <c r="A46" t="s">
        <v>745</v>
      </c>
    </row>
    <row r="47" spans="1:8" x14ac:dyDescent="0.25">
      <c r="A47" s="574" t="s">
        <v>746</v>
      </c>
    </row>
    <row r="48" spans="1:8" x14ac:dyDescent="0.25">
      <c r="A48" t="s">
        <v>1189</v>
      </c>
    </row>
  </sheetData>
  <sheetProtection algorithmName="SHA-512" hashValue="LNLfLKz+PSmDjqHHxocFu5gGZw3w4LCePt7+kBiMVCSfcEfb5ca4JxeuCXsnCn6n/p3Kbqp9C3HWKxhIpickSA==" saltValue="0s2uICfE0ECy6iqqRisP3w==" spinCount="100000" sheet="1" scenarios="1" formatCells="0" sort="0" autoFilter="0" pivotTables="0"/>
  <mergeCells count="3">
    <mergeCell ref="Q23:X23"/>
    <mergeCell ref="A24:H24"/>
    <mergeCell ref="A45:H45"/>
  </mergeCells>
  <hyperlinks>
    <hyperlink ref="A2" location="'Table of Contents'!A1" display="Back to Table of Contents" xr:uid="{00000000-0004-0000-8300-000000000000}"/>
    <hyperlink ref="A47" r:id="rId1" xr:uid="{00000000-0004-0000-8300-000001000000}"/>
  </hyperlinks>
  <pageMargins left="0.7" right="0.7" top="0.75" bottom="0.75" header="0.3" footer="0.3"/>
  <pageSetup paperSize="9" orientation="portrait"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6173C-F4B3-4002-A401-0E8484750E6F}">
  <sheetPr>
    <tabColor theme="7" tint="-0.249977111117893"/>
  </sheetPr>
  <dimension ref="B4:K11"/>
  <sheetViews>
    <sheetView workbookViewId="0">
      <selection activeCell="D10" sqref="D10"/>
    </sheetView>
  </sheetViews>
  <sheetFormatPr defaultRowHeight="15" x14ac:dyDescent="0.25"/>
  <cols>
    <col min="2" max="2" width="18.140625" bestFit="1" customWidth="1"/>
    <col min="3" max="11" width="13.85546875" bestFit="1" customWidth="1"/>
  </cols>
  <sheetData>
    <row r="4" spans="2:11" x14ac:dyDescent="0.25">
      <c r="B4" s="394" t="s">
        <v>231</v>
      </c>
      <c r="C4" t="s">
        <v>430</v>
      </c>
      <c r="D4" t="s">
        <v>327</v>
      </c>
      <c r="E4" t="s">
        <v>320</v>
      </c>
      <c r="F4" t="s">
        <v>431</v>
      </c>
      <c r="G4" t="s">
        <v>763</v>
      </c>
      <c r="H4" t="s">
        <v>1167</v>
      </c>
      <c r="I4" t="s">
        <v>1164</v>
      </c>
      <c r="J4" t="s">
        <v>1165</v>
      </c>
      <c r="K4" t="s">
        <v>1166</v>
      </c>
    </row>
    <row r="5" spans="2:11" x14ac:dyDescent="0.25">
      <c r="B5" s="395" t="s">
        <v>782</v>
      </c>
      <c r="C5">
        <v>8020</v>
      </c>
      <c r="D5">
        <v>7446</v>
      </c>
      <c r="E5">
        <v>7740</v>
      </c>
      <c r="F5">
        <v>9727</v>
      </c>
      <c r="G5">
        <v>10040</v>
      </c>
      <c r="H5">
        <v>2387</v>
      </c>
      <c r="I5">
        <v>4431</v>
      </c>
      <c r="J5">
        <v>5557</v>
      </c>
      <c r="K5">
        <v>5572</v>
      </c>
    </row>
    <row r="6" spans="2:11" x14ac:dyDescent="0.25">
      <c r="B6" s="395" t="s">
        <v>116</v>
      </c>
      <c r="C6">
        <v>15848</v>
      </c>
      <c r="D6">
        <v>15100</v>
      </c>
      <c r="E6">
        <v>14796</v>
      </c>
      <c r="F6">
        <v>15332</v>
      </c>
      <c r="G6">
        <v>15696</v>
      </c>
      <c r="H6">
        <v>4624</v>
      </c>
      <c r="I6">
        <v>7561</v>
      </c>
      <c r="J6">
        <v>8820</v>
      </c>
      <c r="K6">
        <v>8575</v>
      </c>
    </row>
    <row r="7" spans="2:11" x14ac:dyDescent="0.25">
      <c r="B7" s="395" t="s">
        <v>783</v>
      </c>
      <c r="C7">
        <v>101</v>
      </c>
      <c r="D7">
        <v>103</v>
      </c>
      <c r="E7">
        <v>107</v>
      </c>
      <c r="F7">
        <v>622</v>
      </c>
      <c r="G7">
        <v>641</v>
      </c>
      <c r="H7">
        <v>102</v>
      </c>
      <c r="I7">
        <v>322</v>
      </c>
      <c r="J7">
        <v>367</v>
      </c>
      <c r="K7">
        <v>443</v>
      </c>
    </row>
    <row r="8" spans="2:11" x14ac:dyDescent="0.25">
      <c r="B8" s="395" t="s">
        <v>188</v>
      </c>
      <c r="C8">
        <v>5400</v>
      </c>
      <c r="D8">
        <v>4535</v>
      </c>
      <c r="E8">
        <v>5072</v>
      </c>
      <c r="F8">
        <v>4289</v>
      </c>
      <c r="G8">
        <v>4004</v>
      </c>
      <c r="H8">
        <v>1093</v>
      </c>
      <c r="I8">
        <v>2279</v>
      </c>
      <c r="J8">
        <v>1875</v>
      </c>
      <c r="K8">
        <v>1781</v>
      </c>
    </row>
    <row r="9" spans="2:11" x14ac:dyDescent="0.25">
      <c r="B9" s="395" t="s">
        <v>809</v>
      </c>
      <c r="C9">
        <v>37461</v>
      </c>
      <c r="D9">
        <v>39725</v>
      </c>
      <c r="E9">
        <v>38343</v>
      </c>
      <c r="F9">
        <v>35339</v>
      </c>
      <c r="G9">
        <v>34631</v>
      </c>
      <c r="H9">
        <v>10815</v>
      </c>
      <c r="I9">
        <v>27519</v>
      </c>
      <c r="J9">
        <v>19831</v>
      </c>
      <c r="K9">
        <v>17804</v>
      </c>
    </row>
    <row r="10" spans="2:11" x14ac:dyDescent="0.25">
      <c r="B10" s="395" t="s">
        <v>784</v>
      </c>
      <c r="C10">
        <v>4886</v>
      </c>
      <c r="D10">
        <v>3888</v>
      </c>
      <c r="E10">
        <v>3767</v>
      </c>
      <c r="F10">
        <v>3893</v>
      </c>
      <c r="G10">
        <v>4225</v>
      </c>
      <c r="H10">
        <v>977</v>
      </c>
      <c r="I10">
        <v>2084</v>
      </c>
      <c r="J10">
        <v>2249</v>
      </c>
      <c r="K10">
        <v>2563</v>
      </c>
    </row>
    <row r="11" spans="2:11" x14ac:dyDescent="0.25">
      <c r="B11" s="395" t="s">
        <v>236</v>
      </c>
      <c r="C11">
        <v>71716</v>
      </c>
      <c r="D11">
        <v>70797</v>
      </c>
      <c r="E11">
        <v>69825</v>
      </c>
      <c r="F11">
        <v>69202</v>
      </c>
      <c r="G11">
        <v>69237</v>
      </c>
      <c r="H11">
        <v>19998</v>
      </c>
      <c r="I11">
        <v>44196</v>
      </c>
      <c r="J11">
        <v>38699</v>
      </c>
      <c r="K11">
        <v>36738</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30CA9-75C8-4FA8-88BF-488C51D5E658}">
  <sheetPr>
    <tabColor theme="7" tint="-0.249977111117893"/>
  </sheetPr>
  <dimension ref="A1:J7"/>
  <sheetViews>
    <sheetView workbookViewId="0">
      <selection activeCell="E5" sqref="E5"/>
    </sheetView>
  </sheetViews>
  <sheetFormatPr defaultRowHeight="15" x14ac:dyDescent="0.25"/>
  <cols>
    <col min="1" max="1" width="18.140625" bestFit="1" customWidth="1"/>
    <col min="2" max="10" width="9.7109375" bestFit="1" customWidth="1"/>
  </cols>
  <sheetData>
    <row r="1" spans="1:10" x14ac:dyDescent="0.25">
      <c r="A1" t="s">
        <v>781</v>
      </c>
      <c r="B1" t="s">
        <v>190</v>
      </c>
      <c r="C1" t="s">
        <v>257</v>
      </c>
      <c r="D1" t="s">
        <v>240</v>
      </c>
      <c r="E1" t="s">
        <v>239</v>
      </c>
      <c r="F1" t="s">
        <v>760</v>
      </c>
      <c r="G1" t="s">
        <v>917</v>
      </c>
      <c r="H1" t="s">
        <v>1010</v>
      </c>
      <c r="I1" t="s">
        <v>1061</v>
      </c>
      <c r="J1" t="s">
        <v>1108</v>
      </c>
    </row>
    <row r="2" spans="1:10" x14ac:dyDescent="0.25">
      <c r="A2" t="s">
        <v>782</v>
      </c>
      <c r="B2">
        <v>8020</v>
      </c>
      <c r="C2">
        <v>7446</v>
      </c>
      <c r="D2">
        <v>7740</v>
      </c>
      <c r="E2">
        <v>9727</v>
      </c>
      <c r="F2">
        <v>10040</v>
      </c>
      <c r="G2">
        <v>2387</v>
      </c>
      <c r="H2">
        <v>4431</v>
      </c>
      <c r="I2">
        <v>5557</v>
      </c>
      <c r="J2">
        <v>5572</v>
      </c>
    </row>
    <row r="3" spans="1:10" x14ac:dyDescent="0.25">
      <c r="A3" t="s">
        <v>116</v>
      </c>
      <c r="B3">
        <v>15848</v>
      </c>
      <c r="C3">
        <v>15100</v>
      </c>
      <c r="D3">
        <v>14796</v>
      </c>
      <c r="E3">
        <v>15332</v>
      </c>
      <c r="F3">
        <v>15696</v>
      </c>
      <c r="G3">
        <v>4624</v>
      </c>
      <c r="H3">
        <v>7561</v>
      </c>
      <c r="I3">
        <v>8820</v>
      </c>
      <c r="J3">
        <v>8575</v>
      </c>
    </row>
    <row r="4" spans="1:10" x14ac:dyDescent="0.25">
      <c r="A4" t="s">
        <v>783</v>
      </c>
      <c r="B4">
        <v>101</v>
      </c>
      <c r="C4">
        <v>103</v>
      </c>
      <c r="D4">
        <v>107</v>
      </c>
      <c r="E4">
        <v>622</v>
      </c>
      <c r="F4">
        <v>641</v>
      </c>
      <c r="G4">
        <v>102</v>
      </c>
      <c r="H4">
        <v>322</v>
      </c>
      <c r="I4">
        <v>367</v>
      </c>
      <c r="J4">
        <v>443</v>
      </c>
    </row>
    <row r="5" spans="1:10" x14ac:dyDescent="0.25">
      <c r="A5" t="s">
        <v>188</v>
      </c>
      <c r="B5">
        <v>5400</v>
      </c>
      <c r="C5">
        <v>4535</v>
      </c>
      <c r="D5">
        <v>5072</v>
      </c>
      <c r="E5">
        <v>4289</v>
      </c>
      <c r="F5">
        <v>4004</v>
      </c>
      <c r="G5">
        <v>1093</v>
      </c>
      <c r="H5">
        <v>2279</v>
      </c>
      <c r="I5">
        <v>1875</v>
      </c>
      <c r="J5">
        <v>1781</v>
      </c>
    </row>
    <row r="6" spans="1:10" x14ac:dyDescent="0.25">
      <c r="A6" t="s">
        <v>809</v>
      </c>
      <c r="B6">
        <v>37461</v>
      </c>
      <c r="C6">
        <v>39725</v>
      </c>
      <c r="D6">
        <v>38343</v>
      </c>
      <c r="E6">
        <v>35339</v>
      </c>
      <c r="F6">
        <v>34631</v>
      </c>
      <c r="G6">
        <v>10815</v>
      </c>
      <c r="H6">
        <v>27519</v>
      </c>
      <c r="I6">
        <v>19831</v>
      </c>
      <c r="J6">
        <v>17804</v>
      </c>
    </row>
    <row r="7" spans="1:10" x14ac:dyDescent="0.25">
      <c r="A7" t="s">
        <v>784</v>
      </c>
      <c r="B7">
        <v>4886</v>
      </c>
      <c r="C7">
        <v>3888</v>
      </c>
      <c r="D7">
        <v>3767</v>
      </c>
      <c r="E7">
        <v>3893</v>
      </c>
      <c r="F7">
        <v>4225</v>
      </c>
      <c r="G7">
        <v>977</v>
      </c>
      <c r="H7">
        <v>2084</v>
      </c>
      <c r="I7">
        <v>2249</v>
      </c>
      <c r="J7">
        <v>2563</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7" tint="-0.249977111117893"/>
  </sheetPr>
  <dimension ref="A1:T16"/>
  <sheetViews>
    <sheetView showGridLines="0" workbookViewId="0">
      <pane ySplit="2" topLeftCell="A3" activePane="bottomLeft" state="frozen"/>
      <selection pane="bottomLeft"/>
    </sheetView>
  </sheetViews>
  <sheetFormatPr defaultRowHeight="15" x14ac:dyDescent="0.25"/>
  <cols>
    <col min="1" max="1" width="18.140625" bestFit="1" customWidth="1"/>
    <col min="2" max="9" width="7.5703125" bestFit="1" customWidth="1"/>
  </cols>
  <sheetData>
    <row r="1" spans="1:20" ht="15.75" x14ac:dyDescent="0.25">
      <c r="A1" s="522" t="s">
        <v>533</v>
      </c>
      <c r="B1" s="522"/>
      <c r="C1" s="522"/>
    </row>
    <row r="2" spans="1:20" ht="15.75" x14ac:dyDescent="0.25">
      <c r="A2" s="507" t="s">
        <v>511</v>
      </c>
      <c r="B2" s="449"/>
      <c r="C2" s="449"/>
    </row>
    <row r="3" spans="1:20" x14ac:dyDescent="0.25">
      <c r="A3" s="25"/>
      <c r="B3" s="25"/>
      <c r="C3" s="25"/>
    </row>
    <row r="4" spans="1:20" ht="15.75" x14ac:dyDescent="0.25">
      <c r="A4" s="531" t="s">
        <v>890</v>
      </c>
      <c r="B4" s="531"/>
      <c r="C4" s="531"/>
    </row>
    <row r="5" spans="1:20" ht="15.75" x14ac:dyDescent="0.25">
      <c r="A5" t="s">
        <v>328</v>
      </c>
      <c r="B5" t="s">
        <v>891</v>
      </c>
      <c r="C5" s="508"/>
    </row>
    <row r="6" spans="1:20" ht="15.75" x14ac:dyDescent="0.25">
      <c r="A6" t="s">
        <v>329</v>
      </c>
      <c r="B6" t="s">
        <v>331</v>
      </c>
      <c r="C6" s="508"/>
      <c r="M6" s="317"/>
    </row>
    <row r="7" spans="1:20" ht="15.75" x14ac:dyDescent="0.25">
      <c r="A7" t="s">
        <v>330</v>
      </c>
      <c r="B7" t="s">
        <v>534</v>
      </c>
      <c r="C7" s="508"/>
    </row>
    <row r="8" spans="1:20" ht="21.95" customHeight="1" x14ac:dyDescent="0.25">
      <c r="F8" s="317"/>
      <c r="G8" s="317"/>
      <c r="H8" s="317"/>
      <c r="I8" s="317"/>
      <c r="J8" s="592" t="s">
        <v>774</v>
      </c>
      <c r="N8" s="317"/>
      <c r="O8" s="317"/>
      <c r="P8" s="317"/>
      <c r="Q8" s="317"/>
      <c r="R8" s="317"/>
      <c r="S8" s="317" t="s">
        <v>1007</v>
      </c>
    </row>
    <row r="9" spans="1:20" x14ac:dyDescent="0.25">
      <c r="A9" s="534" t="s">
        <v>781</v>
      </c>
      <c r="B9" s="661" t="s">
        <v>190</v>
      </c>
      <c r="C9" s="661" t="s">
        <v>257</v>
      </c>
      <c r="D9" s="661" t="s">
        <v>240</v>
      </c>
      <c r="E9" s="661" t="s">
        <v>239</v>
      </c>
      <c r="F9" s="661" t="s">
        <v>760</v>
      </c>
      <c r="G9" s="661" t="s">
        <v>917</v>
      </c>
      <c r="H9" s="661" t="s">
        <v>1010</v>
      </c>
      <c r="I9" s="661" t="s">
        <v>1061</v>
      </c>
      <c r="J9" s="661" t="s">
        <v>1108</v>
      </c>
      <c r="L9" s="661" t="s">
        <v>190</v>
      </c>
      <c r="M9" s="661" t="s">
        <v>257</v>
      </c>
      <c r="N9" s="661" t="s">
        <v>240</v>
      </c>
      <c r="O9" s="661" t="s">
        <v>239</v>
      </c>
      <c r="P9" s="661" t="s">
        <v>760</v>
      </c>
      <c r="Q9" s="661" t="s">
        <v>917</v>
      </c>
      <c r="R9" s="661" t="s">
        <v>1010</v>
      </c>
      <c r="S9" s="661" t="s">
        <v>1061</v>
      </c>
      <c r="T9" s="661" t="s">
        <v>1108</v>
      </c>
    </row>
    <row r="10" spans="1:20" x14ac:dyDescent="0.25">
      <c r="A10" s="317" t="s">
        <v>782</v>
      </c>
      <c r="B10" s="376">
        <f>GETPIVOTDATA("Sum of 2015-16",TenurePivot!$B$4,"Tenure",$A10)</f>
        <v>8020</v>
      </c>
      <c r="C10" s="376">
        <f>GETPIVOTDATA("Sum of 2016-17",TenurePivot!$B$4,"Tenure",$A10)</f>
        <v>7446</v>
      </c>
      <c r="D10" s="376">
        <f>GETPIVOTDATA("Sum of 2017-18",TenurePivot!$B$4,"Tenure",$A10)</f>
        <v>7740</v>
      </c>
      <c r="E10" s="376">
        <f>GETPIVOTDATA("Sum of 2018-19",TenurePivot!$B$4,"Tenure",$A10)</f>
        <v>9727</v>
      </c>
      <c r="F10" s="376">
        <f>GETPIVOTDATA("Sum of 2019-20",TenurePivot!$B$4,"Tenure",$A10)</f>
        <v>10040</v>
      </c>
      <c r="G10" s="376">
        <f>GETPIVOTDATA("Sum of 2020-21",TenurePivot!$B$4,"Tenure",$A10)</f>
        <v>2387</v>
      </c>
      <c r="H10" s="376">
        <f>GETPIVOTDATA("Sum of 2021-22",TenurePivot!$B$4,"Tenure",$A10)</f>
        <v>4431</v>
      </c>
      <c r="I10" s="376">
        <f>GETPIVOTDATA("Sum of 2022-23",TenurePivot!$B$4,"Tenure",$A10)</f>
        <v>5557</v>
      </c>
      <c r="J10" s="376">
        <f>GETPIVOTDATA("Sum of 2023-24",TenurePivot!$B$4,"Tenure",$A10)</f>
        <v>5572</v>
      </c>
      <c r="L10" s="774">
        <f>B10/B$16*100</f>
        <v>11.182999609571086</v>
      </c>
      <c r="M10" s="774">
        <f t="shared" ref="M10:T15" si="0">C10/C$16*100</f>
        <v>10.517394804864614</v>
      </c>
      <c r="N10" s="774">
        <f t="shared" si="0"/>
        <v>11.084854994629431</v>
      </c>
      <c r="O10" s="774">
        <f t="shared" si="0"/>
        <v>14.055952140111557</v>
      </c>
      <c r="P10" s="774">
        <f t="shared" si="0"/>
        <v>14.50091713967965</v>
      </c>
      <c r="Q10" s="774">
        <f t="shared" si="0"/>
        <v>11.936193619361935</v>
      </c>
      <c r="R10" s="774">
        <f t="shared" si="0"/>
        <v>10.025794189519413</v>
      </c>
      <c r="S10" s="774">
        <f t="shared" si="0"/>
        <v>14.359544174268068</v>
      </c>
      <c r="T10" s="774">
        <f t="shared" si="0"/>
        <v>15.166857205073766</v>
      </c>
    </row>
    <row r="11" spans="1:20" x14ac:dyDescent="0.25">
      <c r="A11" s="317" t="s">
        <v>116</v>
      </c>
      <c r="B11" s="376">
        <f>GETPIVOTDATA("Sum of 2015-16",TenurePivot!$B$4,"Tenure",$A11)</f>
        <v>15848</v>
      </c>
      <c r="C11" s="376">
        <f>GETPIVOTDATA("Sum of 2016-17",TenurePivot!$B$4,"Tenure",$A11)</f>
        <v>15100</v>
      </c>
      <c r="D11" s="376">
        <f>GETPIVOTDATA("Sum of 2017-18",TenurePivot!$B$4,"Tenure",$A11)</f>
        <v>14796</v>
      </c>
      <c r="E11" s="376">
        <f>GETPIVOTDATA("Sum of 2018-19",TenurePivot!$B$4,"Tenure",$A11)</f>
        <v>15332</v>
      </c>
      <c r="F11" s="376">
        <f>GETPIVOTDATA("Sum of 2019-20",TenurePivot!$B$4,"Tenure",$A11)</f>
        <v>15696</v>
      </c>
      <c r="G11" s="376">
        <f>GETPIVOTDATA("Sum of 2020-21",TenurePivot!$B$4,"Tenure",$A11)</f>
        <v>4624</v>
      </c>
      <c r="H11" s="376">
        <f>GETPIVOTDATA("Sum of 2021-22",TenurePivot!$B$4,"Tenure",$A11)</f>
        <v>7561</v>
      </c>
      <c r="I11" s="376">
        <f>GETPIVOTDATA("Sum of 2022-23",TenurePivot!$B$4,"Tenure",$A11)</f>
        <v>8820</v>
      </c>
      <c r="J11" s="376">
        <f>GETPIVOTDATA("Sum of 2023-24",TenurePivot!$B$4,"Tenure",$A11)</f>
        <v>8575</v>
      </c>
      <c r="L11" s="774">
        <f>B11/B$16*100</f>
        <v>22.098276535222265</v>
      </c>
      <c r="M11" s="774">
        <f t="shared" si="0"/>
        <v>21.328587369521308</v>
      </c>
      <c r="N11" s="774">
        <f t="shared" si="0"/>
        <v>21.190118152524168</v>
      </c>
      <c r="O11" s="774">
        <f t="shared" si="0"/>
        <v>22.155429033842953</v>
      </c>
      <c r="P11" s="774">
        <f t="shared" si="0"/>
        <v>22.669959703626674</v>
      </c>
      <c r="Q11" s="774">
        <f t="shared" si="0"/>
        <v>23.122312231223123</v>
      </c>
      <c r="R11" s="774">
        <f t="shared" si="0"/>
        <v>17.107883066340847</v>
      </c>
      <c r="S11" s="774">
        <f t="shared" si="0"/>
        <v>22.791286596552883</v>
      </c>
      <c r="T11" s="774">
        <f t="shared" si="0"/>
        <v>23.340954869617288</v>
      </c>
    </row>
    <row r="12" spans="1:20" x14ac:dyDescent="0.25">
      <c r="A12" s="317" t="s">
        <v>783</v>
      </c>
      <c r="B12" s="376">
        <f>GETPIVOTDATA("Sum of 2015-16",TenurePivot!$B$4,"Tenure",$A12)</f>
        <v>101</v>
      </c>
      <c r="C12" s="376">
        <f>GETPIVOTDATA("Sum of 2016-17",TenurePivot!$B$4,"Tenure",$A12)</f>
        <v>103</v>
      </c>
      <c r="D12" s="376">
        <f>GETPIVOTDATA("Sum of 2017-18",TenurePivot!$B$4,"Tenure",$A12)</f>
        <v>107</v>
      </c>
      <c r="E12" s="376">
        <f>GETPIVOTDATA("Sum of 2018-19",TenurePivot!$B$4,"Tenure",$A12)</f>
        <v>622</v>
      </c>
      <c r="F12" s="376">
        <f>GETPIVOTDATA("Sum of 2019-20",TenurePivot!$B$4,"Tenure",$A12)</f>
        <v>641</v>
      </c>
      <c r="G12" s="376">
        <f>GETPIVOTDATA("Sum of 2020-21",TenurePivot!$B$4,"Tenure",$A12)</f>
        <v>102</v>
      </c>
      <c r="H12" s="376">
        <f>GETPIVOTDATA("Sum of 2021-22",TenurePivot!$B$4,"Tenure",$A12)</f>
        <v>322</v>
      </c>
      <c r="I12" s="376">
        <f>GETPIVOTDATA("Sum of 2022-23",TenurePivot!$B$4,"Tenure",$A12)</f>
        <v>367</v>
      </c>
      <c r="J12" s="376">
        <f>GETPIVOTDATA("Sum of 2023-24",TenurePivot!$B$4,"Tenure",$A12)</f>
        <v>443</v>
      </c>
      <c r="L12" s="774">
        <f t="shared" ref="L12:L15" si="1">B12/B$16*100</f>
        <v>0.1408332868537007</v>
      </c>
      <c r="M12" s="774">
        <f t="shared" si="0"/>
        <v>0.14548639066627117</v>
      </c>
      <c r="N12" s="774">
        <f t="shared" si="0"/>
        <v>0.15324024346580739</v>
      </c>
      <c r="O12" s="774">
        <f t="shared" si="0"/>
        <v>0.89881795323834579</v>
      </c>
      <c r="P12" s="774">
        <f>F12/F$16*100</f>
        <v>0.925805566387914</v>
      </c>
      <c r="Q12" s="774">
        <f t="shared" si="0"/>
        <v>0.51005100510051005</v>
      </c>
      <c r="R12" s="774">
        <f t="shared" si="0"/>
        <v>0.72857272151325914</v>
      </c>
      <c r="S12" s="774">
        <f t="shared" si="0"/>
        <v>0.94834491847334557</v>
      </c>
      <c r="T12" s="774">
        <f t="shared" si="0"/>
        <v>1.2058359192117154</v>
      </c>
    </row>
    <row r="13" spans="1:20" x14ac:dyDescent="0.25">
      <c r="A13" s="317" t="s">
        <v>188</v>
      </c>
      <c r="B13" s="376">
        <f>GETPIVOTDATA("Sum of 2015-16",TenurePivot!$B$4,"Tenure",$A13)</f>
        <v>5400</v>
      </c>
      <c r="C13" s="376">
        <f>GETPIVOTDATA("Sum of 2016-17",TenurePivot!$B$4,"Tenure",$A13)</f>
        <v>4535</v>
      </c>
      <c r="D13" s="376">
        <f>GETPIVOTDATA("Sum of 2017-18",TenurePivot!$B$4,"Tenure",$A13)</f>
        <v>5072</v>
      </c>
      <c r="E13" s="376">
        <f>GETPIVOTDATA("Sum of 2018-19",TenurePivot!$B$4,"Tenure",$A13)</f>
        <v>4289</v>
      </c>
      <c r="F13" s="376">
        <f>GETPIVOTDATA("Sum of 2019-20",TenurePivot!$B$4,"Tenure",$A13)</f>
        <v>4004</v>
      </c>
      <c r="G13" s="376">
        <f>GETPIVOTDATA("Sum of 2020-21",TenurePivot!$B$4,"Tenure",$A13)</f>
        <v>1093</v>
      </c>
      <c r="H13" s="376">
        <f>GETPIVOTDATA("Sum of 2021-22",TenurePivot!$B$4,"Tenure",$A13)</f>
        <v>2279</v>
      </c>
      <c r="I13" s="376">
        <f>GETPIVOTDATA("Sum of 2022-23",TenurePivot!$B$4,"Tenure",$A13)</f>
        <v>1875</v>
      </c>
      <c r="J13" s="376">
        <f>GETPIVOTDATA("Sum of 2023-24",TenurePivot!$B$4,"Tenure",$A13)</f>
        <v>1781</v>
      </c>
      <c r="L13" s="774">
        <f>B13/B$16*100</f>
        <v>7.529700485247365</v>
      </c>
      <c r="M13" s="774">
        <f t="shared" si="0"/>
        <v>6.4056386570052402</v>
      </c>
      <c r="N13" s="774">
        <f t="shared" si="0"/>
        <v>7.2638739706408888</v>
      </c>
      <c r="O13" s="774">
        <f t="shared" si="0"/>
        <v>6.1977977515100724</v>
      </c>
      <c r="P13" s="774">
        <f t="shared" si="0"/>
        <v>5.7830350823981398</v>
      </c>
      <c r="Q13" s="774">
        <f t="shared" si="0"/>
        <v>5.4655465546554653</v>
      </c>
      <c r="R13" s="774">
        <f t="shared" si="0"/>
        <v>5.1565752556792477</v>
      </c>
      <c r="S13" s="774">
        <f t="shared" si="0"/>
        <v>4.8450864363420241</v>
      </c>
      <c r="T13" s="774">
        <f t="shared" si="0"/>
        <v>4.8478414720452934</v>
      </c>
    </row>
    <row r="14" spans="1:20" x14ac:dyDescent="0.25">
      <c r="A14" s="317" t="s">
        <v>809</v>
      </c>
      <c r="B14" s="376">
        <f>GETPIVOTDATA("Sum of 2015-16",TenurePivot!$B$4,"Tenure",$A14)</f>
        <v>37461</v>
      </c>
      <c r="C14" s="376">
        <f>GETPIVOTDATA("Sum of 2016-17",TenurePivot!$B$4,"Tenure",$A14)</f>
        <v>39725</v>
      </c>
      <c r="D14" s="376">
        <f>GETPIVOTDATA("Sum of 2017-18",TenurePivot!$B$4,"Tenure",$A14)</f>
        <v>38343</v>
      </c>
      <c r="E14" s="376">
        <f>GETPIVOTDATA("Sum of 2018-19",TenurePivot!$B$4,"Tenure",$A14)</f>
        <v>35339</v>
      </c>
      <c r="F14" s="376">
        <f>GETPIVOTDATA("Sum of 2019-20",TenurePivot!$B$4,"Tenure",$A14)</f>
        <v>34631</v>
      </c>
      <c r="G14" s="376">
        <f>GETPIVOTDATA("Sum of 2020-21",TenurePivot!$B$4,"Tenure",$A14)</f>
        <v>10815</v>
      </c>
      <c r="H14" s="376">
        <f>GETPIVOTDATA("Sum of 2021-22",TenurePivot!$B$4,"Tenure",$A14)</f>
        <v>27519</v>
      </c>
      <c r="I14" s="376">
        <f>GETPIVOTDATA("Sum of 2022-23",TenurePivot!$B$4,"Tenure",$A14)</f>
        <v>19831</v>
      </c>
      <c r="J14" s="376">
        <f>GETPIVOTDATA("Sum of 2023-24",TenurePivot!$B$4,"Tenure",$A14)</f>
        <v>17804</v>
      </c>
      <c r="L14" s="774">
        <f t="shared" si="1"/>
        <v>52.235205532935467</v>
      </c>
      <c r="M14" s="774">
        <f t="shared" si="0"/>
        <v>56.111134652598274</v>
      </c>
      <c r="N14" s="774">
        <f t="shared" si="0"/>
        <v>54.912996777658428</v>
      </c>
      <c r="O14" s="774">
        <f t="shared" si="0"/>
        <v>51.06644316638247</v>
      </c>
      <c r="P14" s="774">
        <f t="shared" si="0"/>
        <v>50.01805393070179</v>
      </c>
      <c r="Q14" s="774">
        <f t="shared" si="0"/>
        <v>54.080408040804087</v>
      </c>
      <c r="R14" s="774">
        <f t="shared" si="0"/>
        <v>62.265815910942166</v>
      </c>
      <c r="S14" s="774">
        <f t="shared" si="0"/>
        <v>51.244218196852628</v>
      </c>
      <c r="T14" s="774">
        <f t="shared" si="0"/>
        <v>48.462082856987315</v>
      </c>
    </row>
    <row r="15" spans="1:20" x14ac:dyDescent="0.25">
      <c r="A15" s="534" t="s">
        <v>784</v>
      </c>
      <c r="B15" s="376">
        <f>GETPIVOTDATA("Sum of 2015-16",TenurePivot!$B$4,"Tenure",$A15)</f>
        <v>4886</v>
      </c>
      <c r="C15" s="376">
        <f>GETPIVOTDATA("Sum of 2016-17",TenurePivot!$B$4,"Tenure",$A15)</f>
        <v>3888</v>
      </c>
      <c r="D15" s="376">
        <f>GETPIVOTDATA("Sum of 2017-18",TenurePivot!$B$4,"Tenure",$A15)</f>
        <v>3767</v>
      </c>
      <c r="E15" s="376">
        <f>GETPIVOTDATA("Sum of 2018-19",TenurePivot!$B$4,"Tenure",$A15)</f>
        <v>3893</v>
      </c>
      <c r="F15" s="376">
        <f>GETPIVOTDATA("Sum of 2019-20",TenurePivot!$B$4,"Tenure",$A15)</f>
        <v>4225</v>
      </c>
      <c r="G15" s="376">
        <f>GETPIVOTDATA("Sum of 2020-21",TenurePivot!$B$4,"Tenure",$A15)</f>
        <v>977</v>
      </c>
      <c r="H15" s="376">
        <f>GETPIVOTDATA("Sum of 2021-22",TenurePivot!$B$4,"Tenure",$A15)</f>
        <v>2084</v>
      </c>
      <c r="I15" s="376">
        <f>GETPIVOTDATA("Sum of 2022-23",TenurePivot!$B$4,"Tenure",$A15)</f>
        <v>2249</v>
      </c>
      <c r="J15" s="376">
        <f>GETPIVOTDATA("Sum of 2023-24",TenurePivot!$B$4,"Tenure",$A15)</f>
        <v>2563</v>
      </c>
      <c r="L15" s="774">
        <f t="shared" si="1"/>
        <v>6.8129845501701158</v>
      </c>
      <c r="M15" s="774">
        <f t="shared" si="0"/>
        <v>5.491758125344294</v>
      </c>
      <c r="N15" s="774">
        <f t="shared" si="0"/>
        <v>5.3949158610812749</v>
      </c>
      <c r="O15" s="774">
        <f t="shared" si="0"/>
        <v>5.6255599549145971</v>
      </c>
      <c r="P15" s="774">
        <f t="shared" si="0"/>
        <v>6.1022285772058291</v>
      </c>
      <c r="Q15" s="774">
        <f t="shared" si="0"/>
        <v>4.8854885488548856</v>
      </c>
      <c r="R15" s="774">
        <f t="shared" si="0"/>
        <v>4.7153588560050679</v>
      </c>
      <c r="S15" s="774">
        <f t="shared" si="0"/>
        <v>5.8115196775110469</v>
      </c>
      <c r="T15" s="774">
        <f t="shared" si="0"/>
        <v>6.9764276770646196</v>
      </c>
    </row>
    <row r="16" spans="1:20" ht="15.75" thickBot="1" x14ac:dyDescent="0.3">
      <c r="A16" s="503" t="s">
        <v>26</v>
      </c>
      <c r="B16" s="891">
        <f>SUM(B10:B15)</f>
        <v>71716</v>
      </c>
      <c r="C16" s="891">
        <f t="shared" ref="C16:J16" si="2">SUM(C10:C15)</f>
        <v>70797</v>
      </c>
      <c r="D16" s="891">
        <f t="shared" si="2"/>
        <v>69825</v>
      </c>
      <c r="E16" s="891">
        <f t="shared" si="2"/>
        <v>69202</v>
      </c>
      <c r="F16" s="891">
        <f t="shared" si="2"/>
        <v>69237</v>
      </c>
      <c r="G16" s="891">
        <f t="shared" si="2"/>
        <v>19998</v>
      </c>
      <c r="H16" s="891">
        <f t="shared" si="2"/>
        <v>44196</v>
      </c>
      <c r="I16" s="891">
        <f t="shared" si="2"/>
        <v>38699</v>
      </c>
      <c r="J16" s="891">
        <f t="shared" si="2"/>
        <v>36738</v>
      </c>
      <c r="L16" s="909"/>
      <c r="M16" s="909"/>
      <c r="N16" s="909"/>
      <c r="O16" s="909"/>
      <c r="P16" s="909"/>
      <c r="Q16" s="909"/>
      <c r="R16" s="909"/>
      <c r="S16" s="909"/>
      <c r="T16" s="909"/>
    </row>
  </sheetData>
  <sheetProtection algorithmName="SHA-512" hashValue="90+phCSCoUvM/Myv+GRjky0US/EQAPdtSNVW/L9voarA9wokT/2TCLeoAAxSyZG+DzL6H0KMP6yIf2g1Yh72Zg==" saltValue="dLiVSDcyw6rSJ57iqMlEtQ==" spinCount="100000" sheet="1" scenarios="1" formatCells="0" sort="0" autoFilter="0" pivotTables="0"/>
  <sortState xmlns:xlrd2="http://schemas.microsoft.com/office/spreadsheetml/2017/richdata2" ref="C2:J12">
    <sortCondition ref="C1"/>
  </sortState>
  <hyperlinks>
    <hyperlink ref="A2" location="'Table of Contents'!A1" display="Back to Table of Contents" xr:uid="{00000000-0004-0000-8400-000000000000}"/>
  </hyperlink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94048-6BF3-44ED-9E41-4FD5B36EC137}">
  <sheetPr>
    <tabColor theme="7" tint="-0.249977111117893"/>
  </sheetPr>
  <dimension ref="B4:I40"/>
  <sheetViews>
    <sheetView topLeftCell="B25" workbookViewId="0">
      <selection activeCell="C10" sqref="C10"/>
    </sheetView>
  </sheetViews>
  <sheetFormatPr defaultRowHeight="15" x14ac:dyDescent="0.25"/>
  <cols>
    <col min="2" max="2" width="12.42578125" bestFit="1" customWidth="1"/>
    <col min="3" max="3" width="26.28515625" bestFit="1" customWidth="1"/>
    <col min="4" max="6" width="8.140625" bestFit="1" customWidth="1"/>
    <col min="7" max="7" width="26.28515625" bestFit="1" customWidth="1"/>
    <col min="8" max="8" width="16.140625" bestFit="1" customWidth="1"/>
    <col min="9" max="9" width="17" bestFit="1" customWidth="1"/>
  </cols>
  <sheetData>
    <row r="4" spans="2:9" x14ac:dyDescent="0.25">
      <c r="B4" s="394" t="s">
        <v>231</v>
      </c>
      <c r="C4" t="s">
        <v>1191</v>
      </c>
      <c r="D4" t="s">
        <v>1192</v>
      </c>
      <c r="E4" t="s">
        <v>1193</v>
      </c>
      <c r="F4" t="s">
        <v>1194</v>
      </c>
      <c r="G4" t="s">
        <v>1195</v>
      </c>
      <c r="H4" t="s">
        <v>1197</v>
      </c>
      <c r="I4" t="s">
        <v>1196</v>
      </c>
    </row>
    <row r="5" spans="2:9" x14ac:dyDescent="0.25">
      <c r="B5" s="395" t="s">
        <v>191</v>
      </c>
      <c r="C5">
        <v>17849</v>
      </c>
      <c r="D5">
        <v>15907</v>
      </c>
      <c r="E5">
        <v>12769</v>
      </c>
      <c r="F5">
        <v>10233</v>
      </c>
      <c r="G5">
        <v>8711</v>
      </c>
      <c r="I5">
        <v>65469</v>
      </c>
    </row>
    <row r="6" spans="2:9" x14ac:dyDescent="0.25">
      <c r="B6" s="395" t="s">
        <v>190</v>
      </c>
      <c r="C6">
        <v>18934</v>
      </c>
      <c r="D6">
        <v>17395</v>
      </c>
      <c r="E6">
        <v>14102</v>
      </c>
      <c r="F6">
        <v>11771</v>
      </c>
      <c r="G6">
        <v>9285</v>
      </c>
      <c r="I6">
        <v>71487</v>
      </c>
    </row>
    <row r="7" spans="2:9" x14ac:dyDescent="0.25">
      <c r="B7" s="395" t="s">
        <v>257</v>
      </c>
      <c r="C7">
        <v>17677</v>
      </c>
      <c r="D7">
        <v>16793</v>
      </c>
      <c r="E7">
        <v>14119</v>
      </c>
      <c r="F7">
        <v>12424</v>
      </c>
      <c r="G7">
        <v>9629</v>
      </c>
      <c r="I7">
        <v>70642</v>
      </c>
    </row>
    <row r="8" spans="2:9" x14ac:dyDescent="0.25">
      <c r="B8" s="395" t="s">
        <v>240</v>
      </c>
      <c r="C8">
        <v>18493</v>
      </c>
      <c r="D8">
        <v>16335</v>
      </c>
      <c r="E8">
        <v>13734</v>
      </c>
      <c r="F8">
        <v>11938</v>
      </c>
      <c r="G8">
        <v>9223</v>
      </c>
      <c r="I8">
        <v>69723</v>
      </c>
    </row>
    <row r="9" spans="2:9" x14ac:dyDescent="0.25">
      <c r="B9" s="395" t="s">
        <v>239</v>
      </c>
      <c r="C9">
        <v>19471</v>
      </c>
      <c r="D9">
        <v>16459</v>
      </c>
      <c r="E9">
        <v>13401</v>
      </c>
      <c r="F9">
        <v>10897</v>
      </c>
      <c r="G9">
        <v>8859</v>
      </c>
      <c r="I9">
        <v>69087</v>
      </c>
    </row>
    <row r="10" spans="2:9" x14ac:dyDescent="0.25">
      <c r="B10" s="395" t="s">
        <v>760</v>
      </c>
      <c r="C10">
        <v>19653</v>
      </c>
      <c r="D10">
        <v>16030</v>
      </c>
      <c r="E10">
        <v>13327</v>
      </c>
      <c r="F10">
        <v>11305</v>
      </c>
      <c r="G10">
        <v>8721</v>
      </c>
      <c r="I10">
        <v>69036</v>
      </c>
    </row>
    <row r="11" spans="2:9" x14ac:dyDescent="0.25">
      <c r="B11" s="395" t="s">
        <v>917</v>
      </c>
      <c r="C11">
        <v>5590</v>
      </c>
      <c r="D11">
        <v>4810</v>
      </c>
      <c r="E11">
        <v>3757</v>
      </c>
      <c r="F11">
        <v>3262</v>
      </c>
      <c r="G11">
        <v>2543</v>
      </c>
      <c r="I11">
        <v>19962</v>
      </c>
    </row>
    <row r="12" spans="2:9" x14ac:dyDescent="0.25">
      <c r="B12" s="395" t="s">
        <v>1010</v>
      </c>
      <c r="C12">
        <v>10755</v>
      </c>
      <c r="D12">
        <v>10458</v>
      </c>
      <c r="E12">
        <v>8762</v>
      </c>
      <c r="F12">
        <v>7730</v>
      </c>
      <c r="G12">
        <v>6358</v>
      </c>
      <c r="I12">
        <v>44063</v>
      </c>
    </row>
    <row r="13" spans="2:9" x14ac:dyDescent="0.25">
      <c r="B13" s="395" t="s">
        <v>1061</v>
      </c>
      <c r="C13">
        <v>10432</v>
      </c>
      <c r="D13">
        <v>9683</v>
      </c>
      <c r="E13">
        <v>7386</v>
      </c>
      <c r="F13">
        <v>6180</v>
      </c>
      <c r="G13">
        <v>4768</v>
      </c>
      <c r="I13">
        <v>38449</v>
      </c>
    </row>
    <row r="14" spans="2:9" x14ac:dyDescent="0.25">
      <c r="B14" s="395" t="s">
        <v>1108</v>
      </c>
      <c r="C14">
        <v>9744</v>
      </c>
      <c r="D14">
        <v>9303</v>
      </c>
      <c r="E14">
        <v>6945</v>
      </c>
      <c r="F14">
        <v>5766</v>
      </c>
      <c r="G14">
        <v>4572</v>
      </c>
      <c r="I14">
        <v>36330</v>
      </c>
    </row>
    <row r="15" spans="2:9" x14ac:dyDescent="0.25">
      <c r="B15" s="395" t="s">
        <v>298</v>
      </c>
    </row>
    <row r="16" spans="2:9" x14ac:dyDescent="0.25">
      <c r="B16" s="395" t="s">
        <v>236</v>
      </c>
      <c r="C16">
        <v>148598</v>
      </c>
      <c r="D16">
        <v>133173</v>
      </c>
      <c r="E16">
        <v>108302</v>
      </c>
      <c r="F16">
        <v>91506</v>
      </c>
      <c r="G16">
        <v>72669</v>
      </c>
      <c r="I16">
        <v>554248</v>
      </c>
    </row>
    <row r="28" spans="2:8" x14ac:dyDescent="0.25">
      <c r="B28" s="394" t="s">
        <v>231</v>
      </c>
      <c r="C28" t="s">
        <v>1191</v>
      </c>
      <c r="D28" t="s">
        <v>1192</v>
      </c>
      <c r="E28" t="s">
        <v>1193</v>
      </c>
      <c r="F28" t="s">
        <v>1194</v>
      </c>
      <c r="G28" t="s">
        <v>1195</v>
      </c>
      <c r="H28" t="s">
        <v>1196</v>
      </c>
    </row>
    <row r="29" spans="2:8" x14ac:dyDescent="0.25">
      <c r="B29" s="395" t="s">
        <v>191</v>
      </c>
      <c r="C29">
        <v>3.4</v>
      </c>
      <c r="D29">
        <v>3.2</v>
      </c>
      <c r="E29">
        <v>2.6</v>
      </c>
      <c r="F29">
        <v>2.2000000000000002</v>
      </c>
      <c r="G29">
        <v>1.9</v>
      </c>
      <c r="H29">
        <v>2.7</v>
      </c>
    </row>
    <row r="30" spans="2:8" x14ac:dyDescent="0.25">
      <c r="B30" s="395" t="s">
        <v>190</v>
      </c>
      <c r="C30">
        <v>3.6</v>
      </c>
      <c r="D30">
        <v>3.4</v>
      </c>
      <c r="E30">
        <v>2.9</v>
      </c>
      <c r="F30">
        <v>2.5</v>
      </c>
      <c r="G30">
        <v>2</v>
      </c>
      <c r="H30">
        <v>2.9</v>
      </c>
    </row>
    <row r="31" spans="2:8" x14ac:dyDescent="0.25">
      <c r="B31" s="395" t="s">
        <v>257</v>
      </c>
      <c r="C31">
        <v>3.3</v>
      </c>
      <c r="D31">
        <v>3.3</v>
      </c>
      <c r="E31">
        <v>2.9</v>
      </c>
      <c r="F31">
        <v>2.6</v>
      </c>
      <c r="G31">
        <v>2.1</v>
      </c>
      <c r="H31">
        <v>2.9</v>
      </c>
    </row>
    <row r="32" spans="2:8" x14ac:dyDescent="0.25">
      <c r="B32" s="395" t="s">
        <v>240</v>
      </c>
      <c r="C32">
        <v>3.5</v>
      </c>
      <c r="D32">
        <v>3.2</v>
      </c>
      <c r="E32">
        <v>2.8</v>
      </c>
      <c r="F32">
        <v>2.4</v>
      </c>
      <c r="G32">
        <v>2</v>
      </c>
      <c r="H32">
        <v>2.8</v>
      </c>
    </row>
    <row r="33" spans="2:8" x14ac:dyDescent="0.25">
      <c r="B33" s="395" t="s">
        <v>239</v>
      </c>
      <c r="C33">
        <v>3.6</v>
      </c>
      <c r="D33">
        <v>3.2</v>
      </c>
      <c r="E33">
        <v>2.7</v>
      </c>
      <c r="F33">
        <v>2.2000000000000002</v>
      </c>
      <c r="G33">
        <v>1.9</v>
      </c>
      <c r="H33">
        <v>2.8</v>
      </c>
    </row>
    <row r="34" spans="2:8" x14ac:dyDescent="0.25">
      <c r="B34" s="395" t="s">
        <v>760</v>
      </c>
      <c r="C34">
        <v>3.7</v>
      </c>
      <c r="D34">
        <v>3.1</v>
      </c>
      <c r="E34">
        <v>2.6</v>
      </c>
      <c r="F34">
        <v>2.2999999999999998</v>
      </c>
      <c r="G34">
        <v>1.9</v>
      </c>
      <c r="H34">
        <v>2.7</v>
      </c>
    </row>
    <row r="35" spans="2:8" x14ac:dyDescent="0.25">
      <c r="B35" s="395" t="s">
        <v>917</v>
      </c>
      <c r="C35">
        <v>1</v>
      </c>
      <c r="D35">
        <v>0.9</v>
      </c>
      <c r="E35">
        <v>0.7</v>
      </c>
      <c r="F35">
        <v>0.6</v>
      </c>
      <c r="G35">
        <v>0.5</v>
      </c>
      <c r="H35">
        <v>0.8</v>
      </c>
    </row>
    <row r="36" spans="2:8" x14ac:dyDescent="0.25">
      <c r="B36" s="395" t="s">
        <v>1010</v>
      </c>
      <c r="C36">
        <v>2</v>
      </c>
      <c r="D36">
        <v>2</v>
      </c>
      <c r="E36">
        <v>1.7</v>
      </c>
      <c r="F36">
        <v>1.5</v>
      </c>
      <c r="G36">
        <v>1.3</v>
      </c>
      <c r="H36">
        <v>1.7</v>
      </c>
    </row>
    <row r="37" spans="2:8" x14ac:dyDescent="0.25">
      <c r="B37" s="395" t="s">
        <v>1061</v>
      </c>
      <c r="C37">
        <v>1.9</v>
      </c>
      <c r="D37">
        <v>1.8</v>
      </c>
      <c r="E37">
        <v>1.4</v>
      </c>
      <c r="F37">
        <v>1.2</v>
      </c>
      <c r="G37">
        <v>1</v>
      </c>
      <c r="H37">
        <v>1.5</v>
      </c>
    </row>
    <row r="38" spans="2:8" x14ac:dyDescent="0.25">
      <c r="B38" s="395" t="s">
        <v>1108</v>
      </c>
      <c r="C38">
        <v>1.8</v>
      </c>
      <c r="D38">
        <v>1.8</v>
      </c>
      <c r="E38">
        <v>1.3</v>
      </c>
      <c r="F38">
        <v>1.1000000000000001</v>
      </c>
      <c r="G38">
        <v>1</v>
      </c>
      <c r="H38">
        <v>1.4</v>
      </c>
    </row>
    <row r="39" spans="2:8" x14ac:dyDescent="0.25">
      <c r="B39" s="395" t="s">
        <v>298</v>
      </c>
    </row>
    <row r="40" spans="2:8" x14ac:dyDescent="0.25">
      <c r="B40" s="395" t="s">
        <v>236</v>
      </c>
      <c r="C40">
        <v>27.8</v>
      </c>
      <c r="D40">
        <v>25.9</v>
      </c>
      <c r="E40">
        <v>21.599999999999998</v>
      </c>
      <c r="F40">
        <v>18.600000000000005</v>
      </c>
      <c r="G40">
        <v>15.600000000000001</v>
      </c>
      <c r="H40">
        <v>22.2</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3F5A-0CE4-431D-B8AE-96C612C28A3E}">
  <sheetPr>
    <tabColor theme="7" tint="-0.249977111117893"/>
  </sheetPr>
  <dimension ref="A1:H34"/>
  <sheetViews>
    <sheetView topLeftCell="A19" workbookViewId="0">
      <selection activeCell="C29" sqref="C29"/>
    </sheetView>
  </sheetViews>
  <sheetFormatPr defaultRowHeight="15" x14ac:dyDescent="0.25"/>
  <cols>
    <col min="1" max="1" width="7.5703125" bestFit="1" customWidth="1"/>
    <col min="2" max="2" width="22.140625" bestFit="1" customWidth="1"/>
    <col min="3" max="5" width="5.85546875" bestFit="1" customWidth="1"/>
    <col min="6" max="6" width="22.140625" bestFit="1" customWidth="1"/>
    <col min="7" max="7" width="12" bestFit="1" customWidth="1"/>
    <col min="8" max="8" width="12.85546875" bestFit="1" customWidth="1"/>
  </cols>
  <sheetData>
    <row r="1" spans="1:8" x14ac:dyDescent="0.25">
      <c r="A1" t="s">
        <v>1</v>
      </c>
      <c r="B1" t="s">
        <v>366</v>
      </c>
      <c r="C1" t="s">
        <v>924</v>
      </c>
      <c r="D1" t="s">
        <v>925</v>
      </c>
      <c r="E1" t="s">
        <v>926</v>
      </c>
      <c r="F1" t="s">
        <v>367</v>
      </c>
      <c r="G1" t="s">
        <v>1190</v>
      </c>
      <c r="H1" t="s">
        <v>414</v>
      </c>
    </row>
    <row r="3" spans="1:8" x14ac:dyDescent="0.25">
      <c r="A3" t="s">
        <v>191</v>
      </c>
      <c r="B3">
        <v>17849</v>
      </c>
      <c r="C3">
        <v>15907</v>
      </c>
      <c r="D3">
        <v>12769</v>
      </c>
      <c r="E3">
        <v>10233</v>
      </c>
      <c r="F3">
        <v>8711</v>
      </c>
      <c r="H3">
        <v>65469</v>
      </c>
    </row>
    <row r="4" spans="1:8" x14ac:dyDescent="0.25">
      <c r="A4" t="s">
        <v>190</v>
      </c>
      <c r="B4">
        <v>18934</v>
      </c>
      <c r="C4">
        <v>17395</v>
      </c>
      <c r="D4">
        <v>14102</v>
      </c>
      <c r="E4">
        <v>11771</v>
      </c>
      <c r="F4">
        <v>9285</v>
      </c>
      <c r="H4">
        <v>71487</v>
      </c>
    </row>
    <row r="5" spans="1:8" x14ac:dyDescent="0.25">
      <c r="A5" t="s">
        <v>257</v>
      </c>
      <c r="B5">
        <v>17677</v>
      </c>
      <c r="C5">
        <v>16793</v>
      </c>
      <c r="D5">
        <v>14119</v>
      </c>
      <c r="E5">
        <v>12424</v>
      </c>
      <c r="F5">
        <v>9629</v>
      </c>
      <c r="H5">
        <v>70642</v>
      </c>
    </row>
    <row r="6" spans="1:8" x14ac:dyDescent="0.25">
      <c r="A6" t="s">
        <v>240</v>
      </c>
      <c r="B6">
        <v>18493</v>
      </c>
      <c r="C6">
        <v>16335</v>
      </c>
      <c r="D6">
        <v>13734</v>
      </c>
      <c r="E6">
        <v>11938</v>
      </c>
      <c r="F6">
        <v>9223</v>
      </c>
      <c r="H6">
        <v>69723</v>
      </c>
    </row>
    <row r="7" spans="1:8" x14ac:dyDescent="0.25">
      <c r="A7" t="s">
        <v>239</v>
      </c>
      <c r="B7">
        <v>19471</v>
      </c>
      <c r="C7">
        <v>16459</v>
      </c>
      <c r="D7">
        <v>13401</v>
      </c>
      <c r="E7">
        <v>10897</v>
      </c>
      <c r="F7">
        <v>8859</v>
      </c>
      <c r="H7">
        <v>69087</v>
      </c>
    </row>
    <row r="8" spans="1:8" x14ac:dyDescent="0.25">
      <c r="A8" t="s">
        <v>760</v>
      </c>
      <c r="B8">
        <v>19653</v>
      </c>
      <c r="C8">
        <v>16030</v>
      </c>
      <c r="D8">
        <v>13327</v>
      </c>
      <c r="E8">
        <v>11305</v>
      </c>
      <c r="F8">
        <v>8721</v>
      </c>
      <c r="H8">
        <v>69036</v>
      </c>
    </row>
    <row r="9" spans="1:8" x14ac:dyDescent="0.25">
      <c r="A9" t="s">
        <v>917</v>
      </c>
      <c r="B9">
        <v>5590</v>
      </c>
      <c r="C9">
        <v>4810</v>
      </c>
      <c r="D9">
        <v>3757</v>
      </c>
      <c r="E9">
        <v>3262</v>
      </c>
      <c r="F9">
        <v>2543</v>
      </c>
      <c r="H9">
        <v>19962</v>
      </c>
    </row>
    <row r="10" spans="1:8" x14ac:dyDescent="0.25">
      <c r="A10" t="s">
        <v>1010</v>
      </c>
      <c r="B10">
        <v>10755</v>
      </c>
      <c r="C10">
        <v>10458</v>
      </c>
      <c r="D10">
        <v>8762</v>
      </c>
      <c r="E10">
        <v>7730</v>
      </c>
      <c r="F10">
        <v>6358</v>
      </c>
      <c r="H10">
        <v>44063</v>
      </c>
    </row>
    <row r="11" spans="1:8" x14ac:dyDescent="0.25">
      <c r="A11" t="s">
        <v>1061</v>
      </c>
      <c r="B11">
        <v>10432</v>
      </c>
      <c r="C11">
        <v>9683</v>
      </c>
      <c r="D11">
        <v>7386</v>
      </c>
      <c r="E11">
        <v>6180</v>
      </c>
      <c r="F11">
        <v>4768</v>
      </c>
      <c r="H11">
        <v>38449</v>
      </c>
    </row>
    <row r="12" spans="1:8" x14ac:dyDescent="0.25">
      <c r="A12" t="s">
        <v>1108</v>
      </c>
      <c r="B12">
        <v>9744</v>
      </c>
      <c r="C12">
        <v>9303</v>
      </c>
      <c r="D12">
        <v>6945</v>
      </c>
      <c r="E12">
        <v>5766</v>
      </c>
      <c r="F12">
        <v>4572</v>
      </c>
      <c r="H12">
        <v>36330</v>
      </c>
    </row>
    <row r="23" spans="1:7" x14ac:dyDescent="0.25">
      <c r="A23" t="s">
        <v>1</v>
      </c>
      <c r="B23" t="s">
        <v>366</v>
      </c>
      <c r="C23" t="s">
        <v>924</v>
      </c>
      <c r="D23" t="s">
        <v>925</v>
      </c>
      <c r="E23" t="s">
        <v>926</v>
      </c>
      <c r="F23" t="s">
        <v>367</v>
      </c>
      <c r="G23" t="s">
        <v>414</v>
      </c>
    </row>
    <row r="25" spans="1:7" x14ac:dyDescent="0.25">
      <c r="A25" t="s">
        <v>191</v>
      </c>
      <c r="B25">
        <v>3.4</v>
      </c>
      <c r="C25">
        <v>3.2</v>
      </c>
      <c r="D25">
        <v>2.6</v>
      </c>
      <c r="E25">
        <v>2.2000000000000002</v>
      </c>
      <c r="F25">
        <v>1.9</v>
      </c>
      <c r="G25">
        <v>2.7</v>
      </c>
    </row>
    <row r="26" spans="1:7" x14ac:dyDescent="0.25">
      <c r="A26" t="s">
        <v>190</v>
      </c>
      <c r="B26">
        <v>3.6</v>
      </c>
      <c r="C26">
        <v>3.4</v>
      </c>
      <c r="D26">
        <v>2.9</v>
      </c>
      <c r="E26">
        <v>2.5</v>
      </c>
      <c r="F26">
        <v>2</v>
      </c>
      <c r="G26">
        <v>2.9</v>
      </c>
    </row>
    <row r="27" spans="1:7" x14ac:dyDescent="0.25">
      <c r="A27" t="s">
        <v>257</v>
      </c>
      <c r="B27">
        <v>3.3</v>
      </c>
      <c r="C27">
        <v>3.3</v>
      </c>
      <c r="D27">
        <v>2.9</v>
      </c>
      <c r="E27">
        <v>2.6</v>
      </c>
      <c r="F27">
        <v>2.1</v>
      </c>
      <c r="G27">
        <v>2.9</v>
      </c>
    </row>
    <row r="28" spans="1:7" x14ac:dyDescent="0.25">
      <c r="A28" t="s">
        <v>240</v>
      </c>
      <c r="B28">
        <v>3.5</v>
      </c>
      <c r="C28">
        <v>3.2</v>
      </c>
      <c r="D28">
        <v>2.8</v>
      </c>
      <c r="E28">
        <v>2.4</v>
      </c>
      <c r="F28">
        <v>2</v>
      </c>
      <c r="G28">
        <v>2.8</v>
      </c>
    </row>
    <row r="29" spans="1:7" x14ac:dyDescent="0.25">
      <c r="A29" t="s">
        <v>239</v>
      </c>
      <c r="B29">
        <v>3.6</v>
      </c>
      <c r="C29">
        <v>3.2</v>
      </c>
      <c r="D29">
        <v>2.7</v>
      </c>
      <c r="E29">
        <v>2.2000000000000002</v>
      </c>
      <c r="F29">
        <v>1.9</v>
      </c>
      <c r="G29">
        <v>2.8</v>
      </c>
    </row>
    <row r="30" spans="1:7" x14ac:dyDescent="0.25">
      <c r="A30" t="s">
        <v>760</v>
      </c>
      <c r="B30">
        <v>3.7</v>
      </c>
      <c r="C30">
        <v>3.1</v>
      </c>
      <c r="D30">
        <v>2.6</v>
      </c>
      <c r="E30">
        <v>2.2999999999999998</v>
      </c>
      <c r="F30">
        <v>1.9</v>
      </c>
      <c r="G30">
        <v>2.7</v>
      </c>
    </row>
    <row r="31" spans="1:7" x14ac:dyDescent="0.25">
      <c r="A31" t="s">
        <v>917</v>
      </c>
      <c r="B31">
        <v>1</v>
      </c>
      <c r="C31">
        <v>0.9</v>
      </c>
      <c r="D31">
        <v>0.7</v>
      </c>
      <c r="E31">
        <v>0.6</v>
      </c>
      <c r="F31">
        <v>0.5</v>
      </c>
      <c r="G31">
        <v>0.8</v>
      </c>
    </row>
    <row r="32" spans="1:7" x14ac:dyDescent="0.25">
      <c r="A32" t="s">
        <v>1010</v>
      </c>
      <c r="B32">
        <v>2</v>
      </c>
      <c r="C32">
        <v>2</v>
      </c>
      <c r="D32">
        <v>1.7</v>
      </c>
      <c r="E32">
        <v>1.5</v>
      </c>
      <c r="F32">
        <v>1.3</v>
      </c>
      <c r="G32">
        <v>1.7</v>
      </c>
    </row>
    <row r="33" spans="1:7" x14ac:dyDescent="0.25">
      <c r="A33" t="s">
        <v>1061</v>
      </c>
      <c r="B33">
        <v>1.9</v>
      </c>
      <c r="C33">
        <v>1.8</v>
      </c>
      <c r="D33">
        <v>1.4</v>
      </c>
      <c r="E33">
        <v>1.2</v>
      </c>
      <c r="F33">
        <v>1</v>
      </c>
      <c r="G33">
        <v>1.5</v>
      </c>
    </row>
    <row r="34" spans="1:7" x14ac:dyDescent="0.25">
      <c r="A34" t="s">
        <v>1108</v>
      </c>
      <c r="B34">
        <v>1.8</v>
      </c>
      <c r="C34">
        <v>1.8</v>
      </c>
      <c r="D34">
        <v>1.3</v>
      </c>
      <c r="E34">
        <v>1.1000000000000001</v>
      </c>
      <c r="F34">
        <v>1</v>
      </c>
      <c r="G34">
        <v>1.4</v>
      </c>
    </row>
  </sheetData>
  <pageMargins left="0.7" right="0.7" top="0.75" bottom="0.75" header="0.3" footer="0.3"/>
  <tableParts count="2">
    <tablePart r:id="rId1"/>
    <tablePart r:id="rId2"/>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theme="7" tint="-0.249977111117893"/>
  </sheetPr>
  <dimension ref="A1:L49"/>
  <sheetViews>
    <sheetView showGridLines="0" zoomScaleNormal="100" workbookViewId="0">
      <pane ySplit="2" topLeftCell="A3" activePane="bottomLeft" state="frozen"/>
      <selection pane="bottomLeft"/>
    </sheetView>
  </sheetViews>
  <sheetFormatPr defaultColWidth="9.28515625" defaultRowHeight="15" x14ac:dyDescent="0.25"/>
  <cols>
    <col min="1" max="1" width="24.42578125" customWidth="1"/>
    <col min="2" max="2" width="20" bestFit="1" customWidth="1"/>
    <col min="3" max="3" width="13.85546875" customWidth="1"/>
    <col min="4" max="4" width="14.85546875" customWidth="1"/>
    <col min="5" max="5" width="16.85546875" customWidth="1"/>
    <col min="6" max="6" width="21.28515625" customWidth="1"/>
    <col min="7" max="7" width="12.85546875" customWidth="1"/>
    <col min="8" max="8" width="9.85546875" bestFit="1" customWidth="1"/>
    <col min="9" max="9" width="23.85546875" customWidth="1"/>
  </cols>
  <sheetData>
    <row r="1" spans="1:12" ht="15.75" x14ac:dyDescent="0.25">
      <c r="A1" s="522" t="s">
        <v>533</v>
      </c>
      <c r="B1" s="522"/>
      <c r="C1" s="522"/>
    </row>
    <row r="2" spans="1:12" ht="15.75" x14ac:dyDescent="0.25">
      <c r="A2" s="507" t="s">
        <v>511</v>
      </c>
      <c r="B2" s="449"/>
      <c r="C2" s="449"/>
    </row>
    <row r="3" spans="1:12" x14ac:dyDescent="0.25">
      <c r="A3" s="25"/>
      <c r="B3" s="25"/>
      <c r="C3" s="25"/>
      <c r="D3" s="25"/>
      <c r="E3" s="25"/>
      <c r="F3" s="25"/>
      <c r="G3" s="25"/>
      <c r="H3" s="25"/>
      <c r="I3" s="25"/>
      <c r="J3" s="25"/>
      <c r="K3" s="25"/>
      <c r="L3" s="25"/>
    </row>
    <row r="4" spans="1:12" ht="15.75" x14ac:dyDescent="0.25">
      <c r="A4" s="531" t="s">
        <v>543</v>
      </c>
      <c r="B4" s="531"/>
      <c r="C4" s="531"/>
      <c r="D4" s="531"/>
      <c r="E4" s="531"/>
      <c r="F4" s="531"/>
      <c r="G4" s="531"/>
      <c r="H4" s="531"/>
      <c r="I4" s="531"/>
      <c r="J4" s="531"/>
      <c r="K4" s="531"/>
      <c r="L4" s="531"/>
    </row>
    <row r="5" spans="1:12" ht="15.75" x14ac:dyDescent="0.25">
      <c r="A5" t="s">
        <v>328</v>
      </c>
      <c r="B5" t="s">
        <v>703</v>
      </c>
      <c r="C5" s="508"/>
      <c r="D5" s="508"/>
      <c r="E5" s="508"/>
      <c r="F5" s="508"/>
      <c r="G5" s="508"/>
      <c r="H5" s="508"/>
      <c r="I5" s="508"/>
      <c r="J5" s="508"/>
      <c r="K5" s="508"/>
      <c r="L5" s="508"/>
    </row>
    <row r="6" spans="1:12" ht="15.75" x14ac:dyDescent="0.25">
      <c r="A6" t="s">
        <v>329</v>
      </c>
      <c r="B6" t="s">
        <v>331</v>
      </c>
      <c r="C6" s="508"/>
      <c r="D6" s="508"/>
      <c r="E6" s="508"/>
      <c r="F6" s="508"/>
      <c r="G6" s="508"/>
      <c r="H6" s="508"/>
      <c r="I6" s="508"/>
      <c r="J6" s="508"/>
      <c r="K6" s="508"/>
      <c r="L6" s="508"/>
    </row>
    <row r="7" spans="1:12" ht="15.75" x14ac:dyDescent="0.25">
      <c r="A7" t="s">
        <v>330</v>
      </c>
      <c r="B7" t="s">
        <v>748</v>
      </c>
      <c r="C7" s="508"/>
      <c r="D7" s="508"/>
      <c r="E7" s="508"/>
      <c r="F7" s="508"/>
      <c r="G7" s="508"/>
      <c r="H7" s="508"/>
      <c r="I7" s="508"/>
      <c r="J7" s="508"/>
      <c r="K7" s="508"/>
      <c r="L7" s="508"/>
    </row>
    <row r="9" spans="1:12" x14ac:dyDescent="0.25">
      <c r="D9" s="532" t="s">
        <v>544</v>
      </c>
    </row>
    <row r="10" spans="1:12" x14ac:dyDescent="0.25">
      <c r="A10" s="534" t="s">
        <v>1</v>
      </c>
      <c r="B10" s="661" t="s">
        <v>366</v>
      </c>
      <c r="C10" s="661" t="s">
        <v>924</v>
      </c>
      <c r="D10" s="661" t="s">
        <v>925</v>
      </c>
      <c r="E10" s="661" t="s">
        <v>926</v>
      </c>
      <c r="F10" s="661" t="s">
        <v>367</v>
      </c>
      <c r="G10" s="661" t="s">
        <v>414</v>
      </c>
    </row>
    <row r="11" spans="1:12" x14ac:dyDescent="0.25">
      <c r="A11" s="317" t="s">
        <v>191</v>
      </c>
      <c r="B11" s="376">
        <f>GETPIVOTDATA("Sum of 1 - Most Deprived 20%",SIMDVisitsPivot!$B$4,"Year",A11)</f>
        <v>17849</v>
      </c>
      <c r="C11" s="376">
        <f>GETPIVOTDATA("Sum of 2",SIMDVisitsPivot!$B$4,"Year",A11)</f>
        <v>15907</v>
      </c>
      <c r="D11" s="376">
        <f>GETPIVOTDATA("Sum of 3",SIMDVisitsPivot!$B$4,"Year",A11)</f>
        <v>12769</v>
      </c>
      <c r="E11" s="376">
        <f>GETPIVOTDATA("Sum of 4",SIMDVisitsPivot!$B$4,"Year",A11)</f>
        <v>10233</v>
      </c>
      <c r="F11" s="376">
        <f>GETPIVOTDATA("Sum of 5 - Least Deprived 20%",SIMDVisitsPivot!$B$4,"Year",A11)</f>
        <v>8711</v>
      </c>
      <c r="G11" s="772">
        <f>GETPIVOTDATA("Sum of All Scotland",SIMDVisitsPivot!$B$4,"Year",A11)</f>
        <v>65469</v>
      </c>
    </row>
    <row r="12" spans="1:12" x14ac:dyDescent="0.25">
      <c r="A12" s="317" t="s">
        <v>190</v>
      </c>
      <c r="B12" s="376">
        <f>GETPIVOTDATA("Sum of 1 - Most Deprived 20%",SIMDVisitsPivot!$B$4,"Year",A12)</f>
        <v>18934</v>
      </c>
      <c r="C12" s="376">
        <f>GETPIVOTDATA("Sum of 2",SIMDVisitsPivot!$B$4,"Year",A12)</f>
        <v>17395</v>
      </c>
      <c r="D12" s="376">
        <f>GETPIVOTDATA("Sum of 3",SIMDVisitsPivot!$B$4,"Year",A12)</f>
        <v>14102</v>
      </c>
      <c r="E12" s="376">
        <f>GETPIVOTDATA("Sum of 4",SIMDVisitsPivot!$B$4,"Year",A12)</f>
        <v>11771</v>
      </c>
      <c r="F12" s="376">
        <f>GETPIVOTDATA("Sum of 5 - Least Deprived 20%",SIMDVisitsPivot!$B$4,"Year",A12)</f>
        <v>9285</v>
      </c>
      <c r="G12" s="772">
        <f>GETPIVOTDATA("Sum of All Scotland",SIMDVisitsPivot!$B$4,"Year",A12)</f>
        <v>71487</v>
      </c>
    </row>
    <row r="13" spans="1:12" x14ac:dyDescent="0.25">
      <c r="A13" s="317" t="s">
        <v>257</v>
      </c>
      <c r="B13" s="376">
        <f>GETPIVOTDATA("Sum of 1 - Most Deprived 20%",SIMDVisitsPivot!$B$4,"Year",A13)</f>
        <v>17677</v>
      </c>
      <c r="C13" s="376">
        <f>GETPIVOTDATA("Sum of 2",SIMDVisitsPivot!$B$4,"Year",A13)</f>
        <v>16793</v>
      </c>
      <c r="D13" s="376">
        <f>GETPIVOTDATA("Sum of 3",SIMDVisitsPivot!$B$4,"Year",A13)</f>
        <v>14119</v>
      </c>
      <c r="E13" s="376">
        <f>GETPIVOTDATA("Sum of 4",SIMDVisitsPivot!$B$4,"Year",A13)</f>
        <v>12424</v>
      </c>
      <c r="F13" s="376">
        <f>GETPIVOTDATA("Sum of 5 - Least Deprived 20%",SIMDVisitsPivot!$B$4,"Year",A13)</f>
        <v>9629</v>
      </c>
      <c r="G13" s="772">
        <f>GETPIVOTDATA("Sum of All Scotland",SIMDVisitsPivot!$B$4,"Year",A13)</f>
        <v>70642</v>
      </c>
    </row>
    <row r="14" spans="1:12" x14ac:dyDescent="0.25">
      <c r="A14" s="317" t="s">
        <v>240</v>
      </c>
      <c r="B14" s="376">
        <f>GETPIVOTDATA("Sum of 1 - Most Deprived 20%",SIMDVisitsPivot!$B$4,"Year",A14)</f>
        <v>18493</v>
      </c>
      <c r="C14" s="376">
        <f>GETPIVOTDATA("Sum of 2",SIMDVisitsPivot!$B$4,"Year",A14)</f>
        <v>16335</v>
      </c>
      <c r="D14" s="376">
        <f>GETPIVOTDATA("Sum of 3",SIMDVisitsPivot!$B$4,"Year",A14)</f>
        <v>13734</v>
      </c>
      <c r="E14" s="376">
        <f>GETPIVOTDATA("Sum of 4",SIMDVisitsPivot!$B$4,"Year",A14)</f>
        <v>11938</v>
      </c>
      <c r="F14" s="376">
        <f>GETPIVOTDATA("Sum of 5 - Least Deprived 20%",SIMDVisitsPivot!$B$4,"Year",A14)</f>
        <v>9223</v>
      </c>
      <c r="G14" s="772">
        <f>GETPIVOTDATA("Sum of All Scotland",SIMDVisitsPivot!$B$4,"Year",A14)</f>
        <v>69723</v>
      </c>
    </row>
    <row r="15" spans="1:12" x14ac:dyDescent="0.25">
      <c r="A15" s="317" t="s">
        <v>239</v>
      </c>
      <c r="B15" s="376">
        <f>GETPIVOTDATA("Sum of 1 - Most Deprived 20%",SIMDVisitsPivot!$B$4,"Year",A15)</f>
        <v>19471</v>
      </c>
      <c r="C15" s="376">
        <f>GETPIVOTDATA("Sum of 2",SIMDVisitsPivot!$B$4,"Year",A15)</f>
        <v>16459</v>
      </c>
      <c r="D15" s="376">
        <f>GETPIVOTDATA("Sum of 3",SIMDVisitsPivot!$B$4,"Year",A15)</f>
        <v>13401</v>
      </c>
      <c r="E15" s="376">
        <f>GETPIVOTDATA("Sum of 4",SIMDVisitsPivot!$B$4,"Year",A15)</f>
        <v>10897</v>
      </c>
      <c r="F15" s="376">
        <f>GETPIVOTDATA("Sum of 5 - Least Deprived 20%",SIMDVisitsPivot!$B$4,"Year",A15)</f>
        <v>8859</v>
      </c>
      <c r="G15" s="772">
        <f>GETPIVOTDATA("Sum of All Scotland",SIMDVisitsPivot!$B$4,"Year",A15)</f>
        <v>69087</v>
      </c>
    </row>
    <row r="16" spans="1:12" x14ac:dyDescent="0.25">
      <c r="A16" s="317" t="s">
        <v>760</v>
      </c>
      <c r="B16" s="376">
        <f>GETPIVOTDATA("Sum of 1 - Most Deprived 20%",SIMDVisitsPivot!$B$4,"Year",A16)</f>
        <v>19653</v>
      </c>
      <c r="C16" s="376">
        <f>GETPIVOTDATA("Sum of 2",SIMDVisitsPivot!$B$4,"Year",A16)</f>
        <v>16030</v>
      </c>
      <c r="D16" s="376">
        <f>GETPIVOTDATA("Sum of 3",SIMDVisitsPivot!$B$4,"Year",A16)</f>
        <v>13327</v>
      </c>
      <c r="E16" s="376">
        <f>GETPIVOTDATA("Sum of 4",SIMDVisitsPivot!$B$4,"Year",A16)</f>
        <v>11305</v>
      </c>
      <c r="F16" s="376">
        <f>GETPIVOTDATA("Sum of 5 - Least Deprived 20%",SIMDVisitsPivot!$B$4,"Year",A16)</f>
        <v>8721</v>
      </c>
      <c r="G16" s="772">
        <f>GETPIVOTDATA("Sum of All Scotland",SIMDVisitsPivot!$B$4,"Year",A16)</f>
        <v>69036</v>
      </c>
    </row>
    <row r="17" spans="1:12" x14ac:dyDescent="0.25">
      <c r="A17" s="317" t="s">
        <v>917</v>
      </c>
      <c r="B17" s="376">
        <f>GETPIVOTDATA("Sum of 1 - Most Deprived 20%",SIMDVisitsPivot!$B$4,"Year",A17)</f>
        <v>5590</v>
      </c>
      <c r="C17" s="376">
        <f>GETPIVOTDATA("Sum of 2",SIMDVisitsPivot!$B$4,"Year",A17)</f>
        <v>4810</v>
      </c>
      <c r="D17" s="376">
        <f>GETPIVOTDATA("Sum of 3",SIMDVisitsPivot!$B$4,"Year",A17)</f>
        <v>3757</v>
      </c>
      <c r="E17" s="376">
        <f>GETPIVOTDATA("Sum of 4",SIMDVisitsPivot!$B$4,"Year",A17)</f>
        <v>3262</v>
      </c>
      <c r="F17" s="376">
        <f>GETPIVOTDATA("Sum of 5 - Least Deprived 20%",SIMDVisitsPivot!$B$4,"Year",A17)</f>
        <v>2543</v>
      </c>
      <c r="G17" s="772">
        <f>GETPIVOTDATA("Sum of All Scotland",SIMDVisitsPivot!$B$4,"Year",A17)</f>
        <v>19962</v>
      </c>
    </row>
    <row r="18" spans="1:12" x14ac:dyDescent="0.25">
      <c r="A18" s="317" t="s">
        <v>1010</v>
      </c>
      <c r="B18" s="376">
        <f>GETPIVOTDATA("Sum of 1 - Most Deprived 20%",SIMDVisitsPivot!$B$4,"Year",A18)</f>
        <v>10755</v>
      </c>
      <c r="C18" s="376">
        <f>GETPIVOTDATA("Sum of 2",SIMDVisitsPivot!$B$4,"Year",A18)</f>
        <v>10458</v>
      </c>
      <c r="D18" s="376">
        <f>GETPIVOTDATA("Sum of 3",SIMDVisitsPivot!$B$4,"Year",A18)</f>
        <v>8762</v>
      </c>
      <c r="E18" s="376">
        <f>GETPIVOTDATA("Sum of 4",SIMDVisitsPivot!$B$4,"Year",A18)</f>
        <v>7730</v>
      </c>
      <c r="F18" s="376">
        <f>GETPIVOTDATA("Sum of 5 - Least Deprived 20%",SIMDVisitsPivot!$B$4,"Year",A18)</f>
        <v>6358</v>
      </c>
      <c r="G18" s="772">
        <f>GETPIVOTDATA("Sum of All Scotland",SIMDVisitsPivot!$B$4,"Year",A18)</f>
        <v>44063</v>
      </c>
    </row>
    <row r="19" spans="1:12" x14ac:dyDescent="0.25">
      <c r="A19" s="317" t="s">
        <v>1061</v>
      </c>
      <c r="B19" s="376">
        <f>GETPIVOTDATA("Sum of 1 - Most Deprived 20%",SIMDVisitsPivot!$B$4,"Year",A19)</f>
        <v>10432</v>
      </c>
      <c r="C19" s="376">
        <f>GETPIVOTDATA("Sum of 2",SIMDVisitsPivot!$B$4,"Year",A19)</f>
        <v>9683</v>
      </c>
      <c r="D19" s="376">
        <f>GETPIVOTDATA("Sum of 3",SIMDVisitsPivot!$B$4,"Year",A19)</f>
        <v>7386</v>
      </c>
      <c r="E19" s="376">
        <f>GETPIVOTDATA("Sum of 4",SIMDVisitsPivot!$B$4,"Year",A19)</f>
        <v>6180</v>
      </c>
      <c r="F19" s="376">
        <f>GETPIVOTDATA("Sum of 5 - Least Deprived 20%",SIMDVisitsPivot!$B$4,"Year",A19)</f>
        <v>4768</v>
      </c>
      <c r="G19" s="772">
        <f>GETPIVOTDATA("Sum of All Scotland",SIMDVisitsPivot!$B$4,"Year",A19)</f>
        <v>38449</v>
      </c>
    </row>
    <row r="20" spans="1:12" ht="15.75" thickBot="1" x14ac:dyDescent="0.3">
      <c r="A20" s="533" t="s">
        <v>1108</v>
      </c>
      <c r="B20" s="778">
        <f>GETPIVOTDATA("Sum of 1 - Most Deprived 20%",SIMDVisitsPivot!$B$4,"Year",A20)</f>
        <v>9744</v>
      </c>
      <c r="C20" s="778">
        <f>GETPIVOTDATA("Sum of 2",SIMDVisitsPivot!$B$4,"Year",A20)</f>
        <v>9303</v>
      </c>
      <c r="D20" s="778">
        <f>GETPIVOTDATA("Sum of 3",SIMDVisitsPivot!$B$4,"Year",A20)</f>
        <v>6945</v>
      </c>
      <c r="E20" s="778">
        <f>GETPIVOTDATA("Sum of 4",SIMDVisitsPivot!$B$4,"Year",A20)</f>
        <v>5766</v>
      </c>
      <c r="F20" s="778">
        <f>GETPIVOTDATA("Sum of 5 - Least Deprived 20%",SIMDVisitsPivot!$B$4,"Year",A20)</f>
        <v>4572</v>
      </c>
      <c r="G20" s="928">
        <f>GETPIVOTDATA("Sum of All Scotland",SIMDVisitsPivot!$B$4,"Year",A20)</f>
        <v>36330</v>
      </c>
    </row>
    <row r="22" spans="1:12" x14ac:dyDescent="0.25">
      <c r="A22" s="317" t="s">
        <v>8</v>
      </c>
    </row>
    <row r="23" spans="1:12" ht="15.75" customHeight="1" x14ac:dyDescent="0.25">
      <c r="A23" t="s">
        <v>1058</v>
      </c>
      <c r="I23" s="531"/>
      <c r="J23" s="531"/>
      <c r="K23" s="531"/>
      <c r="L23" s="531"/>
    </row>
    <row r="24" spans="1:12" ht="15.75" x14ac:dyDescent="0.25">
      <c r="A24" s="574" t="s">
        <v>747</v>
      </c>
      <c r="I24" s="508"/>
      <c r="J24" s="508"/>
      <c r="K24" s="508"/>
      <c r="L24" s="508"/>
    </row>
    <row r="25" spans="1:12" ht="15.75" x14ac:dyDescent="0.25">
      <c r="A25" s="715" t="s">
        <v>1054</v>
      </c>
      <c r="I25" s="508"/>
      <c r="J25" s="508"/>
      <c r="K25" s="508"/>
      <c r="L25" s="508"/>
    </row>
    <row r="26" spans="1:12" ht="15.75" x14ac:dyDescent="0.25">
      <c r="A26" s="574"/>
      <c r="I26" s="508"/>
      <c r="J26" s="508"/>
      <c r="K26" s="508"/>
      <c r="L26" s="508"/>
    </row>
    <row r="27" spans="1:12" ht="15.75" x14ac:dyDescent="0.25">
      <c r="H27" s="531"/>
    </row>
    <row r="28" spans="1:12" ht="15.75" x14ac:dyDescent="0.25">
      <c r="A28" s="531" t="s">
        <v>594</v>
      </c>
      <c r="B28" s="531"/>
      <c r="C28" s="531"/>
      <c r="D28" s="531"/>
      <c r="E28" s="531"/>
      <c r="F28" s="531"/>
      <c r="G28" s="531"/>
      <c r="H28" s="508"/>
    </row>
    <row r="29" spans="1:12" ht="15.75" x14ac:dyDescent="0.25">
      <c r="A29" t="s">
        <v>328</v>
      </c>
      <c r="B29" t="s">
        <v>704</v>
      </c>
      <c r="C29" s="508"/>
      <c r="D29" s="508"/>
      <c r="E29" s="508"/>
      <c r="F29" s="508"/>
      <c r="G29" s="508"/>
      <c r="H29" s="508"/>
    </row>
    <row r="30" spans="1:12" ht="15.75" x14ac:dyDescent="0.25">
      <c r="A30" t="s">
        <v>329</v>
      </c>
      <c r="B30" t="s">
        <v>331</v>
      </c>
      <c r="C30" s="508"/>
      <c r="D30" s="508"/>
      <c r="E30" s="508"/>
      <c r="F30" s="508"/>
      <c r="G30" s="508"/>
      <c r="H30" s="508"/>
    </row>
    <row r="31" spans="1:12" ht="15.75" x14ac:dyDescent="0.25">
      <c r="A31" t="s">
        <v>330</v>
      </c>
      <c r="B31" t="s">
        <v>748</v>
      </c>
      <c r="C31" s="508"/>
      <c r="D31" s="508"/>
      <c r="E31" s="508"/>
      <c r="F31" s="508"/>
      <c r="G31" s="508"/>
    </row>
    <row r="32" spans="1:12" x14ac:dyDescent="0.25">
      <c r="H32" s="536"/>
    </row>
    <row r="33" spans="1:7" x14ac:dyDescent="0.25">
      <c r="C33" s="536"/>
      <c r="D33" s="537" t="s">
        <v>545</v>
      </c>
      <c r="E33" s="536"/>
      <c r="F33" s="536"/>
    </row>
    <row r="34" spans="1:7" x14ac:dyDescent="0.25">
      <c r="A34" s="534" t="s">
        <v>1</v>
      </c>
      <c r="B34" s="661" t="s">
        <v>366</v>
      </c>
      <c r="C34" s="661" t="s">
        <v>924</v>
      </c>
      <c r="D34" s="661" t="s">
        <v>925</v>
      </c>
      <c r="E34" s="661" t="s">
        <v>926</v>
      </c>
      <c r="F34" s="661" t="s">
        <v>367</v>
      </c>
      <c r="G34" s="661" t="s">
        <v>414</v>
      </c>
    </row>
    <row r="35" spans="1:7" x14ac:dyDescent="0.25">
      <c r="A35" s="317" t="s">
        <v>191</v>
      </c>
      <c r="B35" s="571">
        <f>GETPIVOTDATA("Sum of 1 - Most Deprived 20%",SIMDVisitsPivot!$B$28,"Year",A35)</f>
        <v>3.4</v>
      </c>
      <c r="C35" s="571">
        <f>GETPIVOTDATA("Sum of 2",SIMDVisitsPivot!$B$28,"Year",A35)</f>
        <v>3.2</v>
      </c>
      <c r="D35" s="571">
        <f>GETPIVOTDATA("Sum of 3",SIMDVisitsPivot!$B$28,"Year",A35)</f>
        <v>2.6</v>
      </c>
      <c r="E35" s="571">
        <f>GETPIVOTDATA("Sum of 4",SIMDVisitsPivot!$B$28,"Year",A35)</f>
        <v>2.2000000000000002</v>
      </c>
      <c r="F35" s="571">
        <f>GETPIVOTDATA("Sum of 5 - Least Deprived 20%",SIMDVisitsPivot!$B$28,"Year",A35)</f>
        <v>1.9</v>
      </c>
      <c r="G35" s="930">
        <f>GETPIVOTDATA("Sum of All Scotland",SIMDVisitsPivot!$B$28,"Year",A35)</f>
        <v>2.7</v>
      </c>
    </row>
    <row r="36" spans="1:7" x14ac:dyDescent="0.25">
      <c r="A36" s="317" t="s">
        <v>190</v>
      </c>
      <c r="B36" s="571">
        <f>GETPIVOTDATA("Sum of 1 - Most Deprived 20%",SIMDVisitsPivot!$B$28,"Year",A36)</f>
        <v>3.6</v>
      </c>
      <c r="C36" s="571">
        <f>GETPIVOTDATA("Sum of 2",SIMDVisitsPivot!$B$28,"Year",A36)</f>
        <v>3.4</v>
      </c>
      <c r="D36" s="571">
        <f>GETPIVOTDATA("Sum of 3",SIMDVisitsPivot!$B$28,"Year",A36)</f>
        <v>2.9</v>
      </c>
      <c r="E36" s="571">
        <f>GETPIVOTDATA("Sum of 4",SIMDVisitsPivot!$B$28,"Year",A36)</f>
        <v>2.5</v>
      </c>
      <c r="F36" s="571">
        <f>GETPIVOTDATA("Sum of 5 - Least Deprived 20%",SIMDVisitsPivot!$B$28,"Year",A36)</f>
        <v>2</v>
      </c>
      <c r="G36" s="930">
        <f>GETPIVOTDATA("Sum of All Scotland",SIMDVisitsPivot!$B$28,"Year",A36)</f>
        <v>2.9</v>
      </c>
    </row>
    <row r="37" spans="1:7" x14ac:dyDescent="0.25">
      <c r="A37" s="317" t="s">
        <v>257</v>
      </c>
      <c r="B37" s="571">
        <f>GETPIVOTDATA("Sum of 1 - Most Deprived 20%",SIMDVisitsPivot!$B$28,"Year",A37)</f>
        <v>3.3</v>
      </c>
      <c r="C37" s="571">
        <f>GETPIVOTDATA("Sum of 2",SIMDVisitsPivot!$B$28,"Year",A37)</f>
        <v>3.3</v>
      </c>
      <c r="D37" s="571">
        <f>GETPIVOTDATA("Sum of 3",SIMDVisitsPivot!$B$28,"Year",A37)</f>
        <v>2.9</v>
      </c>
      <c r="E37" s="571">
        <f>GETPIVOTDATA("Sum of 4",SIMDVisitsPivot!$B$28,"Year",A37)</f>
        <v>2.6</v>
      </c>
      <c r="F37" s="571">
        <f>GETPIVOTDATA("Sum of 5 - Least Deprived 20%",SIMDVisitsPivot!$B$28,"Year",A37)</f>
        <v>2.1</v>
      </c>
      <c r="G37" s="930">
        <f>GETPIVOTDATA("Sum of All Scotland",SIMDVisitsPivot!$B$28,"Year",A37)</f>
        <v>2.9</v>
      </c>
    </row>
    <row r="38" spans="1:7" x14ac:dyDescent="0.25">
      <c r="A38" s="317" t="s">
        <v>240</v>
      </c>
      <c r="B38" s="571">
        <f>GETPIVOTDATA("Sum of 1 - Most Deprived 20%",SIMDVisitsPivot!$B$28,"Year",A38)</f>
        <v>3.5</v>
      </c>
      <c r="C38" s="571">
        <f>GETPIVOTDATA("Sum of 2",SIMDVisitsPivot!$B$28,"Year",A38)</f>
        <v>3.2</v>
      </c>
      <c r="D38" s="571">
        <f>GETPIVOTDATA("Sum of 3",SIMDVisitsPivot!$B$28,"Year",A38)</f>
        <v>2.8</v>
      </c>
      <c r="E38" s="571">
        <f>GETPIVOTDATA("Sum of 4",SIMDVisitsPivot!$B$28,"Year",A38)</f>
        <v>2.4</v>
      </c>
      <c r="F38" s="571">
        <f>GETPIVOTDATA("Sum of 5 - Least Deprived 20%",SIMDVisitsPivot!$B$28,"Year",A38)</f>
        <v>2</v>
      </c>
      <c r="G38" s="930">
        <f>GETPIVOTDATA("Sum of All Scotland",SIMDVisitsPivot!$B$28,"Year",A38)</f>
        <v>2.8</v>
      </c>
    </row>
    <row r="39" spans="1:7" x14ac:dyDescent="0.25">
      <c r="A39" s="317" t="s">
        <v>239</v>
      </c>
      <c r="B39" s="571">
        <f>GETPIVOTDATA("Sum of 1 - Most Deprived 20%",SIMDVisitsPivot!$B$28,"Year",A39)</f>
        <v>3.6</v>
      </c>
      <c r="C39" s="571">
        <f>GETPIVOTDATA("Sum of 2",SIMDVisitsPivot!$B$28,"Year",A39)</f>
        <v>3.2</v>
      </c>
      <c r="D39" s="571">
        <f>GETPIVOTDATA("Sum of 3",SIMDVisitsPivot!$B$28,"Year",A39)</f>
        <v>2.7</v>
      </c>
      <c r="E39" s="571">
        <f>GETPIVOTDATA("Sum of 4",SIMDVisitsPivot!$B$28,"Year",A39)</f>
        <v>2.2000000000000002</v>
      </c>
      <c r="F39" s="571">
        <f>GETPIVOTDATA("Sum of 5 - Least Deprived 20%",SIMDVisitsPivot!$B$28,"Year",A39)</f>
        <v>1.9</v>
      </c>
      <c r="G39" s="930">
        <f>GETPIVOTDATA("Sum of All Scotland",SIMDVisitsPivot!$B$28,"Year",A39)</f>
        <v>2.8</v>
      </c>
    </row>
    <row r="40" spans="1:7" x14ac:dyDescent="0.25">
      <c r="A40" s="317" t="s">
        <v>760</v>
      </c>
      <c r="B40" s="571">
        <f>GETPIVOTDATA("Sum of 1 - Most Deprived 20%",SIMDVisitsPivot!$B$28,"Year",A40)</f>
        <v>3.7</v>
      </c>
      <c r="C40" s="571">
        <f>GETPIVOTDATA("Sum of 2",SIMDVisitsPivot!$B$28,"Year",A40)</f>
        <v>3.1</v>
      </c>
      <c r="D40" s="571">
        <f>GETPIVOTDATA("Sum of 3",SIMDVisitsPivot!$B$28,"Year",A40)</f>
        <v>2.6</v>
      </c>
      <c r="E40" s="571">
        <f>GETPIVOTDATA("Sum of 4",SIMDVisitsPivot!$B$28,"Year",A40)</f>
        <v>2.2999999999999998</v>
      </c>
      <c r="F40" s="571">
        <f>GETPIVOTDATA("Sum of 5 - Least Deprived 20%",SIMDVisitsPivot!$B$28,"Year",A40)</f>
        <v>1.9</v>
      </c>
      <c r="G40" s="930">
        <f>GETPIVOTDATA("Sum of All Scotland",SIMDVisitsPivot!$B$28,"Year",A40)</f>
        <v>2.7</v>
      </c>
    </row>
    <row r="41" spans="1:7" x14ac:dyDescent="0.25">
      <c r="A41" s="317" t="s">
        <v>917</v>
      </c>
      <c r="B41" s="571">
        <f>GETPIVOTDATA("Sum of 1 - Most Deprived 20%",SIMDVisitsPivot!$B$28,"Year",A41)</f>
        <v>1</v>
      </c>
      <c r="C41" s="571">
        <f>GETPIVOTDATA("Sum of 2",SIMDVisitsPivot!$B$28,"Year",A41)</f>
        <v>0.9</v>
      </c>
      <c r="D41" s="571">
        <f>GETPIVOTDATA("Sum of 3",SIMDVisitsPivot!$B$28,"Year",A41)</f>
        <v>0.7</v>
      </c>
      <c r="E41" s="571">
        <f>GETPIVOTDATA("Sum of 4",SIMDVisitsPivot!$B$28,"Year",A41)</f>
        <v>0.6</v>
      </c>
      <c r="F41" s="571">
        <f>GETPIVOTDATA("Sum of 5 - Least Deprived 20%",SIMDVisitsPivot!$B$28,"Year",A41)</f>
        <v>0.5</v>
      </c>
      <c r="G41" s="930">
        <f>GETPIVOTDATA("Sum of All Scotland",SIMDVisitsPivot!$B$28,"Year",A41)</f>
        <v>0.8</v>
      </c>
    </row>
    <row r="42" spans="1:7" x14ac:dyDescent="0.25">
      <c r="A42" s="317" t="s">
        <v>1010</v>
      </c>
      <c r="B42" s="571">
        <f>GETPIVOTDATA("Sum of 1 - Most Deprived 20%",SIMDVisitsPivot!$B$28,"Year",A42)</f>
        <v>2</v>
      </c>
      <c r="C42" s="571">
        <f>GETPIVOTDATA("Sum of 2",SIMDVisitsPivot!$B$28,"Year",A42)</f>
        <v>2</v>
      </c>
      <c r="D42" s="571">
        <f>GETPIVOTDATA("Sum of 3",SIMDVisitsPivot!$B$28,"Year",A42)</f>
        <v>1.7</v>
      </c>
      <c r="E42" s="571">
        <f>GETPIVOTDATA("Sum of 4",SIMDVisitsPivot!$B$28,"Year",A42)</f>
        <v>1.5</v>
      </c>
      <c r="F42" s="571">
        <f>GETPIVOTDATA("Sum of 5 - Least Deprived 20%",SIMDVisitsPivot!$B$28,"Year",A42)</f>
        <v>1.3</v>
      </c>
      <c r="G42" s="930">
        <f>GETPIVOTDATA("Sum of All Scotland",SIMDVisitsPivot!$B$28,"Year",A42)</f>
        <v>1.7</v>
      </c>
    </row>
    <row r="43" spans="1:7" x14ac:dyDescent="0.25">
      <c r="A43" s="317" t="s">
        <v>1061</v>
      </c>
      <c r="B43" s="571">
        <f>GETPIVOTDATA("Sum of 1 - Most Deprived 20%",SIMDVisitsPivot!$B$28,"Year",A43)</f>
        <v>1.9</v>
      </c>
      <c r="C43" s="571">
        <f>GETPIVOTDATA("Sum of 2",SIMDVisitsPivot!$B$28,"Year",A43)</f>
        <v>1.8</v>
      </c>
      <c r="D43" s="571">
        <f>GETPIVOTDATA("Sum of 3",SIMDVisitsPivot!$B$28,"Year",A43)</f>
        <v>1.4</v>
      </c>
      <c r="E43" s="571">
        <f>GETPIVOTDATA("Sum of 4",SIMDVisitsPivot!$B$28,"Year",A43)</f>
        <v>1.2</v>
      </c>
      <c r="F43" s="571">
        <f>GETPIVOTDATA("Sum of 5 - Least Deprived 20%",SIMDVisitsPivot!$B$28,"Year",A43)</f>
        <v>1</v>
      </c>
      <c r="G43" s="930">
        <f>GETPIVOTDATA("Sum of All Scotland",SIMDVisitsPivot!$B$28,"Year",A43)</f>
        <v>1.5</v>
      </c>
    </row>
    <row r="44" spans="1:7" ht="15.75" thickBot="1" x14ac:dyDescent="0.3">
      <c r="A44" s="533" t="s">
        <v>1108</v>
      </c>
      <c r="B44" s="929">
        <f>GETPIVOTDATA("Sum of 1 - Most Deprived 20%",SIMDVisitsPivot!$B$28,"Year",A44)</f>
        <v>1.8</v>
      </c>
      <c r="C44" s="929">
        <f>GETPIVOTDATA("Sum of 2",SIMDVisitsPivot!$B$28,"Year",A44)</f>
        <v>1.8</v>
      </c>
      <c r="D44" s="929">
        <f>GETPIVOTDATA("Sum of 3",SIMDVisitsPivot!$B$28,"Year",A44)</f>
        <v>1.3</v>
      </c>
      <c r="E44" s="929">
        <f>GETPIVOTDATA("Sum of 4",SIMDVisitsPivot!$B$28,"Year",A44)</f>
        <v>1.1000000000000001</v>
      </c>
      <c r="F44" s="929">
        <f>GETPIVOTDATA("Sum of 5 - Least Deprived 20%",SIMDVisitsPivot!$B$28,"Year",A44)</f>
        <v>1</v>
      </c>
      <c r="G44" s="931">
        <f>GETPIVOTDATA("Sum of All Scotland",SIMDVisitsPivot!$B$28,"Year",A44)</f>
        <v>1.4</v>
      </c>
    </row>
    <row r="45" spans="1:7" x14ac:dyDescent="0.25">
      <c r="A45" s="317"/>
    </row>
    <row r="46" spans="1:7" x14ac:dyDescent="0.25">
      <c r="A46" s="317" t="s">
        <v>8</v>
      </c>
    </row>
    <row r="47" spans="1:7" x14ac:dyDescent="0.25">
      <c r="A47" t="s">
        <v>750</v>
      </c>
    </row>
    <row r="48" spans="1:7" x14ac:dyDescent="0.25">
      <c r="A48" s="574" t="s">
        <v>747</v>
      </c>
    </row>
    <row r="49" spans="1:1" x14ac:dyDescent="0.25">
      <c r="A49" s="507" t="s">
        <v>751</v>
      </c>
    </row>
  </sheetData>
  <sheetProtection algorithmName="SHA-512" hashValue="x1BXWETW9hnrgb3dOnoW9nTgyp8XGhsgjhHoCZdTEN56SOn30H8UxaptlthCNhc3H2jOPLV7pH6/MfgViSk1Wg==" saltValue="00gAD+RIcrWrJW4jnukhwQ==" spinCount="100000" sheet="1" scenarios="1" formatCells="0" sort="0" autoFilter="0" pivotTables="0"/>
  <hyperlinks>
    <hyperlink ref="A2" location="'Table of Contents'!A1" display="Back to Table of Contents" xr:uid="{00000000-0004-0000-8600-000000000000}"/>
    <hyperlink ref="A24" r:id="rId1" xr:uid="{00000000-0004-0000-8600-000001000000}"/>
    <hyperlink ref="A48" r:id="rId2" xr:uid="{00000000-0004-0000-8600-000002000000}"/>
    <hyperlink ref="A49" r:id="rId3" xr:uid="{00000000-0004-0000-8600-000003000000}"/>
  </hyperlinks>
  <pageMargins left="0.7" right="0.7" top="0.75" bottom="0.75"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A00BF-B0A5-4F92-88B1-3F0F864024EE}">
  <sheetPr>
    <tabColor theme="4" tint="0.59999389629810485"/>
  </sheetPr>
  <dimension ref="C4:AH38"/>
  <sheetViews>
    <sheetView topLeftCell="A7" workbookViewId="0">
      <selection activeCell="E21" sqref="E21"/>
    </sheetView>
  </sheetViews>
  <sheetFormatPr defaultRowHeight="15" x14ac:dyDescent="0.25"/>
  <cols>
    <col min="3" max="3" width="12.42578125" bestFit="1" customWidth="1"/>
    <col min="4" max="4" width="24.140625" bestFit="1" customWidth="1"/>
    <col min="5" max="5" width="36.85546875" bestFit="1" customWidth="1"/>
    <col min="6" max="6" width="4.140625" bestFit="1" customWidth="1"/>
    <col min="7" max="7" width="5.140625" bestFit="1" customWidth="1"/>
    <col min="8" max="8" width="7.42578125" bestFit="1" customWidth="1"/>
    <col min="9" max="9" width="12.42578125" bestFit="1" customWidth="1"/>
    <col min="10" max="10" width="13.42578125" bestFit="1" customWidth="1"/>
    <col min="11" max="11" width="8.85546875" bestFit="1" customWidth="1"/>
    <col min="12" max="12" width="7.5703125" bestFit="1" customWidth="1"/>
    <col min="13" max="13" width="7.42578125" bestFit="1" customWidth="1"/>
    <col min="14" max="14" width="5.42578125" bestFit="1" customWidth="1"/>
    <col min="15" max="15" width="5.140625" bestFit="1" customWidth="1"/>
    <col min="16" max="16" width="11.85546875" bestFit="1" customWidth="1"/>
    <col min="17" max="17" width="8.5703125" bestFit="1" customWidth="1"/>
    <col min="18" max="18" width="11.42578125" bestFit="1" customWidth="1"/>
    <col min="19" max="19" width="21.140625" bestFit="1" customWidth="1"/>
    <col min="20" max="20" width="4.42578125" bestFit="1" customWidth="1"/>
    <col min="21" max="21" width="5.42578125" bestFit="1" customWidth="1"/>
    <col min="22" max="22" width="4.28515625" bestFit="1" customWidth="1"/>
    <col min="23" max="23" width="4.42578125" bestFit="1" customWidth="1"/>
    <col min="24" max="24" width="3.85546875" bestFit="1" customWidth="1"/>
    <col min="25" max="25" width="4.140625" bestFit="1" customWidth="1"/>
    <col min="26" max="26" width="3.85546875" bestFit="1" customWidth="1"/>
    <col min="27" max="27" width="5.28515625" bestFit="1" customWidth="1"/>
    <col min="28" max="28" width="24.140625" bestFit="1" customWidth="1"/>
    <col min="29" max="29" width="15.42578125" bestFit="1" customWidth="1"/>
    <col min="30" max="30" width="12.7109375" bestFit="1" customWidth="1"/>
    <col min="31" max="31" width="11.5703125" bestFit="1" customWidth="1"/>
    <col min="32" max="32" width="6.85546875" bestFit="1" customWidth="1"/>
    <col min="33" max="33" width="18.42578125" bestFit="1" customWidth="1"/>
    <col min="34" max="34" width="10.7109375" bestFit="1" customWidth="1"/>
  </cols>
  <sheetData>
    <row r="4" spans="3:34" x14ac:dyDescent="0.25">
      <c r="C4" s="394" t="s">
        <v>1082</v>
      </c>
      <c r="D4" s="394" t="s">
        <v>255</v>
      </c>
    </row>
    <row r="5" spans="3:34" x14ac:dyDescent="0.25">
      <c r="D5" t="s">
        <v>1085</v>
      </c>
      <c r="J5" t="s">
        <v>1087</v>
      </c>
      <c r="K5" t="s">
        <v>1086</v>
      </c>
      <c r="P5" t="s">
        <v>1088</v>
      </c>
      <c r="Q5" t="s">
        <v>298</v>
      </c>
      <c r="R5" t="s">
        <v>1089</v>
      </c>
      <c r="S5" t="s">
        <v>1093</v>
      </c>
      <c r="AB5" t="s">
        <v>1098</v>
      </c>
      <c r="AC5" t="s">
        <v>1097</v>
      </c>
      <c r="AG5" t="s">
        <v>1099</v>
      </c>
      <c r="AH5" t="s">
        <v>236</v>
      </c>
    </row>
    <row r="6" spans="3:34" x14ac:dyDescent="0.25">
      <c r="C6" s="394" t="s">
        <v>231</v>
      </c>
      <c r="D6" t="s">
        <v>1066</v>
      </c>
      <c r="E6" t="s">
        <v>1068</v>
      </c>
      <c r="F6" t="s">
        <v>1071</v>
      </c>
      <c r="G6" t="s">
        <v>1074</v>
      </c>
      <c r="H6" t="s">
        <v>807</v>
      </c>
      <c r="I6" t="s">
        <v>1094</v>
      </c>
      <c r="K6" t="s">
        <v>1075</v>
      </c>
      <c r="L6" t="s">
        <v>1081</v>
      </c>
      <c r="M6" t="s">
        <v>795</v>
      </c>
      <c r="N6" t="s">
        <v>1095</v>
      </c>
      <c r="O6" t="s">
        <v>1096</v>
      </c>
      <c r="Q6" t="s">
        <v>1092</v>
      </c>
      <c r="S6" t="s">
        <v>1064</v>
      </c>
      <c r="T6" t="s">
        <v>1065</v>
      </c>
      <c r="U6" t="s">
        <v>1067</v>
      </c>
      <c r="V6" t="s">
        <v>1069</v>
      </c>
      <c r="W6" t="s">
        <v>1070</v>
      </c>
      <c r="X6" t="s">
        <v>1072</v>
      </c>
      <c r="Y6" t="s">
        <v>1076</v>
      </c>
      <c r="Z6" t="s">
        <v>1077</v>
      </c>
      <c r="AA6" t="s">
        <v>1080</v>
      </c>
      <c r="AC6" t="s">
        <v>1073</v>
      </c>
      <c r="AD6" t="s">
        <v>1078</v>
      </c>
      <c r="AE6" t="s">
        <v>1079</v>
      </c>
      <c r="AF6" t="s">
        <v>1104</v>
      </c>
    </row>
    <row r="7" spans="3:34" x14ac:dyDescent="0.25">
      <c r="C7" s="395" t="s">
        <v>1010</v>
      </c>
      <c r="D7">
        <v>5</v>
      </c>
      <c r="E7">
        <v>25</v>
      </c>
      <c r="F7">
        <v>7</v>
      </c>
      <c r="G7">
        <v>4</v>
      </c>
      <c r="H7">
        <v>7</v>
      </c>
      <c r="J7">
        <v>48</v>
      </c>
      <c r="K7">
        <v>34</v>
      </c>
      <c r="L7">
        <v>5</v>
      </c>
      <c r="M7">
        <v>18</v>
      </c>
      <c r="P7">
        <v>57</v>
      </c>
      <c r="S7">
        <v>8</v>
      </c>
      <c r="T7">
        <v>4</v>
      </c>
      <c r="U7">
        <v>83</v>
      </c>
      <c r="V7">
        <v>1</v>
      </c>
      <c r="W7">
        <v>4</v>
      </c>
      <c r="X7">
        <v>8</v>
      </c>
      <c r="Y7">
        <v>4</v>
      </c>
      <c r="Z7">
        <v>20</v>
      </c>
      <c r="AA7">
        <v>7</v>
      </c>
      <c r="AB7">
        <v>139</v>
      </c>
      <c r="AC7">
        <v>237</v>
      </c>
      <c r="AD7">
        <v>6</v>
      </c>
      <c r="AE7">
        <v>102</v>
      </c>
      <c r="AF7">
        <v>1</v>
      </c>
      <c r="AG7">
        <v>346</v>
      </c>
      <c r="AH7">
        <v>590</v>
      </c>
    </row>
    <row r="8" spans="3:34" x14ac:dyDescent="0.25">
      <c r="C8" s="395" t="s">
        <v>760</v>
      </c>
      <c r="D8">
        <v>5</v>
      </c>
      <c r="E8">
        <v>25</v>
      </c>
      <c r="F8">
        <v>8</v>
      </c>
      <c r="G8">
        <v>3</v>
      </c>
      <c r="H8">
        <v>7</v>
      </c>
      <c r="I8">
        <v>17</v>
      </c>
      <c r="J8">
        <v>65</v>
      </c>
      <c r="K8">
        <v>35</v>
      </c>
      <c r="L8">
        <v>5</v>
      </c>
      <c r="M8">
        <v>19</v>
      </c>
      <c r="N8">
        <v>6</v>
      </c>
      <c r="O8">
        <v>21</v>
      </c>
      <c r="P8">
        <v>86</v>
      </c>
      <c r="Q8">
        <v>4</v>
      </c>
      <c r="R8">
        <v>4</v>
      </c>
      <c r="S8">
        <v>8</v>
      </c>
      <c r="T8">
        <v>4</v>
      </c>
      <c r="U8">
        <v>78</v>
      </c>
      <c r="V8">
        <v>1</v>
      </c>
      <c r="W8">
        <v>4</v>
      </c>
      <c r="X8">
        <v>5</v>
      </c>
      <c r="Y8">
        <v>3</v>
      </c>
      <c r="Z8">
        <v>20</v>
      </c>
      <c r="AA8">
        <v>10</v>
      </c>
      <c r="AB8">
        <v>133</v>
      </c>
      <c r="AC8">
        <v>238</v>
      </c>
      <c r="AD8">
        <v>6</v>
      </c>
      <c r="AE8">
        <v>101</v>
      </c>
      <c r="AG8">
        <v>345</v>
      </c>
      <c r="AH8">
        <v>633</v>
      </c>
    </row>
    <row r="9" spans="3:34" x14ac:dyDescent="0.25">
      <c r="C9" s="395" t="s">
        <v>917</v>
      </c>
      <c r="D9">
        <v>5</v>
      </c>
      <c r="E9">
        <v>25</v>
      </c>
      <c r="F9">
        <v>8</v>
      </c>
      <c r="G9">
        <v>3</v>
      </c>
      <c r="H9">
        <v>7</v>
      </c>
      <c r="I9">
        <v>17</v>
      </c>
      <c r="J9">
        <v>65</v>
      </c>
      <c r="K9">
        <v>35</v>
      </c>
      <c r="L9">
        <v>5</v>
      </c>
      <c r="M9">
        <v>19</v>
      </c>
      <c r="N9">
        <v>6</v>
      </c>
      <c r="O9">
        <v>21</v>
      </c>
      <c r="P9">
        <v>86</v>
      </c>
      <c r="Q9">
        <v>4</v>
      </c>
      <c r="R9">
        <v>4</v>
      </c>
      <c r="S9">
        <v>8</v>
      </c>
      <c r="T9">
        <v>4</v>
      </c>
      <c r="U9">
        <v>78</v>
      </c>
      <c r="V9">
        <v>1</v>
      </c>
      <c r="W9">
        <v>4</v>
      </c>
      <c r="X9">
        <v>5</v>
      </c>
      <c r="Y9">
        <v>3</v>
      </c>
      <c r="Z9">
        <v>20</v>
      </c>
      <c r="AA9">
        <v>10</v>
      </c>
      <c r="AB9">
        <v>133</v>
      </c>
      <c r="AC9">
        <v>238</v>
      </c>
      <c r="AD9">
        <v>6</v>
      </c>
      <c r="AE9">
        <v>101</v>
      </c>
      <c r="AG9">
        <v>345</v>
      </c>
      <c r="AH9">
        <v>633</v>
      </c>
    </row>
    <row r="10" spans="3:34" x14ac:dyDescent="0.25">
      <c r="C10" s="395" t="s">
        <v>1061</v>
      </c>
      <c r="D10">
        <v>5</v>
      </c>
      <c r="E10">
        <v>25</v>
      </c>
      <c r="F10">
        <v>7</v>
      </c>
      <c r="G10">
        <v>4</v>
      </c>
      <c r="H10">
        <v>8</v>
      </c>
      <c r="J10">
        <v>49</v>
      </c>
      <c r="K10">
        <v>33</v>
      </c>
      <c r="L10">
        <v>5</v>
      </c>
      <c r="M10">
        <v>18</v>
      </c>
      <c r="P10">
        <v>56</v>
      </c>
      <c r="S10">
        <v>8</v>
      </c>
      <c r="T10">
        <v>4</v>
      </c>
      <c r="U10">
        <v>91</v>
      </c>
      <c r="V10">
        <v>1</v>
      </c>
      <c r="W10">
        <v>4</v>
      </c>
      <c r="X10">
        <v>7</v>
      </c>
      <c r="Y10">
        <v>3</v>
      </c>
      <c r="Z10">
        <v>20</v>
      </c>
      <c r="AA10">
        <v>6</v>
      </c>
      <c r="AB10">
        <v>144</v>
      </c>
      <c r="AC10">
        <v>238</v>
      </c>
      <c r="AD10">
        <v>6</v>
      </c>
      <c r="AE10">
        <v>101</v>
      </c>
      <c r="AG10">
        <v>345</v>
      </c>
      <c r="AH10">
        <v>594</v>
      </c>
    </row>
    <row r="11" spans="3:34" x14ac:dyDescent="0.25">
      <c r="C11" s="395" t="s">
        <v>1108</v>
      </c>
      <c r="D11">
        <v>5</v>
      </c>
      <c r="E11">
        <v>16</v>
      </c>
      <c r="F11">
        <v>5</v>
      </c>
      <c r="G11">
        <v>4</v>
      </c>
      <c r="H11">
        <v>7</v>
      </c>
      <c r="J11">
        <v>37</v>
      </c>
      <c r="K11">
        <v>34</v>
      </c>
      <c r="L11">
        <v>5</v>
      </c>
      <c r="M11">
        <v>18</v>
      </c>
      <c r="P11">
        <v>57</v>
      </c>
      <c r="S11">
        <v>8</v>
      </c>
      <c r="T11">
        <v>4</v>
      </c>
      <c r="U11">
        <v>91</v>
      </c>
      <c r="V11">
        <v>1</v>
      </c>
      <c r="W11">
        <v>4</v>
      </c>
      <c r="X11">
        <v>7</v>
      </c>
      <c r="Y11">
        <v>4</v>
      </c>
      <c r="Z11">
        <v>20</v>
      </c>
      <c r="AA11">
        <v>7</v>
      </c>
      <c r="AB11">
        <v>146</v>
      </c>
      <c r="AC11">
        <v>245</v>
      </c>
      <c r="AD11">
        <v>6</v>
      </c>
      <c r="AE11">
        <v>94</v>
      </c>
      <c r="AG11">
        <v>345</v>
      </c>
      <c r="AH11">
        <v>585</v>
      </c>
    </row>
    <row r="12" spans="3:34" x14ac:dyDescent="0.25">
      <c r="C12" s="395" t="s">
        <v>236</v>
      </c>
      <c r="D12">
        <v>25</v>
      </c>
      <c r="E12">
        <v>116</v>
      </c>
      <c r="F12">
        <v>35</v>
      </c>
      <c r="G12">
        <v>18</v>
      </c>
      <c r="H12">
        <v>36</v>
      </c>
      <c r="I12">
        <v>34</v>
      </c>
      <c r="J12">
        <v>264</v>
      </c>
      <c r="K12">
        <v>171</v>
      </c>
      <c r="L12">
        <v>25</v>
      </c>
      <c r="M12">
        <v>92</v>
      </c>
      <c r="N12">
        <v>12</v>
      </c>
      <c r="O12">
        <v>42</v>
      </c>
      <c r="P12">
        <v>342</v>
      </c>
      <c r="Q12">
        <v>8</v>
      </c>
      <c r="R12">
        <v>8</v>
      </c>
      <c r="S12">
        <v>40</v>
      </c>
      <c r="T12">
        <v>20</v>
      </c>
      <c r="U12">
        <v>421</v>
      </c>
      <c r="V12">
        <v>5</v>
      </c>
      <c r="W12">
        <v>20</v>
      </c>
      <c r="X12">
        <v>32</v>
      </c>
      <c r="Y12">
        <v>17</v>
      </c>
      <c r="Z12">
        <v>100</v>
      </c>
      <c r="AA12">
        <v>40</v>
      </c>
      <c r="AB12">
        <v>695</v>
      </c>
      <c r="AC12">
        <v>1196</v>
      </c>
      <c r="AD12">
        <v>30</v>
      </c>
      <c r="AE12">
        <v>499</v>
      </c>
      <c r="AF12">
        <v>1</v>
      </c>
      <c r="AG12">
        <v>1726</v>
      </c>
      <c r="AH12">
        <v>3035</v>
      </c>
    </row>
    <row r="17" spans="4:5" x14ac:dyDescent="0.25">
      <c r="D17" s="394" t="s">
        <v>231</v>
      </c>
      <c r="E17" t="s">
        <v>1091</v>
      </c>
    </row>
    <row r="18" spans="4:5" x14ac:dyDescent="0.25">
      <c r="D18" s="395" t="s">
        <v>1010</v>
      </c>
      <c r="E18">
        <v>192</v>
      </c>
    </row>
    <row r="19" spans="4:5" x14ac:dyDescent="0.25">
      <c r="D19" s="396" t="s">
        <v>1084</v>
      </c>
      <c r="E19">
        <v>101</v>
      </c>
    </row>
    <row r="20" spans="4:5" x14ac:dyDescent="0.25">
      <c r="D20" s="396" t="s">
        <v>1085</v>
      </c>
      <c r="E20">
        <v>36</v>
      </c>
    </row>
    <row r="21" spans="4:5" x14ac:dyDescent="0.25">
      <c r="D21" s="396" t="s">
        <v>1086</v>
      </c>
      <c r="E21">
        <v>55</v>
      </c>
    </row>
    <row r="22" spans="4:5" x14ac:dyDescent="0.25">
      <c r="D22" s="395" t="s">
        <v>760</v>
      </c>
      <c r="E22">
        <v>186</v>
      </c>
    </row>
    <row r="23" spans="4:5" x14ac:dyDescent="0.25">
      <c r="D23" s="396" t="s">
        <v>1084</v>
      </c>
      <c r="E23">
        <v>95</v>
      </c>
    </row>
    <row r="24" spans="4:5" x14ac:dyDescent="0.25">
      <c r="D24" s="396" t="s">
        <v>1085</v>
      </c>
      <c r="E24">
        <v>37</v>
      </c>
    </row>
    <row r="25" spans="4:5" x14ac:dyDescent="0.25">
      <c r="D25" s="396" t="s">
        <v>1086</v>
      </c>
      <c r="E25">
        <v>54</v>
      </c>
    </row>
    <row r="26" spans="4:5" x14ac:dyDescent="0.25">
      <c r="D26" s="395" t="s">
        <v>917</v>
      </c>
      <c r="E26">
        <v>186</v>
      </c>
    </row>
    <row r="27" spans="4:5" x14ac:dyDescent="0.25">
      <c r="D27" s="396" t="s">
        <v>1084</v>
      </c>
      <c r="E27">
        <v>95</v>
      </c>
    </row>
    <row r="28" spans="4:5" x14ac:dyDescent="0.25">
      <c r="D28" s="396" t="s">
        <v>1085</v>
      </c>
      <c r="E28">
        <v>37</v>
      </c>
    </row>
    <row r="29" spans="4:5" x14ac:dyDescent="0.25">
      <c r="D29" s="396" t="s">
        <v>1086</v>
      </c>
      <c r="E29">
        <v>54</v>
      </c>
    </row>
    <row r="30" spans="4:5" x14ac:dyDescent="0.25">
      <c r="D30" s="395" t="s">
        <v>1061</v>
      </c>
      <c r="E30">
        <v>194</v>
      </c>
    </row>
    <row r="31" spans="4:5" x14ac:dyDescent="0.25">
      <c r="D31" s="396" t="s">
        <v>1084</v>
      </c>
      <c r="E31">
        <v>104</v>
      </c>
    </row>
    <row r="32" spans="4:5" x14ac:dyDescent="0.25">
      <c r="D32" s="396" t="s">
        <v>1085</v>
      </c>
      <c r="E32">
        <v>35</v>
      </c>
    </row>
    <row r="33" spans="4:5" x14ac:dyDescent="0.25">
      <c r="D33" s="396" t="s">
        <v>1086</v>
      </c>
      <c r="E33">
        <v>55</v>
      </c>
    </row>
    <row r="34" spans="4:5" x14ac:dyDescent="0.25">
      <c r="D34" s="395" t="s">
        <v>1108</v>
      </c>
      <c r="E34">
        <v>187</v>
      </c>
    </row>
    <row r="35" spans="4:5" x14ac:dyDescent="0.25">
      <c r="D35" s="396" t="s">
        <v>1084</v>
      </c>
      <c r="E35">
        <v>105</v>
      </c>
    </row>
    <row r="36" spans="4:5" x14ac:dyDescent="0.25">
      <c r="D36" s="396" t="s">
        <v>1085</v>
      </c>
      <c r="E36">
        <v>26</v>
      </c>
    </row>
    <row r="37" spans="4:5" x14ac:dyDescent="0.25">
      <c r="D37" s="396" t="s">
        <v>1086</v>
      </c>
      <c r="E37">
        <v>56</v>
      </c>
    </row>
    <row r="38" spans="4:5" x14ac:dyDescent="0.25">
      <c r="D38" s="395" t="s">
        <v>236</v>
      </c>
      <c r="E38">
        <v>945</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438D3-832A-488F-BD5A-95C03A34F00B}">
  <sheetPr>
    <tabColor theme="7" tint="-0.249977111117893"/>
  </sheetPr>
  <dimension ref="B4:H36"/>
  <sheetViews>
    <sheetView topLeftCell="A16" workbookViewId="0">
      <selection activeCell="C27" sqref="C27"/>
    </sheetView>
  </sheetViews>
  <sheetFormatPr defaultRowHeight="15" x14ac:dyDescent="0.25"/>
  <cols>
    <col min="2" max="2" width="12.42578125" bestFit="1" customWidth="1"/>
    <col min="3" max="3" width="26.28515625" bestFit="1" customWidth="1"/>
    <col min="4" max="6" width="8.140625" bestFit="1" customWidth="1"/>
    <col min="7" max="7" width="26.28515625" bestFit="1" customWidth="1"/>
    <col min="8" max="8" width="17" bestFit="1" customWidth="1"/>
  </cols>
  <sheetData>
    <row r="4" spans="2:8" x14ac:dyDescent="0.25">
      <c r="B4" s="394" t="s">
        <v>231</v>
      </c>
      <c r="C4" t="s">
        <v>1191</v>
      </c>
      <c r="D4" t="s">
        <v>1192</v>
      </c>
      <c r="E4" t="s">
        <v>1193</v>
      </c>
      <c r="F4" t="s">
        <v>1194</v>
      </c>
      <c r="G4" t="s">
        <v>1195</v>
      </c>
      <c r="H4" t="s">
        <v>1196</v>
      </c>
    </row>
    <row r="5" spans="2:8" x14ac:dyDescent="0.25">
      <c r="B5" s="395" t="s">
        <v>191</v>
      </c>
      <c r="C5">
        <v>5909</v>
      </c>
      <c r="D5">
        <v>6233</v>
      </c>
      <c r="E5">
        <v>5321</v>
      </c>
      <c r="F5">
        <v>4898</v>
      </c>
      <c r="G5">
        <v>4568</v>
      </c>
      <c r="H5">
        <v>26929</v>
      </c>
    </row>
    <row r="6" spans="2:8" x14ac:dyDescent="0.25">
      <c r="B6" s="395" t="s">
        <v>190</v>
      </c>
      <c r="C6">
        <v>5967</v>
      </c>
      <c r="D6">
        <v>6495</v>
      </c>
      <c r="E6">
        <v>5828</v>
      </c>
      <c r="F6">
        <v>5327</v>
      </c>
      <c r="G6">
        <v>4664</v>
      </c>
      <c r="H6">
        <v>28281</v>
      </c>
    </row>
    <row r="7" spans="2:8" x14ac:dyDescent="0.25">
      <c r="B7" s="395" t="s">
        <v>257</v>
      </c>
      <c r="C7">
        <v>5798</v>
      </c>
      <c r="D7">
        <v>6551</v>
      </c>
      <c r="E7">
        <v>5947</v>
      </c>
      <c r="F7">
        <v>5619</v>
      </c>
      <c r="G7">
        <v>5063</v>
      </c>
      <c r="H7">
        <v>28978</v>
      </c>
    </row>
    <row r="8" spans="2:8" x14ac:dyDescent="0.25">
      <c r="B8" s="395" t="s">
        <v>240</v>
      </c>
      <c r="C8">
        <v>5574</v>
      </c>
      <c r="D8">
        <v>6271</v>
      </c>
      <c r="E8">
        <v>5690</v>
      </c>
      <c r="F8">
        <v>5360</v>
      </c>
      <c r="G8">
        <v>4821</v>
      </c>
      <c r="H8">
        <v>27716</v>
      </c>
    </row>
    <row r="9" spans="2:8" x14ac:dyDescent="0.25">
      <c r="B9" s="395" t="s">
        <v>239</v>
      </c>
      <c r="C9">
        <v>5160</v>
      </c>
      <c r="D9">
        <v>5587</v>
      </c>
      <c r="E9">
        <v>5019</v>
      </c>
      <c r="F9">
        <v>4481</v>
      </c>
      <c r="G9">
        <v>4189</v>
      </c>
      <c r="H9">
        <v>24436</v>
      </c>
    </row>
    <row r="10" spans="2:8" x14ac:dyDescent="0.25">
      <c r="B10" s="395" t="s">
        <v>760</v>
      </c>
      <c r="C10">
        <v>4664</v>
      </c>
      <c r="D10">
        <v>5068</v>
      </c>
      <c r="E10">
        <v>4517</v>
      </c>
      <c r="F10">
        <v>4207</v>
      </c>
      <c r="G10">
        <v>3805</v>
      </c>
      <c r="H10">
        <v>22261</v>
      </c>
    </row>
    <row r="11" spans="2:8" x14ac:dyDescent="0.25">
      <c r="B11" s="395" t="s">
        <v>917</v>
      </c>
      <c r="C11">
        <v>1688</v>
      </c>
      <c r="D11">
        <v>1696</v>
      </c>
      <c r="E11">
        <v>1487</v>
      </c>
      <c r="F11">
        <v>1482</v>
      </c>
      <c r="G11">
        <v>1317</v>
      </c>
      <c r="H11">
        <v>7670</v>
      </c>
    </row>
    <row r="12" spans="2:8" x14ac:dyDescent="0.25">
      <c r="B12" s="395" t="s">
        <v>1010</v>
      </c>
    </row>
    <row r="13" spans="2:8" x14ac:dyDescent="0.25">
      <c r="B13" s="395" t="s">
        <v>1061</v>
      </c>
    </row>
    <row r="14" spans="2:8" x14ac:dyDescent="0.25">
      <c r="B14" s="395" t="s">
        <v>1108</v>
      </c>
      <c r="C14">
        <v>1322</v>
      </c>
      <c r="D14">
        <v>1478</v>
      </c>
      <c r="E14">
        <v>1162</v>
      </c>
      <c r="F14">
        <v>1004</v>
      </c>
      <c r="G14">
        <v>944</v>
      </c>
      <c r="H14">
        <v>5910</v>
      </c>
    </row>
    <row r="15" spans="2:8" x14ac:dyDescent="0.25">
      <c r="B15" s="395" t="s">
        <v>236</v>
      </c>
      <c r="C15">
        <v>36082</v>
      </c>
      <c r="D15">
        <v>39379</v>
      </c>
      <c r="E15">
        <v>34971</v>
      </c>
      <c r="F15">
        <v>32378</v>
      </c>
      <c r="G15">
        <v>29371</v>
      </c>
      <c r="H15">
        <v>172181</v>
      </c>
    </row>
    <row r="25" spans="2:8" x14ac:dyDescent="0.25">
      <c r="B25" s="394" t="s">
        <v>231</v>
      </c>
      <c r="C25" t="s">
        <v>1191</v>
      </c>
      <c r="D25" t="s">
        <v>1192</v>
      </c>
      <c r="E25" t="s">
        <v>1193</v>
      </c>
      <c r="F25" t="s">
        <v>1194</v>
      </c>
      <c r="G25" t="s">
        <v>1195</v>
      </c>
      <c r="H25" t="s">
        <v>1196</v>
      </c>
    </row>
    <row r="26" spans="2:8" x14ac:dyDescent="0.25">
      <c r="B26" s="395" t="s">
        <v>191</v>
      </c>
      <c r="C26">
        <v>1.1000000000000001</v>
      </c>
      <c r="D26">
        <v>1.2</v>
      </c>
      <c r="E26">
        <v>1.1000000000000001</v>
      </c>
      <c r="F26">
        <v>1</v>
      </c>
      <c r="G26">
        <v>1</v>
      </c>
      <c r="H26">
        <v>1.1000000000000001</v>
      </c>
    </row>
    <row r="27" spans="2:8" x14ac:dyDescent="0.25">
      <c r="B27" s="395" t="s">
        <v>190</v>
      </c>
      <c r="C27">
        <v>1.1000000000000001</v>
      </c>
      <c r="D27">
        <v>1.3</v>
      </c>
      <c r="E27">
        <v>1.2</v>
      </c>
      <c r="F27">
        <v>1.1000000000000001</v>
      </c>
      <c r="G27">
        <v>1</v>
      </c>
      <c r="H27">
        <v>1.2</v>
      </c>
    </row>
    <row r="28" spans="2:8" x14ac:dyDescent="0.25">
      <c r="B28" s="395" t="s">
        <v>257</v>
      </c>
      <c r="C28">
        <v>1.1000000000000001</v>
      </c>
      <c r="D28">
        <v>1.3</v>
      </c>
      <c r="E28">
        <v>1.2</v>
      </c>
      <c r="F28">
        <v>1.2</v>
      </c>
      <c r="G28">
        <v>1.1000000000000001</v>
      </c>
      <c r="H28">
        <v>1.2</v>
      </c>
    </row>
    <row r="29" spans="2:8" x14ac:dyDescent="0.25">
      <c r="B29" s="395" t="s">
        <v>240</v>
      </c>
      <c r="C29">
        <v>1</v>
      </c>
      <c r="D29">
        <v>1.2</v>
      </c>
      <c r="E29">
        <v>1.1000000000000001</v>
      </c>
      <c r="F29">
        <v>1.1000000000000001</v>
      </c>
      <c r="G29">
        <v>1</v>
      </c>
      <c r="H29">
        <v>1.1000000000000001</v>
      </c>
    </row>
    <row r="30" spans="2:8" x14ac:dyDescent="0.25">
      <c r="B30" s="395" t="s">
        <v>239</v>
      </c>
      <c r="C30">
        <v>1</v>
      </c>
      <c r="D30">
        <v>1.1000000000000001</v>
      </c>
      <c r="E30">
        <v>1</v>
      </c>
      <c r="F30">
        <v>0.9</v>
      </c>
      <c r="G30">
        <v>0.9</v>
      </c>
      <c r="H30">
        <v>1</v>
      </c>
    </row>
    <row r="31" spans="2:8" x14ac:dyDescent="0.25">
      <c r="B31" s="395" t="s">
        <v>760</v>
      </c>
      <c r="C31">
        <v>0.9</v>
      </c>
      <c r="D31">
        <v>1</v>
      </c>
      <c r="E31">
        <v>0.9</v>
      </c>
      <c r="F31">
        <v>0.8</v>
      </c>
      <c r="G31">
        <v>0.8</v>
      </c>
      <c r="H31">
        <v>0.9</v>
      </c>
    </row>
    <row r="32" spans="2:8" x14ac:dyDescent="0.25">
      <c r="B32" s="395" t="s">
        <v>917</v>
      </c>
      <c r="C32">
        <v>0.3</v>
      </c>
      <c r="D32">
        <v>0.3</v>
      </c>
      <c r="E32">
        <v>0.3</v>
      </c>
      <c r="F32">
        <v>0.3</v>
      </c>
      <c r="G32">
        <v>0.3</v>
      </c>
      <c r="H32">
        <v>0.3</v>
      </c>
    </row>
    <row r="33" spans="2:8" x14ac:dyDescent="0.25">
      <c r="B33" s="395" t="s">
        <v>1010</v>
      </c>
    </row>
    <row r="34" spans="2:8" x14ac:dyDescent="0.25">
      <c r="B34" s="395" t="s">
        <v>1061</v>
      </c>
    </row>
    <row r="35" spans="2:8" x14ac:dyDescent="0.25">
      <c r="B35" s="395" t="s">
        <v>1108</v>
      </c>
      <c r="C35">
        <v>0.24299999999999999</v>
      </c>
      <c r="D35">
        <v>0.28000000000000003</v>
      </c>
      <c r="E35">
        <v>0.222</v>
      </c>
      <c r="F35">
        <v>0.189</v>
      </c>
      <c r="G35">
        <v>0.19700000000000001</v>
      </c>
      <c r="H35">
        <v>1.131</v>
      </c>
    </row>
    <row r="36" spans="2:8" x14ac:dyDescent="0.25">
      <c r="B36" s="395" t="s">
        <v>236</v>
      </c>
      <c r="C36">
        <v>6.7430000000000012</v>
      </c>
      <c r="D36">
        <v>7.68</v>
      </c>
      <c r="E36">
        <v>7.0220000000000002</v>
      </c>
      <c r="F36">
        <v>6.5890000000000004</v>
      </c>
      <c r="G36">
        <v>6.2969999999999997</v>
      </c>
      <c r="H36">
        <v>7.931</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73BF2-420D-4DFD-8E7C-C8A35BB5D453}">
  <sheetPr>
    <tabColor theme="7" tint="-0.249977111117893"/>
  </sheetPr>
  <dimension ref="A1:G31"/>
  <sheetViews>
    <sheetView topLeftCell="A13" workbookViewId="0">
      <selection activeCell="D26" sqref="D26"/>
    </sheetView>
  </sheetViews>
  <sheetFormatPr defaultRowHeight="15" x14ac:dyDescent="0.25"/>
  <cols>
    <col min="1" max="1" width="7.5703125" bestFit="1" customWidth="1"/>
    <col min="2" max="2" width="22.140625" bestFit="1" customWidth="1"/>
    <col min="3" max="3" width="4.85546875" bestFit="1" customWidth="1"/>
    <col min="4" max="5" width="5.85546875" bestFit="1" customWidth="1"/>
    <col min="6" max="6" width="22.140625" bestFit="1" customWidth="1"/>
    <col min="7" max="7" width="12.85546875" bestFit="1" customWidth="1"/>
  </cols>
  <sheetData>
    <row r="1" spans="1:7" x14ac:dyDescent="0.25">
      <c r="A1" t="s">
        <v>1</v>
      </c>
      <c r="B1" t="s">
        <v>366</v>
      </c>
      <c r="C1" t="s">
        <v>924</v>
      </c>
      <c r="D1" t="s">
        <v>925</v>
      </c>
      <c r="E1" t="s">
        <v>926</v>
      </c>
      <c r="F1" t="s">
        <v>367</v>
      </c>
      <c r="G1" t="s">
        <v>414</v>
      </c>
    </row>
    <row r="2" spans="1:7" x14ac:dyDescent="0.25">
      <c r="A2" t="s">
        <v>191</v>
      </c>
      <c r="B2">
        <v>5909</v>
      </c>
      <c r="C2">
        <v>6233</v>
      </c>
      <c r="D2">
        <v>5321</v>
      </c>
      <c r="E2">
        <v>4898</v>
      </c>
      <c r="F2">
        <v>4568</v>
      </c>
      <c r="G2">
        <v>26929</v>
      </c>
    </row>
    <row r="3" spans="1:7" x14ac:dyDescent="0.25">
      <c r="A3" t="s">
        <v>190</v>
      </c>
      <c r="B3">
        <v>5967</v>
      </c>
      <c r="C3">
        <v>6495</v>
      </c>
      <c r="D3">
        <v>5828</v>
      </c>
      <c r="E3">
        <v>5327</v>
      </c>
      <c r="F3">
        <v>4664</v>
      </c>
      <c r="G3">
        <v>28281</v>
      </c>
    </row>
    <row r="4" spans="1:7" x14ac:dyDescent="0.25">
      <c r="A4" t="s">
        <v>257</v>
      </c>
      <c r="B4">
        <v>5798</v>
      </c>
      <c r="C4">
        <v>6551</v>
      </c>
      <c r="D4">
        <v>5947</v>
      </c>
      <c r="E4">
        <v>5619</v>
      </c>
      <c r="F4">
        <v>5063</v>
      </c>
      <c r="G4">
        <v>28978</v>
      </c>
    </row>
    <row r="5" spans="1:7" x14ac:dyDescent="0.25">
      <c r="A5" t="s">
        <v>240</v>
      </c>
      <c r="B5">
        <v>5574</v>
      </c>
      <c r="C5">
        <v>6271</v>
      </c>
      <c r="D5">
        <v>5690</v>
      </c>
      <c r="E5">
        <v>5360</v>
      </c>
      <c r="F5">
        <v>4821</v>
      </c>
      <c r="G5">
        <v>27716</v>
      </c>
    </row>
    <row r="6" spans="1:7" x14ac:dyDescent="0.25">
      <c r="A6" t="s">
        <v>239</v>
      </c>
      <c r="B6">
        <v>5160</v>
      </c>
      <c r="C6">
        <v>5587</v>
      </c>
      <c r="D6">
        <v>5019</v>
      </c>
      <c r="E6">
        <v>4481</v>
      </c>
      <c r="F6">
        <v>4189</v>
      </c>
      <c r="G6">
        <v>24436</v>
      </c>
    </row>
    <row r="7" spans="1:7" x14ac:dyDescent="0.25">
      <c r="A7" t="s">
        <v>760</v>
      </c>
      <c r="B7">
        <v>4664</v>
      </c>
      <c r="C7">
        <v>5068</v>
      </c>
      <c r="D7">
        <v>4517</v>
      </c>
      <c r="E7">
        <v>4207</v>
      </c>
      <c r="F7">
        <v>3805</v>
      </c>
      <c r="G7">
        <v>22261</v>
      </c>
    </row>
    <row r="8" spans="1:7" x14ac:dyDescent="0.25">
      <c r="A8" t="s">
        <v>917</v>
      </c>
      <c r="B8">
        <v>1688</v>
      </c>
      <c r="C8">
        <v>1696</v>
      </c>
      <c r="D8">
        <v>1487</v>
      </c>
      <c r="E8">
        <v>1482</v>
      </c>
      <c r="F8">
        <v>1317</v>
      </c>
      <c r="G8">
        <v>7670</v>
      </c>
    </row>
    <row r="9" spans="1:7" x14ac:dyDescent="0.25">
      <c r="A9" t="s">
        <v>1010</v>
      </c>
    </row>
    <row r="10" spans="1:7" x14ac:dyDescent="0.25">
      <c r="A10" t="s">
        <v>1061</v>
      </c>
    </row>
    <row r="11" spans="1:7" x14ac:dyDescent="0.25">
      <c r="A11" t="s">
        <v>1108</v>
      </c>
      <c r="B11">
        <v>1322</v>
      </c>
      <c r="C11">
        <v>1478</v>
      </c>
      <c r="D11">
        <v>1162</v>
      </c>
      <c r="E11">
        <v>1004</v>
      </c>
      <c r="F11">
        <v>944</v>
      </c>
      <c r="G11">
        <v>5910</v>
      </c>
    </row>
    <row r="21" spans="1:7" x14ac:dyDescent="0.25">
      <c r="A21" t="s">
        <v>1</v>
      </c>
      <c r="B21" t="s">
        <v>366</v>
      </c>
      <c r="C21" t="s">
        <v>924</v>
      </c>
      <c r="D21" t="s">
        <v>925</v>
      </c>
      <c r="E21" t="s">
        <v>926</v>
      </c>
      <c r="F21" t="s">
        <v>367</v>
      </c>
      <c r="G21" t="s">
        <v>414</v>
      </c>
    </row>
    <row r="22" spans="1:7" x14ac:dyDescent="0.25">
      <c r="A22" t="s">
        <v>191</v>
      </c>
      <c r="B22">
        <v>1.1000000000000001</v>
      </c>
      <c r="C22">
        <v>1.2</v>
      </c>
      <c r="D22">
        <v>1.1000000000000001</v>
      </c>
      <c r="E22">
        <v>1</v>
      </c>
      <c r="F22">
        <v>1</v>
      </c>
      <c r="G22">
        <v>1.1000000000000001</v>
      </c>
    </row>
    <row r="23" spans="1:7" x14ac:dyDescent="0.25">
      <c r="A23" t="s">
        <v>190</v>
      </c>
      <c r="B23">
        <v>1.1000000000000001</v>
      </c>
      <c r="C23">
        <v>1.3</v>
      </c>
      <c r="D23">
        <v>1.2</v>
      </c>
      <c r="E23">
        <v>1.1000000000000001</v>
      </c>
      <c r="F23">
        <v>1</v>
      </c>
      <c r="G23">
        <v>1.2</v>
      </c>
    </row>
    <row r="24" spans="1:7" x14ac:dyDescent="0.25">
      <c r="A24" t="s">
        <v>257</v>
      </c>
      <c r="B24">
        <v>1.1000000000000001</v>
      </c>
      <c r="C24">
        <v>1.3</v>
      </c>
      <c r="D24">
        <v>1.2</v>
      </c>
      <c r="E24">
        <v>1.2</v>
      </c>
      <c r="F24">
        <v>1.1000000000000001</v>
      </c>
      <c r="G24">
        <v>1.2</v>
      </c>
    </row>
    <row r="25" spans="1:7" x14ac:dyDescent="0.25">
      <c r="A25" t="s">
        <v>240</v>
      </c>
      <c r="B25">
        <v>1</v>
      </c>
      <c r="C25">
        <v>1.2</v>
      </c>
      <c r="D25">
        <v>1.1000000000000001</v>
      </c>
      <c r="E25">
        <v>1.1000000000000001</v>
      </c>
      <c r="F25">
        <v>1</v>
      </c>
      <c r="G25">
        <v>1.1000000000000001</v>
      </c>
    </row>
    <row r="26" spans="1:7" x14ac:dyDescent="0.25">
      <c r="A26" t="s">
        <v>239</v>
      </c>
      <c r="B26">
        <v>1</v>
      </c>
      <c r="C26">
        <v>1.1000000000000001</v>
      </c>
      <c r="D26">
        <v>1</v>
      </c>
      <c r="E26">
        <v>0.9</v>
      </c>
      <c r="F26">
        <v>0.9</v>
      </c>
      <c r="G26">
        <v>1</v>
      </c>
    </row>
    <row r="27" spans="1:7" x14ac:dyDescent="0.25">
      <c r="A27" t="s">
        <v>760</v>
      </c>
      <c r="B27">
        <v>0.9</v>
      </c>
      <c r="C27">
        <v>1</v>
      </c>
      <c r="D27">
        <v>0.9</v>
      </c>
      <c r="E27">
        <v>0.8</v>
      </c>
      <c r="F27">
        <v>0.8</v>
      </c>
      <c r="G27">
        <v>0.9</v>
      </c>
    </row>
    <row r="28" spans="1:7" x14ac:dyDescent="0.25">
      <c r="A28" t="s">
        <v>917</v>
      </c>
      <c r="B28">
        <v>0.3</v>
      </c>
      <c r="C28">
        <v>0.3</v>
      </c>
      <c r="D28">
        <v>0.3</v>
      </c>
      <c r="E28">
        <v>0.3</v>
      </c>
      <c r="F28">
        <v>0.3</v>
      </c>
      <c r="G28">
        <v>0.3</v>
      </c>
    </row>
    <row r="29" spans="1:7" x14ac:dyDescent="0.25">
      <c r="A29" t="s">
        <v>1010</v>
      </c>
    </row>
    <row r="30" spans="1:7" x14ac:dyDescent="0.25">
      <c r="A30" t="s">
        <v>1061</v>
      </c>
    </row>
    <row r="31" spans="1:7" x14ac:dyDescent="0.25">
      <c r="A31" t="s">
        <v>1108</v>
      </c>
      <c r="B31">
        <v>0.24299999999999999</v>
      </c>
      <c r="C31">
        <v>0.28000000000000003</v>
      </c>
      <c r="D31">
        <v>0.222</v>
      </c>
      <c r="E31">
        <v>0.189</v>
      </c>
      <c r="F31">
        <v>0.19700000000000001</v>
      </c>
      <c r="G31">
        <v>1.131</v>
      </c>
    </row>
  </sheetData>
  <pageMargins left="0.7" right="0.7" top="0.75" bottom="0.75" header="0.3" footer="0.3"/>
  <tableParts count="2">
    <tablePart r:id="rId1"/>
    <tablePart r:id="rId2"/>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7" tint="-0.249977111117893"/>
  </sheetPr>
  <dimension ref="A1:K52"/>
  <sheetViews>
    <sheetView showGridLines="0" workbookViewId="0">
      <pane ySplit="2" topLeftCell="A3" activePane="bottomLeft" state="frozen"/>
      <selection pane="bottomLeft"/>
    </sheetView>
  </sheetViews>
  <sheetFormatPr defaultColWidth="9.28515625" defaultRowHeight="15" x14ac:dyDescent="0.25"/>
  <cols>
    <col min="1" max="1" width="18.5703125" customWidth="1"/>
    <col min="2" max="2" width="25.5703125" customWidth="1"/>
    <col min="3" max="3" width="13.5703125" customWidth="1"/>
    <col min="4" max="4" width="12.5703125" customWidth="1"/>
    <col min="5" max="5" width="13.5703125" customWidth="1"/>
    <col min="6" max="6" width="24.42578125" bestFit="1" customWidth="1"/>
    <col min="7" max="7" width="15.140625" bestFit="1" customWidth="1"/>
    <col min="8" max="8" width="23.85546875" customWidth="1"/>
  </cols>
  <sheetData>
    <row r="1" spans="1:11" ht="15.75" x14ac:dyDescent="0.25">
      <c r="A1" s="522" t="s">
        <v>533</v>
      </c>
      <c r="B1" s="522"/>
      <c r="C1" s="522"/>
    </row>
    <row r="2" spans="1:11" ht="15.75" x14ac:dyDescent="0.25">
      <c r="A2" s="507" t="s">
        <v>511</v>
      </c>
      <c r="B2" s="449"/>
      <c r="C2" s="449"/>
    </row>
    <row r="3" spans="1:11" x14ac:dyDescent="0.25">
      <c r="A3" s="25"/>
      <c r="B3" s="25"/>
      <c r="C3" s="25"/>
      <c r="D3" s="25"/>
      <c r="E3" s="25"/>
      <c r="F3" s="25"/>
      <c r="G3" s="25"/>
      <c r="H3" s="25"/>
      <c r="I3" s="25"/>
      <c r="J3" s="25"/>
      <c r="K3" s="25"/>
    </row>
    <row r="4" spans="1:11" ht="15.75" x14ac:dyDescent="0.25">
      <c r="A4" s="531" t="s">
        <v>1257</v>
      </c>
      <c r="B4" s="531"/>
      <c r="C4" s="531"/>
      <c r="D4" s="531"/>
      <c r="E4" s="531"/>
      <c r="F4" s="531"/>
      <c r="G4" s="531"/>
      <c r="H4" s="531"/>
      <c r="I4" s="531"/>
      <c r="J4" s="531"/>
      <c r="K4" s="531"/>
    </row>
    <row r="5" spans="1:11" ht="15.75" x14ac:dyDescent="0.25">
      <c r="A5" t="s">
        <v>328</v>
      </c>
      <c r="B5" t="s">
        <v>905</v>
      </c>
      <c r="C5" s="508"/>
      <c r="D5" s="508"/>
      <c r="E5" s="508"/>
      <c r="F5" s="508"/>
      <c r="G5" s="508"/>
      <c r="H5" s="508"/>
      <c r="I5" s="508"/>
      <c r="J5" s="508"/>
      <c r="K5" s="508"/>
    </row>
    <row r="6" spans="1:11" ht="15.75" x14ac:dyDescent="0.25">
      <c r="A6" t="s">
        <v>329</v>
      </c>
      <c r="B6" t="s">
        <v>331</v>
      </c>
      <c r="C6" s="508"/>
      <c r="D6" s="508"/>
      <c r="E6" s="508"/>
      <c r="F6" s="508"/>
      <c r="G6" s="508"/>
      <c r="H6" s="508"/>
      <c r="I6" s="508"/>
      <c r="J6" s="508"/>
      <c r="K6" s="508"/>
    </row>
    <row r="7" spans="1:11" ht="15.75" x14ac:dyDescent="0.25">
      <c r="A7" t="s">
        <v>330</v>
      </c>
      <c r="B7" t="s">
        <v>748</v>
      </c>
      <c r="C7" s="508"/>
      <c r="D7" s="508"/>
      <c r="E7" s="508"/>
      <c r="F7" s="508"/>
      <c r="G7" s="508"/>
      <c r="H7" s="508"/>
      <c r="I7" s="508"/>
      <c r="J7" s="508"/>
      <c r="K7" s="508"/>
    </row>
    <row r="9" spans="1:11" x14ac:dyDescent="0.25">
      <c r="C9" s="532" t="s">
        <v>1256</v>
      </c>
      <c r="D9" s="532"/>
    </row>
    <row r="10" spans="1:11" s="317" customFormat="1" x14ac:dyDescent="0.25">
      <c r="A10" s="534" t="s">
        <v>1</v>
      </c>
      <c r="B10" s="661" t="s">
        <v>366</v>
      </c>
      <c r="C10" s="661" t="s">
        <v>924</v>
      </c>
      <c r="D10" s="661" t="s">
        <v>925</v>
      </c>
      <c r="E10" s="661" t="s">
        <v>926</v>
      </c>
      <c r="F10" s="661" t="s">
        <v>367</v>
      </c>
      <c r="G10" s="661" t="s">
        <v>414</v>
      </c>
    </row>
    <row r="11" spans="1:11" x14ac:dyDescent="0.25">
      <c r="A11" s="317" t="s">
        <v>191</v>
      </c>
      <c r="B11" s="376">
        <f>GETPIVOTDATA("Sum of 1 - Most Deprived 20%",SIMDAlarmsPivot!$B$4,"Year",A11)</f>
        <v>5909</v>
      </c>
      <c r="C11" s="376">
        <f>GETPIVOTDATA("Sum of 2",SIMDAlarmsPivot!$B$4,"Year",A11)</f>
        <v>6233</v>
      </c>
      <c r="D11" s="376">
        <f>GETPIVOTDATA("Sum of 3",SIMDAlarmsPivot!$B$4,"Year",A11)</f>
        <v>5321</v>
      </c>
      <c r="E11" s="376">
        <f>GETPIVOTDATA("Sum of 4",SIMDAlarmsPivot!$B$4,"Year",A11)</f>
        <v>4898</v>
      </c>
      <c r="F11" s="376">
        <f>GETPIVOTDATA("Sum of 5 - Least Deprived 20%",SIMDAlarmsPivot!$B$4,"Year",A11)</f>
        <v>4568</v>
      </c>
      <c r="G11" s="772">
        <f>GETPIVOTDATA("Sum of All Scotland",SIMDAlarmsPivot!$B$4,"Year",A11)</f>
        <v>26929</v>
      </c>
    </row>
    <row r="12" spans="1:11" x14ac:dyDescent="0.25">
      <c r="A12" s="317" t="s">
        <v>190</v>
      </c>
      <c r="B12" s="376">
        <f>GETPIVOTDATA("Sum of 1 - Most Deprived 20%",SIMDAlarmsPivot!$B$4,"Year",A12)</f>
        <v>5967</v>
      </c>
      <c r="C12" s="376">
        <f>GETPIVOTDATA("Sum of 2",SIMDAlarmsPivot!$B$4,"Year",A12)</f>
        <v>6495</v>
      </c>
      <c r="D12" s="376">
        <f>GETPIVOTDATA("Sum of 3",SIMDAlarmsPivot!$B$4,"Year",A12)</f>
        <v>5828</v>
      </c>
      <c r="E12" s="376">
        <f>GETPIVOTDATA("Sum of 4",SIMDAlarmsPivot!$B$4,"Year",A12)</f>
        <v>5327</v>
      </c>
      <c r="F12" s="376">
        <f>GETPIVOTDATA("Sum of 5 - Least Deprived 20%",SIMDAlarmsPivot!$B$4,"Year",A12)</f>
        <v>4664</v>
      </c>
      <c r="G12" s="772">
        <f>GETPIVOTDATA("Sum of All Scotland",SIMDAlarmsPivot!$B$4,"Year",A12)</f>
        <v>28281</v>
      </c>
    </row>
    <row r="13" spans="1:11" x14ac:dyDescent="0.25">
      <c r="A13" s="317" t="s">
        <v>257</v>
      </c>
      <c r="B13" s="376">
        <f>GETPIVOTDATA("Sum of 1 - Most Deprived 20%",SIMDAlarmsPivot!$B$4,"Year",A13)</f>
        <v>5798</v>
      </c>
      <c r="C13" s="376">
        <f>GETPIVOTDATA("Sum of 2",SIMDAlarmsPivot!$B$4,"Year",A13)</f>
        <v>6551</v>
      </c>
      <c r="D13" s="376">
        <f>GETPIVOTDATA("Sum of 3",SIMDAlarmsPivot!$B$4,"Year",A13)</f>
        <v>5947</v>
      </c>
      <c r="E13" s="376">
        <f>GETPIVOTDATA("Sum of 4",SIMDAlarmsPivot!$B$4,"Year",A13)</f>
        <v>5619</v>
      </c>
      <c r="F13" s="376">
        <f>GETPIVOTDATA("Sum of 5 - Least Deprived 20%",SIMDAlarmsPivot!$B$4,"Year",A13)</f>
        <v>5063</v>
      </c>
      <c r="G13" s="772">
        <f>GETPIVOTDATA("Sum of All Scotland",SIMDAlarmsPivot!$B$4,"Year",A13)</f>
        <v>28978</v>
      </c>
    </row>
    <row r="14" spans="1:11" x14ac:dyDescent="0.25">
      <c r="A14" s="317" t="s">
        <v>240</v>
      </c>
      <c r="B14" s="376">
        <f>GETPIVOTDATA("Sum of 1 - Most Deprived 20%",SIMDAlarmsPivot!$B$4,"Year",A14)</f>
        <v>5574</v>
      </c>
      <c r="C14" s="376">
        <f>GETPIVOTDATA("Sum of 2",SIMDAlarmsPivot!$B$4,"Year",A14)</f>
        <v>6271</v>
      </c>
      <c r="D14" s="376">
        <f>GETPIVOTDATA("Sum of 3",SIMDAlarmsPivot!$B$4,"Year",A14)</f>
        <v>5690</v>
      </c>
      <c r="E14" s="376">
        <f>GETPIVOTDATA("Sum of 4",SIMDAlarmsPivot!$B$4,"Year",A14)</f>
        <v>5360</v>
      </c>
      <c r="F14" s="376">
        <f>GETPIVOTDATA("Sum of 5 - Least Deprived 20%",SIMDAlarmsPivot!$B$4,"Year",A14)</f>
        <v>4821</v>
      </c>
      <c r="G14" s="772">
        <f>GETPIVOTDATA("Sum of All Scotland",SIMDAlarmsPivot!$B$4,"Year",A14)</f>
        <v>27716</v>
      </c>
    </row>
    <row r="15" spans="1:11" x14ac:dyDescent="0.25">
      <c r="A15" s="317" t="s">
        <v>239</v>
      </c>
      <c r="B15" s="376">
        <f>GETPIVOTDATA("Sum of 1 - Most Deprived 20%",SIMDAlarmsPivot!$B$4,"Year",A15)</f>
        <v>5160</v>
      </c>
      <c r="C15" s="376">
        <f>GETPIVOTDATA("Sum of 2",SIMDAlarmsPivot!$B$4,"Year",A15)</f>
        <v>5587</v>
      </c>
      <c r="D15" s="376">
        <f>GETPIVOTDATA("Sum of 3",SIMDAlarmsPivot!$B$4,"Year",A15)</f>
        <v>5019</v>
      </c>
      <c r="E15" s="376">
        <f>GETPIVOTDATA("Sum of 4",SIMDAlarmsPivot!$B$4,"Year",A15)</f>
        <v>4481</v>
      </c>
      <c r="F15" s="376">
        <f>GETPIVOTDATA("Sum of 5 - Least Deprived 20%",SIMDAlarmsPivot!$B$4,"Year",A15)</f>
        <v>4189</v>
      </c>
      <c r="G15" s="772">
        <f>GETPIVOTDATA("Sum of All Scotland",SIMDAlarmsPivot!$B$4,"Year",A15)</f>
        <v>24436</v>
      </c>
    </row>
    <row r="16" spans="1:11" x14ac:dyDescent="0.25">
      <c r="A16" s="317" t="s">
        <v>760</v>
      </c>
      <c r="B16" s="376">
        <f>GETPIVOTDATA("Sum of 1 - Most Deprived 20%",SIMDAlarmsPivot!$B$4,"Year",A16)</f>
        <v>4664</v>
      </c>
      <c r="C16" s="376">
        <f>GETPIVOTDATA("Sum of 2",SIMDAlarmsPivot!$B$4,"Year",A16)</f>
        <v>5068</v>
      </c>
      <c r="D16" s="376">
        <f>GETPIVOTDATA("Sum of 3",SIMDAlarmsPivot!$B$4,"Year",A16)</f>
        <v>4517</v>
      </c>
      <c r="E16" s="376">
        <f>GETPIVOTDATA("Sum of 4",SIMDAlarmsPivot!$B$4,"Year",A16)</f>
        <v>4207</v>
      </c>
      <c r="F16" s="376">
        <f>GETPIVOTDATA("Sum of 5 - Least Deprived 20%",SIMDAlarmsPivot!$B$4,"Year",A16)</f>
        <v>3805</v>
      </c>
      <c r="G16" s="772">
        <f>GETPIVOTDATA("Sum of All Scotland",SIMDAlarmsPivot!$B$4,"Year",A16)</f>
        <v>22261</v>
      </c>
    </row>
    <row r="17" spans="1:11" x14ac:dyDescent="0.25">
      <c r="A17" s="317" t="s">
        <v>917</v>
      </c>
      <c r="B17" s="376">
        <f>GETPIVOTDATA("Sum of 1 - Most Deprived 20%",SIMDAlarmsPivot!$B$4,"Year",A17)</f>
        <v>1688</v>
      </c>
      <c r="C17" s="376">
        <f>GETPIVOTDATA("Sum of 2",SIMDAlarmsPivot!$B$4,"Year",A17)</f>
        <v>1696</v>
      </c>
      <c r="D17" s="376">
        <f>GETPIVOTDATA("Sum of 3",SIMDAlarmsPivot!$B$4,"Year",A17)</f>
        <v>1487</v>
      </c>
      <c r="E17" s="376">
        <f>GETPIVOTDATA("Sum of 4",SIMDAlarmsPivot!$B$4,"Year",A17)</f>
        <v>1482</v>
      </c>
      <c r="F17" s="376">
        <f>GETPIVOTDATA("Sum of 5 - Least Deprived 20%",SIMDAlarmsPivot!$B$4,"Year",A17)</f>
        <v>1317</v>
      </c>
      <c r="G17" s="772">
        <f>GETPIVOTDATA("Sum of All Scotland",SIMDAlarmsPivot!$B$4,"Year",A17)</f>
        <v>7670</v>
      </c>
    </row>
    <row r="18" spans="1:11" x14ac:dyDescent="0.25">
      <c r="A18" s="317" t="s">
        <v>1010</v>
      </c>
      <c r="B18" s="910">
        <f>GETPIVOTDATA("Sum of 1 - Most Deprived 20%",SIMDAlarmsPivot!$B$4,"Year",A18)</f>
        <v>0</v>
      </c>
      <c r="C18" s="910">
        <f>GETPIVOTDATA("Sum of 2",SIMDAlarmsPivot!$B$4,"Year",A18)</f>
        <v>0</v>
      </c>
      <c r="D18" s="910">
        <f>GETPIVOTDATA("Sum of 3",SIMDAlarmsPivot!$B$4,"Year",A18)</f>
        <v>0</v>
      </c>
      <c r="E18" s="910">
        <f>GETPIVOTDATA("Sum of 4",SIMDAlarmsPivot!$B$4,"Year",A18)</f>
        <v>0</v>
      </c>
      <c r="F18" s="910">
        <f>GETPIVOTDATA("Sum of 5 - Least Deprived 20%",SIMDAlarmsPivot!$B$4,"Year",A18)</f>
        <v>0</v>
      </c>
      <c r="G18" s="932">
        <f>GETPIVOTDATA("Sum of All Scotland",SIMDAlarmsPivot!$B$4,"Year",A18)</f>
        <v>0</v>
      </c>
    </row>
    <row r="19" spans="1:11" x14ac:dyDescent="0.25">
      <c r="A19" s="317" t="s">
        <v>1061</v>
      </c>
      <c r="B19" s="910">
        <f>GETPIVOTDATA("Sum of 1 - Most Deprived 20%",SIMDAlarmsPivot!$B$4,"Year",A19)</f>
        <v>0</v>
      </c>
      <c r="C19" s="910">
        <f>GETPIVOTDATA("Sum of 2",SIMDAlarmsPivot!$B$4,"Year",A19)</f>
        <v>0</v>
      </c>
      <c r="D19" s="910">
        <f>GETPIVOTDATA("Sum of 3",SIMDAlarmsPivot!$B$4,"Year",A19)</f>
        <v>0</v>
      </c>
      <c r="E19" s="910">
        <f>GETPIVOTDATA("Sum of 4",SIMDAlarmsPivot!$B$4,"Year",A19)</f>
        <v>0</v>
      </c>
      <c r="F19" s="910">
        <f>GETPIVOTDATA("Sum of 5 - Least Deprived 20%",SIMDAlarmsPivot!$B$4,"Year",A19)</f>
        <v>0</v>
      </c>
      <c r="G19" s="932">
        <f>GETPIVOTDATA("Sum of All Scotland",SIMDAlarmsPivot!$B$4,"Year",A19)</f>
        <v>0</v>
      </c>
    </row>
    <row r="20" spans="1:11" ht="15.75" thickBot="1" x14ac:dyDescent="0.3">
      <c r="A20" s="533" t="s">
        <v>1108</v>
      </c>
      <c r="B20" s="778">
        <f>GETPIVOTDATA("Sum of 1 - Most Deprived 20%",SIMDAlarmsPivot!$B$4,"Year",A20)</f>
        <v>1322</v>
      </c>
      <c r="C20" s="778">
        <f>GETPIVOTDATA("Sum of 2",SIMDAlarmsPivot!$B$4,"Year",A20)</f>
        <v>1478</v>
      </c>
      <c r="D20" s="778">
        <f>GETPIVOTDATA("Sum of 3",SIMDAlarmsPivot!$B$4,"Year",A20)</f>
        <v>1162</v>
      </c>
      <c r="E20" s="778">
        <f>GETPIVOTDATA("Sum of 4",SIMDAlarmsPivot!$B$4,"Year",A20)</f>
        <v>1004</v>
      </c>
      <c r="F20" s="778">
        <f>GETPIVOTDATA("Sum of 5 - Least Deprived 20%",SIMDAlarmsPivot!$B$4,"Year",A20)</f>
        <v>944</v>
      </c>
      <c r="G20" s="928">
        <f>GETPIVOTDATA("Sum of All Scotland",SIMDAlarmsPivot!$B$4,"Year",A20)</f>
        <v>5910</v>
      </c>
    </row>
    <row r="22" spans="1:11" x14ac:dyDescent="0.25">
      <c r="A22" s="317" t="s">
        <v>8</v>
      </c>
    </row>
    <row r="23" spans="1:11" ht="15.75" customHeight="1" x14ac:dyDescent="0.25">
      <c r="A23" t="s">
        <v>898</v>
      </c>
      <c r="H23" s="531"/>
      <c r="I23" s="531"/>
      <c r="J23" s="531"/>
      <c r="K23" s="531"/>
    </row>
    <row r="24" spans="1:11" ht="15.75" x14ac:dyDescent="0.25">
      <c r="A24" s="574" t="s">
        <v>747</v>
      </c>
      <c r="H24" s="508"/>
      <c r="I24" s="508"/>
      <c r="J24" s="508"/>
      <c r="K24" s="508"/>
    </row>
    <row r="25" spans="1:11" ht="15.75" x14ac:dyDescent="0.25">
      <c r="A25" s="608" t="s">
        <v>1233</v>
      </c>
      <c r="H25" s="508"/>
      <c r="I25" s="508"/>
      <c r="J25" s="508"/>
      <c r="K25" s="508"/>
    </row>
    <row r="26" spans="1:11" ht="15.75" x14ac:dyDescent="0.25">
      <c r="A26" t="s">
        <v>1054</v>
      </c>
      <c r="H26" s="508"/>
      <c r="I26" s="508"/>
      <c r="J26" s="508"/>
      <c r="K26" s="508"/>
    </row>
    <row r="27" spans="1:11" ht="29.45" customHeight="1" x14ac:dyDescent="0.25">
      <c r="A27" s="992" t="s">
        <v>1264</v>
      </c>
      <c r="B27" s="992"/>
      <c r="C27" s="992"/>
      <c r="D27" s="992"/>
      <c r="E27" s="992"/>
      <c r="F27" s="992"/>
      <c r="G27" s="992"/>
      <c r="H27" s="992"/>
    </row>
    <row r="29" spans="1:11" ht="15.75" x14ac:dyDescent="0.25">
      <c r="A29" s="531" t="s">
        <v>892</v>
      </c>
      <c r="B29" s="531"/>
      <c r="C29" s="531"/>
      <c r="D29" s="531"/>
      <c r="E29" s="531"/>
      <c r="F29" s="531"/>
      <c r="G29" s="531"/>
      <c r="H29" s="508"/>
      <c r="I29" s="508"/>
      <c r="J29" s="508"/>
      <c r="K29" s="508"/>
    </row>
    <row r="30" spans="1:11" ht="15.75" x14ac:dyDescent="0.25">
      <c r="A30" t="s">
        <v>328</v>
      </c>
      <c r="B30" t="s">
        <v>906</v>
      </c>
      <c r="C30" s="508"/>
      <c r="D30" s="508"/>
      <c r="E30" s="508"/>
      <c r="F30" s="508"/>
      <c r="G30" s="508"/>
    </row>
    <row r="31" spans="1:11" ht="15.75" x14ac:dyDescent="0.25">
      <c r="A31" t="s">
        <v>329</v>
      </c>
      <c r="B31" t="s">
        <v>331</v>
      </c>
      <c r="C31" s="508"/>
      <c r="D31" s="508"/>
      <c r="E31" s="508"/>
      <c r="F31" s="508"/>
      <c r="G31" s="508"/>
    </row>
    <row r="32" spans="1:11" ht="15.75" x14ac:dyDescent="0.25">
      <c r="A32" t="s">
        <v>330</v>
      </c>
      <c r="B32" t="s">
        <v>748</v>
      </c>
      <c r="C32" s="508"/>
      <c r="D32" s="508"/>
      <c r="E32" s="508"/>
      <c r="F32" s="508"/>
      <c r="G32" s="508"/>
    </row>
    <row r="34" spans="1:7" x14ac:dyDescent="0.25">
      <c r="A34" s="317"/>
      <c r="C34" s="536"/>
      <c r="D34" s="537" t="s">
        <v>893</v>
      </c>
      <c r="E34" s="536"/>
      <c r="F34" s="536"/>
    </row>
    <row r="35" spans="1:7" x14ac:dyDescent="0.25">
      <c r="A35" s="534" t="s">
        <v>1</v>
      </c>
      <c r="B35" s="661" t="s">
        <v>366</v>
      </c>
      <c r="C35" s="661" t="s">
        <v>924</v>
      </c>
      <c r="D35" s="661" t="s">
        <v>925</v>
      </c>
      <c r="E35" s="661" t="s">
        <v>926</v>
      </c>
      <c r="F35" s="661" t="s">
        <v>367</v>
      </c>
      <c r="G35" s="661" t="s">
        <v>414</v>
      </c>
    </row>
    <row r="36" spans="1:7" x14ac:dyDescent="0.25">
      <c r="A36" s="317" t="s">
        <v>191</v>
      </c>
      <c r="B36" s="933">
        <f>GETPIVOTDATA("Sum of 1 - Most Deprived 20%",SIMDAlarmsPivot!$B$25,"Year",A36)</f>
        <v>1.1000000000000001</v>
      </c>
      <c r="C36" s="933">
        <f>GETPIVOTDATA("Sum of 2",SIMDAlarmsPivot!$B$25,"Year",A36)</f>
        <v>1.2</v>
      </c>
      <c r="D36" s="933">
        <f>GETPIVOTDATA("Sum of 3",SIMDAlarmsPivot!$B$25,"Year",A36)</f>
        <v>1.1000000000000001</v>
      </c>
      <c r="E36" s="933">
        <f>GETPIVOTDATA("Sum of 4",SIMDAlarmsPivot!$B$25,"Year",A36)</f>
        <v>1</v>
      </c>
      <c r="F36" s="933">
        <f>GETPIVOTDATA("Sum of 5 - Least Deprived 20%",SIMDAlarmsPivot!$B$25,"Year",A36)</f>
        <v>1</v>
      </c>
      <c r="G36" s="936">
        <f>GETPIVOTDATA("Sum of All Scotland",SIMDAlarmsPivot!$B$25,"Year",A36)</f>
        <v>1.1000000000000001</v>
      </c>
    </row>
    <row r="37" spans="1:7" x14ac:dyDescent="0.25">
      <c r="A37" s="317" t="s">
        <v>190</v>
      </c>
      <c r="B37" s="933">
        <f>GETPIVOTDATA("Sum of 1 - Most Deprived 20%",SIMDAlarmsPivot!$B$25,"Year",A37)</f>
        <v>1.1000000000000001</v>
      </c>
      <c r="C37" s="933">
        <f>GETPIVOTDATA("Sum of 2",SIMDAlarmsPivot!$B$25,"Year",A37)</f>
        <v>1.3</v>
      </c>
      <c r="D37" s="933">
        <f>GETPIVOTDATA("Sum of 3",SIMDAlarmsPivot!$B$25,"Year",A37)</f>
        <v>1.2</v>
      </c>
      <c r="E37" s="933">
        <f>GETPIVOTDATA("Sum of 4",SIMDAlarmsPivot!$B$25,"Year",A37)</f>
        <v>1.1000000000000001</v>
      </c>
      <c r="F37" s="933">
        <f>GETPIVOTDATA("Sum of 5 - Least Deprived 20%",SIMDAlarmsPivot!$B$25,"Year",A37)</f>
        <v>1</v>
      </c>
      <c r="G37" s="936">
        <f>GETPIVOTDATA("Sum of All Scotland",SIMDAlarmsPivot!$B$25,"Year",A37)</f>
        <v>1.2</v>
      </c>
    </row>
    <row r="38" spans="1:7" x14ac:dyDescent="0.25">
      <c r="A38" s="317" t="s">
        <v>257</v>
      </c>
      <c r="B38" s="933">
        <f>GETPIVOTDATA("Sum of 1 - Most Deprived 20%",SIMDAlarmsPivot!$B$25,"Year",A38)</f>
        <v>1.1000000000000001</v>
      </c>
      <c r="C38" s="933">
        <f>GETPIVOTDATA("Sum of 2",SIMDAlarmsPivot!$B$25,"Year",A38)</f>
        <v>1.3</v>
      </c>
      <c r="D38" s="933">
        <f>GETPIVOTDATA("Sum of 3",SIMDAlarmsPivot!$B$25,"Year",A38)</f>
        <v>1.2</v>
      </c>
      <c r="E38" s="933">
        <f>GETPIVOTDATA("Sum of 4",SIMDAlarmsPivot!$B$25,"Year",A38)</f>
        <v>1.2</v>
      </c>
      <c r="F38" s="933">
        <f>GETPIVOTDATA("Sum of 5 - Least Deprived 20%",SIMDAlarmsPivot!$B$25,"Year",A38)</f>
        <v>1.1000000000000001</v>
      </c>
      <c r="G38" s="936">
        <f>GETPIVOTDATA("Sum of All Scotland",SIMDAlarmsPivot!$B$25,"Year",A38)</f>
        <v>1.2</v>
      </c>
    </row>
    <row r="39" spans="1:7" x14ac:dyDescent="0.25">
      <c r="A39" s="317" t="s">
        <v>240</v>
      </c>
      <c r="B39" s="933">
        <f>GETPIVOTDATA("Sum of 1 - Most Deprived 20%",SIMDAlarmsPivot!$B$25,"Year",A39)</f>
        <v>1</v>
      </c>
      <c r="C39" s="933">
        <f>GETPIVOTDATA("Sum of 2",SIMDAlarmsPivot!$B$25,"Year",A39)</f>
        <v>1.2</v>
      </c>
      <c r="D39" s="933">
        <f>GETPIVOTDATA("Sum of 3",SIMDAlarmsPivot!$B$25,"Year",A39)</f>
        <v>1.1000000000000001</v>
      </c>
      <c r="E39" s="933">
        <f>GETPIVOTDATA("Sum of 4",SIMDAlarmsPivot!$B$25,"Year",A39)</f>
        <v>1.1000000000000001</v>
      </c>
      <c r="F39" s="933">
        <f>GETPIVOTDATA("Sum of 5 - Least Deprived 20%",SIMDAlarmsPivot!$B$25,"Year",A39)</f>
        <v>1</v>
      </c>
      <c r="G39" s="936">
        <f>GETPIVOTDATA("Sum of All Scotland",SIMDAlarmsPivot!$B$25,"Year",A39)</f>
        <v>1.1000000000000001</v>
      </c>
    </row>
    <row r="40" spans="1:7" x14ac:dyDescent="0.25">
      <c r="A40" s="317" t="s">
        <v>239</v>
      </c>
      <c r="B40" s="933">
        <f>GETPIVOTDATA("Sum of 1 - Most Deprived 20%",SIMDAlarmsPivot!$B$25,"Year",A40)</f>
        <v>1</v>
      </c>
      <c r="C40" s="933">
        <f>GETPIVOTDATA("Sum of 2",SIMDAlarmsPivot!$B$25,"Year",A40)</f>
        <v>1.1000000000000001</v>
      </c>
      <c r="D40" s="933">
        <f>GETPIVOTDATA("Sum of 3",SIMDAlarmsPivot!$B$25,"Year",A40)</f>
        <v>1</v>
      </c>
      <c r="E40" s="933">
        <f>GETPIVOTDATA("Sum of 4",SIMDAlarmsPivot!$B$25,"Year",A40)</f>
        <v>0.9</v>
      </c>
      <c r="F40" s="933">
        <f>GETPIVOTDATA("Sum of 5 - Least Deprived 20%",SIMDAlarmsPivot!$B$25,"Year",A40)</f>
        <v>0.9</v>
      </c>
      <c r="G40" s="936">
        <f>GETPIVOTDATA("Sum of All Scotland",SIMDAlarmsPivot!$B$25,"Year",A40)</f>
        <v>1</v>
      </c>
    </row>
    <row r="41" spans="1:7" x14ac:dyDescent="0.25">
      <c r="A41" s="317" t="s">
        <v>760</v>
      </c>
      <c r="B41" s="933">
        <f>GETPIVOTDATA("Sum of 1 - Most Deprived 20%",SIMDAlarmsPivot!$B$25,"Year",A41)</f>
        <v>0.9</v>
      </c>
      <c r="C41" s="933">
        <f>GETPIVOTDATA("Sum of 2",SIMDAlarmsPivot!$B$25,"Year",A41)</f>
        <v>1</v>
      </c>
      <c r="D41" s="933">
        <f>GETPIVOTDATA("Sum of 3",SIMDAlarmsPivot!$B$25,"Year",A41)</f>
        <v>0.9</v>
      </c>
      <c r="E41" s="933">
        <f>GETPIVOTDATA("Sum of 4",SIMDAlarmsPivot!$B$25,"Year",A41)</f>
        <v>0.8</v>
      </c>
      <c r="F41" s="933">
        <f>GETPIVOTDATA("Sum of 5 - Least Deprived 20%",SIMDAlarmsPivot!$B$25,"Year",A41)</f>
        <v>0.8</v>
      </c>
      <c r="G41" s="936">
        <f>GETPIVOTDATA("Sum of All Scotland",SIMDAlarmsPivot!$B$25,"Year",A41)</f>
        <v>0.9</v>
      </c>
    </row>
    <row r="42" spans="1:7" x14ac:dyDescent="0.25">
      <c r="A42" s="317" t="s">
        <v>917</v>
      </c>
      <c r="B42" s="933">
        <f>GETPIVOTDATA("Sum of 1 - Most Deprived 20%",SIMDAlarmsPivot!$B$25,"Year",A42)</f>
        <v>0.3</v>
      </c>
      <c r="C42" s="933">
        <f>GETPIVOTDATA("Sum of 2",SIMDAlarmsPivot!$B$25,"Year",A42)</f>
        <v>0.3</v>
      </c>
      <c r="D42" s="933">
        <f>GETPIVOTDATA("Sum of 3",SIMDAlarmsPivot!$B$25,"Year",A42)</f>
        <v>0.3</v>
      </c>
      <c r="E42" s="933">
        <f>GETPIVOTDATA("Sum of 4",SIMDAlarmsPivot!$B$25,"Year",A42)</f>
        <v>0.3</v>
      </c>
      <c r="F42" s="933">
        <f>GETPIVOTDATA("Sum of 5 - Least Deprived 20%",SIMDAlarmsPivot!$B$25,"Year",A42)</f>
        <v>0.3</v>
      </c>
      <c r="G42" s="936">
        <f>GETPIVOTDATA("Sum of All Scotland",SIMDAlarmsPivot!$B$25,"Year",A42)</f>
        <v>0.3</v>
      </c>
    </row>
    <row r="43" spans="1:7" x14ac:dyDescent="0.25">
      <c r="A43" s="317" t="s">
        <v>1010</v>
      </c>
      <c r="B43" s="934">
        <f>GETPIVOTDATA("Sum of 1 - Most Deprived 20%",SIMDAlarmsPivot!$B$25,"Year",A43)</f>
        <v>0</v>
      </c>
      <c r="C43" s="934">
        <f>GETPIVOTDATA("Sum of 2",SIMDAlarmsPivot!$B$25,"Year",A43)</f>
        <v>0</v>
      </c>
      <c r="D43" s="934">
        <f>GETPIVOTDATA("Sum of 3",SIMDAlarmsPivot!$B$25,"Year",A43)</f>
        <v>0</v>
      </c>
      <c r="E43" s="934">
        <f>GETPIVOTDATA("Sum of 4",SIMDAlarmsPivot!$B$25,"Year",A43)</f>
        <v>0</v>
      </c>
      <c r="F43" s="934">
        <f>GETPIVOTDATA("Sum of 5 - Least Deprived 20%",SIMDAlarmsPivot!$B$25,"Year",A43)</f>
        <v>0</v>
      </c>
      <c r="G43" s="937">
        <f>GETPIVOTDATA("Sum of All Scotland",SIMDAlarmsPivot!$B$25,"Year",A43)</f>
        <v>0</v>
      </c>
    </row>
    <row r="44" spans="1:7" x14ac:dyDescent="0.25">
      <c r="A44" s="317" t="s">
        <v>1061</v>
      </c>
      <c r="B44" s="934">
        <f>GETPIVOTDATA("Sum of 1 - Most Deprived 20%",SIMDAlarmsPivot!$B$25,"Year",A44)</f>
        <v>0</v>
      </c>
      <c r="C44" s="934">
        <f>GETPIVOTDATA("Sum of 2",SIMDAlarmsPivot!$B$25,"Year",A44)</f>
        <v>0</v>
      </c>
      <c r="D44" s="934">
        <f>GETPIVOTDATA("Sum of 3",SIMDAlarmsPivot!$B$25,"Year",A44)</f>
        <v>0</v>
      </c>
      <c r="E44" s="934">
        <f>GETPIVOTDATA("Sum of 4",SIMDAlarmsPivot!$B$25,"Year",A44)</f>
        <v>0</v>
      </c>
      <c r="F44" s="934">
        <f>GETPIVOTDATA("Sum of 5 - Least Deprived 20%",SIMDAlarmsPivot!$B$25,"Year",A44)</f>
        <v>0</v>
      </c>
      <c r="G44" s="937">
        <f>GETPIVOTDATA("Sum of All Scotland",SIMDAlarmsPivot!$B$25,"Year",A44)</f>
        <v>0</v>
      </c>
    </row>
    <row r="45" spans="1:7" ht="15.75" thickBot="1" x14ac:dyDescent="0.3">
      <c r="A45" s="533" t="s">
        <v>1108</v>
      </c>
      <c r="B45" s="935">
        <f>GETPIVOTDATA("Sum of 1 - Most Deprived 20%",SIMDAlarmsPivot!$B$25,"Year",A45)</f>
        <v>0.24299999999999999</v>
      </c>
      <c r="C45" s="935">
        <f>GETPIVOTDATA("Sum of 2",SIMDAlarmsPivot!$B$25,"Year",A45)</f>
        <v>0.28000000000000003</v>
      </c>
      <c r="D45" s="935">
        <f>GETPIVOTDATA("Sum of 3",SIMDAlarmsPivot!$B$25,"Year",A45)</f>
        <v>0.222</v>
      </c>
      <c r="E45" s="935">
        <f>GETPIVOTDATA("Sum of 4",SIMDAlarmsPivot!$B$25,"Year",A45)</f>
        <v>0.189</v>
      </c>
      <c r="F45" s="935">
        <f>GETPIVOTDATA("Sum of 5 - Least Deprived 20%",SIMDAlarmsPivot!$B$25,"Year",A45)</f>
        <v>0.19700000000000001</v>
      </c>
      <c r="G45" s="938">
        <f>GETPIVOTDATA("Sum of All Scotland",SIMDAlarmsPivot!$B$25,"Year",A45)</f>
        <v>1.131</v>
      </c>
    </row>
    <row r="47" spans="1:7" x14ac:dyDescent="0.25">
      <c r="A47" s="317" t="s">
        <v>8</v>
      </c>
    </row>
    <row r="48" spans="1:7" x14ac:dyDescent="0.25">
      <c r="A48" t="s">
        <v>898</v>
      </c>
    </row>
    <row r="49" spans="1:8" x14ac:dyDescent="0.25">
      <c r="A49" s="574" t="s">
        <v>747</v>
      </c>
    </row>
    <row r="50" spans="1:8" x14ac:dyDescent="0.25">
      <c r="A50" s="507" t="s">
        <v>751</v>
      </c>
    </row>
    <row r="51" spans="1:8" x14ac:dyDescent="0.25">
      <c r="A51" s="608" t="s">
        <v>1233</v>
      </c>
    </row>
    <row r="52" spans="1:8" ht="27.6" customHeight="1" x14ac:dyDescent="0.25">
      <c r="A52" s="992" t="s">
        <v>1264</v>
      </c>
      <c r="B52" s="992"/>
      <c r="C52" s="992"/>
      <c r="D52" s="992"/>
      <c r="E52" s="992"/>
      <c r="F52" s="992"/>
      <c r="G52" s="992"/>
      <c r="H52" s="992"/>
    </row>
  </sheetData>
  <sheetProtection algorithmName="SHA-512" hashValue="Dg2Xjb0VnnZBVTig3jrXpaTOA0CjbbEIlP/zlLFEqhEfBp+fZawCgYnAfqehUcGU+KaeRbkiEQ17WmYHlPZR/Q==" saltValue="U1Wd0HpNbHn8OGpbo64LTg==" spinCount="100000" sheet="1" scenarios="1" formatCells="0" sort="0" autoFilter="0" pivotTables="0"/>
  <mergeCells count="2">
    <mergeCell ref="A27:H27"/>
    <mergeCell ref="A52:H52"/>
  </mergeCells>
  <hyperlinks>
    <hyperlink ref="A2" location="'Table of Contents'!A1" display="Back to Table of Contents" xr:uid="{00000000-0004-0000-8700-000000000000}"/>
    <hyperlink ref="A24" r:id="rId1" xr:uid="{00000000-0004-0000-8700-000001000000}"/>
    <hyperlink ref="A49" r:id="rId2" xr:uid="{00000000-0004-0000-8700-000002000000}"/>
    <hyperlink ref="A50" r:id="rId3" xr:uid="{00000000-0004-0000-8700-000003000000}"/>
  </hyperlinks>
  <pageMargins left="0.7" right="0.7" top="0.75" bottom="0.75" header="0.3" footer="0.3"/>
  <pageSetup paperSize="9" orientation="portrait" r:id="rId4"/>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6651-C97F-4CCA-B093-6321F106D5F7}">
  <sheetPr>
    <tabColor theme="7" tint="-0.249977111117893"/>
  </sheetPr>
  <dimension ref="B4:I17"/>
  <sheetViews>
    <sheetView workbookViewId="0">
      <selection activeCell="D13" sqref="D13"/>
    </sheetView>
  </sheetViews>
  <sheetFormatPr defaultRowHeight="15" x14ac:dyDescent="0.25"/>
  <cols>
    <col min="2" max="2" width="19.85546875" bestFit="1" customWidth="1"/>
    <col min="3" max="3" width="15.28515625" bestFit="1" customWidth="1"/>
    <col min="4" max="7" width="5.85546875" bestFit="1" customWidth="1"/>
    <col min="8" max="8" width="6.7109375" bestFit="1" customWidth="1"/>
    <col min="9" max="9" width="10.7109375" bestFit="1" customWidth="1"/>
    <col min="10" max="13" width="5.85546875" bestFit="1" customWidth="1"/>
    <col min="14" max="14" width="6.7109375" bestFit="1" customWidth="1"/>
    <col min="15" max="15" width="19.85546875" bestFit="1" customWidth="1"/>
    <col min="16" max="18" width="5.85546875" bestFit="1" customWidth="1"/>
    <col min="19" max="19" width="4.85546875" bestFit="1" customWidth="1"/>
    <col min="20" max="20" width="6.7109375" bestFit="1" customWidth="1"/>
    <col min="21" max="21" width="43.85546875" bestFit="1" customWidth="1"/>
    <col min="22" max="25" width="4.85546875" bestFit="1" customWidth="1"/>
    <col min="26" max="26" width="6.7109375" bestFit="1" customWidth="1"/>
    <col min="27" max="27" width="23" bestFit="1" customWidth="1"/>
    <col min="28" max="31" width="7.85546875" bestFit="1" customWidth="1"/>
    <col min="32" max="32" width="6.7109375" bestFit="1" customWidth="1"/>
    <col min="33" max="33" width="16.42578125" bestFit="1" customWidth="1"/>
    <col min="34" max="34" width="27" bestFit="1" customWidth="1"/>
    <col min="35" max="35" width="24.7109375" bestFit="1" customWidth="1"/>
    <col min="36" max="36" width="48.5703125" bestFit="1" customWidth="1"/>
    <col min="37" max="37" width="27.85546875" bestFit="1" customWidth="1"/>
  </cols>
  <sheetData>
    <row r="4" spans="2:9" x14ac:dyDescent="0.25">
      <c r="B4" s="394" t="s">
        <v>776</v>
      </c>
      <c r="C4" s="394" t="s">
        <v>255</v>
      </c>
    </row>
    <row r="5" spans="2:9" x14ac:dyDescent="0.25">
      <c r="B5" s="394" t="s">
        <v>231</v>
      </c>
      <c r="C5">
        <v>1</v>
      </c>
      <c r="D5">
        <v>2</v>
      </c>
      <c r="E5">
        <v>3</v>
      </c>
      <c r="F5">
        <v>4</v>
      </c>
      <c r="G5">
        <v>5</v>
      </c>
      <c r="H5" t="s">
        <v>298</v>
      </c>
      <c r="I5" t="s">
        <v>236</v>
      </c>
    </row>
    <row r="6" spans="2:9" x14ac:dyDescent="0.25">
      <c r="B6" s="395" t="s">
        <v>191</v>
      </c>
      <c r="C6">
        <v>54.9</v>
      </c>
      <c r="D6">
        <v>57.6</v>
      </c>
      <c r="E6">
        <v>55.4</v>
      </c>
      <c r="F6">
        <v>56.7</v>
      </c>
      <c r="G6">
        <v>57.1</v>
      </c>
      <c r="I6">
        <v>281.70000000000005</v>
      </c>
    </row>
    <row r="7" spans="2:9" x14ac:dyDescent="0.25">
      <c r="B7" s="395" t="s">
        <v>190</v>
      </c>
      <c r="C7">
        <v>53.9</v>
      </c>
      <c r="D7">
        <v>55.6</v>
      </c>
      <c r="E7">
        <v>55.7</v>
      </c>
      <c r="F7">
        <v>53.4</v>
      </c>
      <c r="G7">
        <v>55.9</v>
      </c>
      <c r="I7">
        <v>274.5</v>
      </c>
    </row>
    <row r="8" spans="2:9" x14ac:dyDescent="0.25">
      <c r="B8" s="395" t="s">
        <v>257</v>
      </c>
      <c r="C8">
        <v>54.7</v>
      </c>
      <c r="D8">
        <v>56.6</v>
      </c>
      <c r="E8">
        <v>54.6</v>
      </c>
      <c r="F8">
        <v>53.4</v>
      </c>
      <c r="G8">
        <v>56</v>
      </c>
      <c r="I8">
        <v>275.3</v>
      </c>
    </row>
    <row r="9" spans="2:9" x14ac:dyDescent="0.25">
      <c r="B9" s="395" t="s">
        <v>240</v>
      </c>
      <c r="C9">
        <v>52.7</v>
      </c>
      <c r="D9">
        <v>56.9</v>
      </c>
      <c r="E9">
        <v>54.7</v>
      </c>
      <c r="F9">
        <v>53.2</v>
      </c>
      <c r="G9">
        <v>56.9</v>
      </c>
      <c r="I9">
        <v>274.39999999999998</v>
      </c>
    </row>
    <row r="10" spans="2:9" x14ac:dyDescent="0.25">
      <c r="B10" s="395" t="s">
        <v>239</v>
      </c>
      <c r="C10">
        <v>52.2</v>
      </c>
      <c r="D10">
        <v>54.3</v>
      </c>
      <c r="E10">
        <v>52</v>
      </c>
      <c r="F10">
        <v>51.2</v>
      </c>
      <c r="G10">
        <v>52.2</v>
      </c>
      <c r="I10">
        <v>261.89999999999998</v>
      </c>
    </row>
    <row r="11" spans="2:9" x14ac:dyDescent="0.25">
      <c r="B11" s="395" t="s">
        <v>760</v>
      </c>
      <c r="C11">
        <v>49.1</v>
      </c>
      <c r="D11">
        <v>52.4</v>
      </c>
      <c r="E11">
        <v>48.8</v>
      </c>
      <c r="F11">
        <v>46.4</v>
      </c>
      <c r="G11">
        <v>49</v>
      </c>
      <c r="I11">
        <v>245.70000000000002</v>
      </c>
    </row>
    <row r="12" spans="2:9" x14ac:dyDescent="0.25">
      <c r="B12" s="395" t="s">
        <v>917</v>
      </c>
      <c r="C12">
        <v>55.7</v>
      </c>
      <c r="D12">
        <v>55.5</v>
      </c>
      <c r="E12">
        <v>53.5</v>
      </c>
      <c r="F12">
        <v>55.1</v>
      </c>
      <c r="G12">
        <v>56.8</v>
      </c>
      <c r="I12">
        <v>276.59999999999997</v>
      </c>
    </row>
    <row r="13" spans="2:9" x14ac:dyDescent="0.25">
      <c r="B13" s="395" t="s">
        <v>1010</v>
      </c>
    </row>
    <row r="14" spans="2:9" x14ac:dyDescent="0.25">
      <c r="B14" s="395" t="s">
        <v>1061</v>
      </c>
    </row>
    <row r="15" spans="2:9" x14ac:dyDescent="0.25">
      <c r="B15" s="395" t="s">
        <v>1108</v>
      </c>
      <c r="C15">
        <v>35.200000000000003</v>
      </c>
      <c r="D15">
        <v>31.2</v>
      </c>
      <c r="E15">
        <v>26.5</v>
      </c>
      <c r="F15">
        <v>23.2</v>
      </c>
      <c r="G15">
        <v>23.7</v>
      </c>
      <c r="I15">
        <v>139.80000000000001</v>
      </c>
    </row>
    <row r="16" spans="2:9" x14ac:dyDescent="0.25">
      <c r="B16" s="395" t="s">
        <v>298</v>
      </c>
    </row>
    <row r="17" spans="2:9" x14ac:dyDescent="0.25">
      <c r="B17" s="395" t="s">
        <v>236</v>
      </c>
      <c r="C17">
        <v>408.4</v>
      </c>
      <c r="D17">
        <v>420.09999999999997</v>
      </c>
      <c r="E17">
        <v>401.2</v>
      </c>
      <c r="F17">
        <v>392.59999999999997</v>
      </c>
      <c r="G17">
        <v>407.6</v>
      </c>
      <c r="I17">
        <v>2029.9</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64149-0771-441B-910F-A5498907D32E}">
  <sheetPr>
    <tabColor theme="7" tint="-0.249977111117893"/>
  </sheetPr>
  <dimension ref="A1:G52"/>
  <sheetViews>
    <sheetView topLeftCell="A10" workbookViewId="0">
      <selection activeCell="D22" sqref="D22"/>
    </sheetView>
  </sheetViews>
  <sheetFormatPr defaultRowHeight="15" x14ac:dyDescent="0.25"/>
  <cols>
    <col min="1" max="1" width="7.42578125" bestFit="1" customWidth="1"/>
    <col min="2" max="2" width="19.42578125" bestFit="1" customWidth="1"/>
    <col min="3" max="3" width="7.5703125" bestFit="1" customWidth="1"/>
    <col min="4" max="4" width="18" bestFit="1" customWidth="1"/>
    <col min="5" max="5" width="15.85546875" bestFit="1" customWidth="1"/>
    <col min="6" max="6" width="39.7109375" bestFit="1" customWidth="1"/>
    <col min="7" max="7" width="18.85546875" bestFit="1" customWidth="1"/>
  </cols>
  <sheetData>
    <row r="1" spans="1:7" x14ac:dyDescent="0.25">
      <c r="A1" t="s">
        <v>313</v>
      </c>
      <c r="B1" t="s">
        <v>777</v>
      </c>
      <c r="C1" t="s">
        <v>774</v>
      </c>
      <c r="D1" t="s">
        <v>778</v>
      </c>
      <c r="E1" t="s">
        <v>775</v>
      </c>
      <c r="F1" t="s">
        <v>779</v>
      </c>
      <c r="G1" t="s">
        <v>780</v>
      </c>
    </row>
    <row r="3" spans="1:7" x14ac:dyDescent="0.25">
      <c r="A3" t="s">
        <v>191</v>
      </c>
      <c r="B3">
        <v>1</v>
      </c>
      <c r="C3">
        <v>5311</v>
      </c>
      <c r="D3">
        <v>2914</v>
      </c>
      <c r="E3">
        <v>54.9</v>
      </c>
      <c r="F3">
        <v>0.55000000000000004</v>
      </c>
      <c r="G3">
        <v>525964</v>
      </c>
    </row>
    <row r="4" spans="1:7" x14ac:dyDescent="0.25">
      <c r="A4" t="s">
        <v>191</v>
      </c>
      <c r="B4">
        <v>2</v>
      </c>
      <c r="C4">
        <v>7232</v>
      </c>
      <c r="D4">
        <v>4166</v>
      </c>
      <c r="E4">
        <v>57.6</v>
      </c>
      <c r="F4">
        <v>0.83</v>
      </c>
      <c r="G4">
        <v>504692</v>
      </c>
    </row>
    <row r="5" spans="1:7" x14ac:dyDescent="0.25">
      <c r="A5" t="s">
        <v>191</v>
      </c>
      <c r="B5">
        <v>3</v>
      </c>
      <c r="C5">
        <v>7001</v>
      </c>
      <c r="D5">
        <v>3879</v>
      </c>
      <c r="E5">
        <v>55.4</v>
      </c>
      <c r="F5">
        <v>0.79</v>
      </c>
      <c r="G5">
        <v>488191</v>
      </c>
    </row>
    <row r="6" spans="1:7" x14ac:dyDescent="0.25">
      <c r="A6" t="s">
        <v>191</v>
      </c>
      <c r="B6">
        <v>4</v>
      </c>
      <c r="C6">
        <v>7027</v>
      </c>
      <c r="D6">
        <v>3984</v>
      </c>
      <c r="E6">
        <v>56.7</v>
      </c>
      <c r="F6">
        <v>0.85</v>
      </c>
      <c r="G6">
        <v>467642</v>
      </c>
    </row>
    <row r="7" spans="1:7" x14ac:dyDescent="0.25">
      <c r="A7" t="s">
        <v>191</v>
      </c>
      <c r="B7">
        <v>5</v>
      </c>
      <c r="C7">
        <v>6863</v>
      </c>
      <c r="D7">
        <v>3917</v>
      </c>
      <c r="E7">
        <v>57.1</v>
      </c>
      <c r="F7">
        <v>0.87</v>
      </c>
      <c r="G7">
        <v>449892</v>
      </c>
    </row>
    <row r="8" spans="1:7" x14ac:dyDescent="0.25">
      <c r="A8" t="s">
        <v>190</v>
      </c>
      <c r="B8">
        <v>1</v>
      </c>
      <c r="C8">
        <v>5852</v>
      </c>
      <c r="D8">
        <v>3156</v>
      </c>
      <c r="E8">
        <v>53.9</v>
      </c>
      <c r="F8">
        <v>0.6</v>
      </c>
      <c r="G8">
        <v>528323</v>
      </c>
    </row>
    <row r="9" spans="1:7" x14ac:dyDescent="0.25">
      <c r="A9" t="s">
        <v>190</v>
      </c>
      <c r="B9">
        <v>2</v>
      </c>
      <c r="C9">
        <v>8111</v>
      </c>
      <c r="D9">
        <v>4507</v>
      </c>
      <c r="E9">
        <v>55.6</v>
      </c>
      <c r="F9">
        <v>0.89</v>
      </c>
      <c r="G9">
        <v>506910</v>
      </c>
    </row>
    <row r="10" spans="1:7" x14ac:dyDescent="0.25">
      <c r="A10" t="s">
        <v>190</v>
      </c>
      <c r="B10">
        <v>3</v>
      </c>
      <c r="C10">
        <v>7986</v>
      </c>
      <c r="D10">
        <v>4448</v>
      </c>
      <c r="E10">
        <v>55.7</v>
      </c>
      <c r="F10">
        <v>0.91</v>
      </c>
      <c r="G10">
        <v>490270</v>
      </c>
    </row>
    <row r="11" spans="1:7" x14ac:dyDescent="0.25">
      <c r="A11" t="s">
        <v>190</v>
      </c>
      <c r="B11">
        <v>4</v>
      </c>
      <c r="C11">
        <v>8176</v>
      </c>
      <c r="D11">
        <v>4368</v>
      </c>
      <c r="E11">
        <v>53.4</v>
      </c>
      <c r="F11">
        <v>0.92</v>
      </c>
      <c r="G11">
        <v>472964</v>
      </c>
    </row>
    <row r="12" spans="1:7" x14ac:dyDescent="0.25">
      <c r="A12" t="s">
        <v>190</v>
      </c>
      <c r="B12">
        <v>5</v>
      </c>
      <c r="C12">
        <v>7333</v>
      </c>
      <c r="D12">
        <v>4100</v>
      </c>
      <c r="E12">
        <v>55.9</v>
      </c>
      <c r="F12">
        <v>0.9</v>
      </c>
      <c r="G12">
        <v>453045</v>
      </c>
    </row>
    <row r="13" spans="1:7" x14ac:dyDescent="0.25">
      <c r="A13" t="s">
        <v>257</v>
      </c>
      <c r="B13">
        <v>1</v>
      </c>
      <c r="C13">
        <v>5988</v>
      </c>
      <c r="D13">
        <v>3276</v>
      </c>
      <c r="E13">
        <v>54.7</v>
      </c>
      <c r="F13">
        <v>0.62</v>
      </c>
      <c r="G13">
        <v>530637</v>
      </c>
    </row>
    <row r="14" spans="1:7" x14ac:dyDescent="0.25">
      <c r="A14" t="s">
        <v>257</v>
      </c>
      <c r="B14">
        <v>2</v>
      </c>
      <c r="C14">
        <v>8378</v>
      </c>
      <c r="D14">
        <v>4745</v>
      </c>
      <c r="E14">
        <v>56.6</v>
      </c>
      <c r="F14">
        <v>0.93</v>
      </c>
      <c r="G14">
        <v>509500</v>
      </c>
    </row>
    <row r="15" spans="1:7" x14ac:dyDescent="0.25">
      <c r="A15" t="s">
        <v>257</v>
      </c>
      <c r="B15">
        <v>3</v>
      </c>
      <c r="C15">
        <v>8563</v>
      </c>
      <c r="D15">
        <v>4675</v>
      </c>
      <c r="E15">
        <v>54.6</v>
      </c>
      <c r="F15">
        <v>0.95</v>
      </c>
      <c r="G15">
        <v>494416</v>
      </c>
    </row>
    <row r="16" spans="1:7" x14ac:dyDescent="0.25">
      <c r="A16" t="s">
        <v>257</v>
      </c>
      <c r="B16">
        <v>4</v>
      </c>
      <c r="C16">
        <v>8892</v>
      </c>
      <c r="D16">
        <v>4750</v>
      </c>
      <c r="E16">
        <v>53.4</v>
      </c>
      <c r="F16">
        <v>0.99</v>
      </c>
      <c r="G16">
        <v>479897</v>
      </c>
    </row>
    <row r="17" spans="1:7" x14ac:dyDescent="0.25">
      <c r="A17" t="s">
        <v>257</v>
      </c>
      <c r="B17">
        <v>5</v>
      </c>
      <c r="C17">
        <v>7902</v>
      </c>
      <c r="D17">
        <v>4428</v>
      </c>
      <c r="E17">
        <v>56</v>
      </c>
      <c r="F17">
        <v>0.97</v>
      </c>
      <c r="G17">
        <v>455604</v>
      </c>
    </row>
    <row r="18" spans="1:7" x14ac:dyDescent="0.25">
      <c r="A18" t="s">
        <v>240</v>
      </c>
      <c r="B18">
        <v>1</v>
      </c>
      <c r="C18">
        <v>6009</v>
      </c>
      <c r="D18">
        <v>3169</v>
      </c>
      <c r="E18">
        <v>52.7</v>
      </c>
      <c r="F18">
        <v>0.6</v>
      </c>
      <c r="G18">
        <v>532256</v>
      </c>
    </row>
    <row r="19" spans="1:7" x14ac:dyDescent="0.25">
      <c r="A19" t="s">
        <v>240</v>
      </c>
      <c r="B19">
        <v>2</v>
      </c>
      <c r="C19">
        <v>8141</v>
      </c>
      <c r="D19">
        <v>4633</v>
      </c>
      <c r="E19">
        <v>56.9</v>
      </c>
      <c r="F19">
        <v>0.9</v>
      </c>
      <c r="G19">
        <v>512529</v>
      </c>
    </row>
    <row r="20" spans="1:7" x14ac:dyDescent="0.25">
      <c r="A20" t="s">
        <v>240</v>
      </c>
      <c r="B20">
        <v>3</v>
      </c>
      <c r="C20">
        <v>8217</v>
      </c>
      <c r="D20">
        <v>4491</v>
      </c>
      <c r="E20">
        <v>54.7</v>
      </c>
      <c r="F20">
        <v>0.9</v>
      </c>
      <c r="G20">
        <v>498164</v>
      </c>
    </row>
    <row r="21" spans="1:7" x14ac:dyDescent="0.25">
      <c r="A21" t="s">
        <v>240</v>
      </c>
      <c r="B21">
        <v>4</v>
      </c>
      <c r="C21">
        <v>8475</v>
      </c>
      <c r="D21">
        <v>4510</v>
      </c>
      <c r="E21">
        <v>53.2</v>
      </c>
      <c r="F21">
        <v>0.93</v>
      </c>
      <c r="G21">
        <v>487395</v>
      </c>
    </row>
    <row r="22" spans="1:7" x14ac:dyDescent="0.25">
      <c r="A22" t="s">
        <v>240</v>
      </c>
      <c r="B22">
        <v>5</v>
      </c>
      <c r="C22">
        <v>7496</v>
      </c>
      <c r="D22">
        <v>4264</v>
      </c>
      <c r="E22">
        <v>56.9</v>
      </c>
      <c r="F22">
        <v>0.93</v>
      </c>
      <c r="G22">
        <v>459499</v>
      </c>
    </row>
    <row r="23" spans="1:7" x14ac:dyDescent="0.25">
      <c r="A23" t="s">
        <v>239</v>
      </c>
      <c r="B23">
        <v>1</v>
      </c>
      <c r="C23">
        <v>5680</v>
      </c>
      <c r="D23">
        <v>2967</v>
      </c>
      <c r="E23">
        <v>52.2</v>
      </c>
      <c r="F23">
        <v>0.56000000000000005</v>
      </c>
      <c r="G23">
        <v>534275</v>
      </c>
    </row>
    <row r="24" spans="1:7" x14ac:dyDescent="0.25">
      <c r="A24" t="s">
        <v>239</v>
      </c>
      <c r="B24">
        <v>2</v>
      </c>
      <c r="C24">
        <v>7500</v>
      </c>
      <c r="D24">
        <v>4073</v>
      </c>
      <c r="E24">
        <v>54.3</v>
      </c>
      <c r="F24">
        <v>0.79</v>
      </c>
      <c r="G24">
        <v>514316</v>
      </c>
    </row>
    <row r="25" spans="1:7" x14ac:dyDescent="0.25">
      <c r="A25" t="s">
        <v>239</v>
      </c>
      <c r="B25">
        <v>3</v>
      </c>
      <c r="C25">
        <v>7662</v>
      </c>
      <c r="D25">
        <v>3983</v>
      </c>
      <c r="E25">
        <v>52</v>
      </c>
      <c r="F25">
        <v>0.8</v>
      </c>
      <c r="G25">
        <v>500858</v>
      </c>
    </row>
    <row r="26" spans="1:7" x14ac:dyDescent="0.25">
      <c r="A26" t="s">
        <v>239</v>
      </c>
      <c r="B26">
        <v>4</v>
      </c>
      <c r="C26">
        <v>7415</v>
      </c>
      <c r="D26">
        <v>3799</v>
      </c>
      <c r="E26">
        <v>51.2</v>
      </c>
      <c r="F26">
        <v>0.77</v>
      </c>
      <c r="G26">
        <v>493970</v>
      </c>
    </row>
    <row r="27" spans="1:7" x14ac:dyDescent="0.25">
      <c r="A27" t="s">
        <v>239</v>
      </c>
      <c r="B27">
        <v>5</v>
      </c>
      <c r="C27">
        <v>7074</v>
      </c>
      <c r="D27">
        <v>3690</v>
      </c>
      <c r="E27">
        <v>52.2</v>
      </c>
      <c r="F27">
        <v>0.8</v>
      </c>
      <c r="G27">
        <v>463248</v>
      </c>
    </row>
    <row r="28" spans="1:7" x14ac:dyDescent="0.25">
      <c r="A28" t="s">
        <v>760</v>
      </c>
      <c r="B28">
        <v>1</v>
      </c>
      <c r="C28">
        <v>5596</v>
      </c>
      <c r="D28">
        <v>2750</v>
      </c>
      <c r="E28">
        <v>49.1</v>
      </c>
      <c r="F28">
        <v>0.51</v>
      </c>
      <c r="G28">
        <v>536037</v>
      </c>
    </row>
    <row r="29" spans="1:7" x14ac:dyDescent="0.25">
      <c r="A29" t="s">
        <v>760</v>
      </c>
      <c r="B29">
        <v>2</v>
      </c>
      <c r="C29">
        <v>7144</v>
      </c>
      <c r="D29">
        <v>3747</v>
      </c>
      <c r="E29">
        <v>52.4</v>
      </c>
      <c r="F29">
        <v>0.72</v>
      </c>
      <c r="G29">
        <v>518089</v>
      </c>
    </row>
    <row r="30" spans="1:7" x14ac:dyDescent="0.25">
      <c r="A30" t="s">
        <v>760</v>
      </c>
      <c r="B30">
        <v>3</v>
      </c>
      <c r="C30">
        <v>7292</v>
      </c>
      <c r="D30">
        <v>3557</v>
      </c>
      <c r="E30">
        <v>48.8</v>
      </c>
      <c r="F30">
        <v>0.7</v>
      </c>
      <c r="G30">
        <v>505001</v>
      </c>
    </row>
    <row r="31" spans="1:7" x14ac:dyDescent="0.25">
      <c r="A31" t="s">
        <v>760</v>
      </c>
      <c r="B31">
        <v>4</v>
      </c>
      <c r="C31">
        <v>7621</v>
      </c>
      <c r="D31">
        <v>3533</v>
      </c>
      <c r="E31">
        <v>46.4</v>
      </c>
      <c r="F31">
        <v>0.7</v>
      </c>
      <c r="G31">
        <v>501595</v>
      </c>
    </row>
    <row r="32" spans="1:7" x14ac:dyDescent="0.25">
      <c r="A32" t="s">
        <v>760</v>
      </c>
      <c r="B32">
        <v>5</v>
      </c>
      <c r="C32">
        <v>6942</v>
      </c>
      <c r="D32">
        <v>3404</v>
      </c>
      <c r="E32">
        <v>49</v>
      </c>
      <c r="F32">
        <v>0.73</v>
      </c>
      <c r="G32">
        <v>467052</v>
      </c>
    </row>
    <row r="33" spans="1:7" x14ac:dyDescent="0.25">
      <c r="A33" t="s">
        <v>917</v>
      </c>
      <c r="B33">
        <v>1</v>
      </c>
      <c r="C33">
        <v>1867</v>
      </c>
      <c r="D33">
        <v>1040</v>
      </c>
      <c r="E33">
        <v>55.7</v>
      </c>
      <c r="F33">
        <v>0.19</v>
      </c>
      <c r="G33">
        <v>536888</v>
      </c>
    </row>
    <row r="34" spans="1:7" x14ac:dyDescent="0.25">
      <c r="A34" t="s">
        <v>917</v>
      </c>
      <c r="B34">
        <v>2</v>
      </c>
      <c r="C34">
        <v>2345</v>
      </c>
      <c r="D34">
        <v>1302</v>
      </c>
      <c r="E34">
        <v>55.5</v>
      </c>
      <c r="F34">
        <v>0.25</v>
      </c>
      <c r="G34">
        <v>518933</v>
      </c>
    </row>
    <row r="35" spans="1:7" x14ac:dyDescent="0.25">
      <c r="A35" t="s">
        <v>917</v>
      </c>
      <c r="B35">
        <v>3</v>
      </c>
      <c r="C35">
        <v>2231</v>
      </c>
      <c r="D35">
        <v>1194</v>
      </c>
      <c r="E35">
        <v>53.5</v>
      </c>
      <c r="F35">
        <v>0.24</v>
      </c>
      <c r="G35">
        <v>507851</v>
      </c>
    </row>
    <row r="36" spans="1:7" x14ac:dyDescent="0.25">
      <c r="A36" t="s">
        <v>917</v>
      </c>
      <c r="B36">
        <v>4</v>
      </c>
      <c r="C36">
        <v>2290</v>
      </c>
      <c r="D36">
        <v>1261</v>
      </c>
      <c r="E36">
        <v>55.1</v>
      </c>
      <c r="F36">
        <v>0.25</v>
      </c>
      <c r="G36">
        <v>506063</v>
      </c>
    </row>
    <row r="37" spans="1:7" x14ac:dyDescent="0.25">
      <c r="A37" t="s">
        <v>917</v>
      </c>
      <c r="B37">
        <v>5</v>
      </c>
      <c r="C37">
        <v>2073</v>
      </c>
      <c r="D37">
        <v>1177</v>
      </c>
      <c r="E37">
        <v>56.8</v>
      </c>
      <c r="F37">
        <v>0.25</v>
      </c>
      <c r="G37">
        <v>469008</v>
      </c>
    </row>
    <row r="38" spans="1:7" x14ac:dyDescent="0.25">
      <c r="A38" t="s">
        <v>1010</v>
      </c>
      <c r="B38">
        <v>1</v>
      </c>
    </row>
    <row r="39" spans="1:7" x14ac:dyDescent="0.25">
      <c r="A39" t="s">
        <v>1010</v>
      </c>
      <c r="B39">
        <v>2</v>
      </c>
    </row>
    <row r="40" spans="1:7" x14ac:dyDescent="0.25">
      <c r="A40" t="s">
        <v>1010</v>
      </c>
      <c r="B40">
        <v>3</v>
      </c>
    </row>
    <row r="41" spans="1:7" x14ac:dyDescent="0.25">
      <c r="A41" t="s">
        <v>1010</v>
      </c>
      <c r="B41">
        <v>4</v>
      </c>
    </row>
    <row r="42" spans="1:7" x14ac:dyDescent="0.25">
      <c r="A42" t="s">
        <v>1010</v>
      </c>
      <c r="B42">
        <v>5</v>
      </c>
    </row>
    <row r="43" spans="1:7" x14ac:dyDescent="0.25">
      <c r="A43" t="s">
        <v>1061</v>
      </c>
      <c r="B43">
        <v>1</v>
      </c>
    </row>
    <row r="44" spans="1:7" x14ac:dyDescent="0.25">
      <c r="A44" t="s">
        <v>1061</v>
      </c>
      <c r="B44">
        <v>2</v>
      </c>
    </row>
    <row r="45" spans="1:7" x14ac:dyDescent="0.25">
      <c r="A45" t="s">
        <v>1061</v>
      </c>
      <c r="B45">
        <v>3</v>
      </c>
    </row>
    <row r="46" spans="1:7" x14ac:dyDescent="0.25">
      <c r="A46" t="s">
        <v>1061</v>
      </c>
      <c r="B46">
        <v>4</v>
      </c>
    </row>
    <row r="47" spans="1:7" x14ac:dyDescent="0.25">
      <c r="A47" t="s">
        <v>1061</v>
      </c>
      <c r="B47">
        <v>5</v>
      </c>
    </row>
    <row r="48" spans="1:7" x14ac:dyDescent="0.25">
      <c r="A48" t="s">
        <v>1108</v>
      </c>
      <c r="B48">
        <v>1</v>
      </c>
      <c r="C48">
        <v>2789</v>
      </c>
      <c r="D48">
        <v>981</v>
      </c>
      <c r="E48">
        <v>35.200000000000003</v>
      </c>
      <c r="F48">
        <v>0.18</v>
      </c>
      <c r="G48">
        <v>544255</v>
      </c>
    </row>
    <row r="49" spans="1:7" x14ac:dyDescent="0.25">
      <c r="A49" t="s">
        <v>1108</v>
      </c>
      <c r="B49">
        <v>2</v>
      </c>
      <c r="C49">
        <v>3963</v>
      </c>
      <c r="D49">
        <v>1238</v>
      </c>
      <c r="E49">
        <v>31.2</v>
      </c>
      <c r="F49">
        <v>0.23</v>
      </c>
      <c r="G49">
        <v>527943</v>
      </c>
    </row>
    <row r="50" spans="1:7" x14ac:dyDescent="0.25">
      <c r="A50" t="s">
        <v>1108</v>
      </c>
      <c r="B50">
        <v>3</v>
      </c>
      <c r="C50">
        <v>3702</v>
      </c>
      <c r="D50">
        <v>982</v>
      </c>
      <c r="E50">
        <v>26.5</v>
      </c>
      <c r="F50">
        <v>0.19</v>
      </c>
      <c r="G50">
        <v>522313</v>
      </c>
    </row>
    <row r="51" spans="1:7" x14ac:dyDescent="0.25">
      <c r="A51" t="s">
        <v>1108</v>
      </c>
      <c r="B51">
        <v>4</v>
      </c>
      <c r="C51">
        <v>3734</v>
      </c>
      <c r="D51">
        <v>865</v>
      </c>
      <c r="E51">
        <v>23.2</v>
      </c>
      <c r="F51">
        <v>0.16</v>
      </c>
      <c r="G51">
        <v>530772</v>
      </c>
    </row>
    <row r="52" spans="1:7" x14ac:dyDescent="0.25">
      <c r="A52" t="s">
        <v>1108</v>
      </c>
      <c r="B52">
        <v>5</v>
      </c>
      <c r="C52">
        <v>3529</v>
      </c>
      <c r="D52">
        <v>837</v>
      </c>
      <c r="E52">
        <v>23.7</v>
      </c>
      <c r="F52">
        <v>0.17</v>
      </c>
      <c r="G52">
        <v>479297</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7" tint="-0.249977111117893"/>
  </sheetPr>
  <dimension ref="A1:K50"/>
  <sheetViews>
    <sheetView showGridLines="0" zoomScaleNormal="100" workbookViewId="0">
      <pane ySplit="2" topLeftCell="A3" activePane="bottomLeft" state="frozen"/>
      <selection pane="bottomLeft"/>
    </sheetView>
  </sheetViews>
  <sheetFormatPr defaultColWidth="9.28515625" defaultRowHeight="15" x14ac:dyDescent="0.25"/>
  <cols>
    <col min="1" max="1" width="19.140625" customWidth="1"/>
    <col min="2" max="8" width="23.85546875" customWidth="1"/>
  </cols>
  <sheetData>
    <row r="1" spans="1:11" ht="15.75" x14ac:dyDescent="0.25">
      <c r="A1" s="522" t="s">
        <v>533</v>
      </c>
      <c r="B1" s="522"/>
      <c r="C1" s="522"/>
    </row>
    <row r="2" spans="1:11" ht="15.75" x14ac:dyDescent="0.25">
      <c r="A2" s="507" t="s">
        <v>511</v>
      </c>
      <c r="B2" s="449"/>
      <c r="C2" s="449"/>
    </row>
    <row r="3" spans="1:11" x14ac:dyDescent="0.25">
      <c r="A3" s="25"/>
      <c r="B3" s="25"/>
      <c r="C3" s="25"/>
      <c r="D3" s="25"/>
      <c r="E3" s="25"/>
      <c r="F3" s="25"/>
      <c r="G3" s="25"/>
      <c r="H3" s="25"/>
      <c r="I3" s="25"/>
      <c r="J3" s="25"/>
      <c r="K3" s="25"/>
    </row>
    <row r="4" spans="1:11" ht="15.75" x14ac:dyDescent="0.25">
      <c r="A4" s="531" t="s">
        <v>896</v>
      </c>
      <c r="B4" s="531"/>
      <c r="C4" s="531"/>
      <c r="D4" s="531"/>
      <c r="E4" s="531"/>
      <c r="F4" s="531"/>
      <c r="G4" s="531"/>
      <c r="H4" s="531"/>
      <c r="I4" s="531"/>
      <c r="J4" s="531"/>
      <c r="K4" s="531"/>
    </row>
    <row r="5" spans="1:11" ht="15.75" x14ac:dyDescent="0.25">
      <c r="A5" t="s">
        <v>328</v>
      </c>
      <c r="B5" t="s">
        <v>907</v>
      </c>
      <c r="C5" s="508"/>
      <c r="D5" s="508"/>
      <c r="E5" s="508"/>
      <c r="F5" s="508"/>
      <c r="G5" s="508"/>
      <c r="H5" s="508"/>
      <c r="I5" s="508"/>
      <c r="J5" s="508"/>
      <c r="K5" s="508"/>
    </row>
    <row r="6" spans="1:11" ht="15.75" x14ac:dyDescent="0.25">
      <c r="A6" t="s">
        <v>329</v>
      </c>
      <c r="B6" t="s">
        <v>331</v>
      </c>
      <c r="C6" s="508"/>
      <c r="D6" s="508"/>
      <c r="E6" s="508"/>
      <c r="F6" s="508"/>
      <c r="G6" s="508"/>
      <c r="H6" s="508"/>
      <c r="I6" s="508"/>
      <c r="J6" s="508"/>
      <c r="K6" s="508"/>
    </row>
    <row r="7" spans="1:11" ht="15.75" x14ac:dyDescent="0.25">
      <c r="A7" t="s">
        <v>330</v>
      </c>
      <c r="B7" t="s">
        <v>748</v>
      </c>
      <c r="C7" s="508"/>
      <c r="D7" s="508"/>
      <c r="E7" s="508"/>
      <c r="F7" s="508"/>
      <c r="G7" s="508"/>
      <c r="H7" s="508"/>
      <c r="I7" s="508"/>
      <c r="J7" s="508"/>
      <c r="K7" s="508"/>
    </row>
    <row r="9" spans="1:11" x14ac:dyDescent="0.25">
      <c r="D9" s="537" t="s">
        <v>894</v>
      </c>
    </row>
    <row r="10" spans="1:11" s="317" customFormat="1" x14ac:dyDescent="0.25">
      <c r="A10" s="535" t="s">
        <v>1</v>
      </c>
      <c r="B10" s="535" t="s">
        <v>366</v>
      </c>
      <c r="C10" s="535">
        <v>2</v>
      </c>
      <c r="D10" s="535">
        <v>3</v>
      </c>
      <c r="E10" s="535">
        <v>4</v>
      </c>
      <c r="F10" s="535" t="s">
        <v>367</v>
      </c>
      <c r="G10"/>
    </row>
    <row r="11" spans="1:11" x14ac:dyDescent="0.25">
      <c r="A11" s="317" t="s">
        <v>191</v>
      </c>
      <c r="B11" s="716">
        <f>'SIMD-Alarms'!B11/'SIMD-Visits'!B11*100</f>
        <v>33.105496106224436</v>
      </c>
      <c r="C11" s="716">
        <f>'SIMD-Alarms'!C11/'SIMD-Visits'!C11*100</f>
        <v>39.18400704092538</v>
      </c>
      <c r="D11" s="716">
        <f>'SIMD-Alarms'!D11/'SIMD-Visits'!D11*100</f>
        <v>41.671235022319678</v>
      </c>
      <c r="E11" s="716">
        <f>'SIMD-Alarms'!E11/'SIMD-Visits'!E11*100</f>
        <v>47.864751294830448</v>
      </c>
      <c r="F11" s="716">
        <f>'SIMD-Alarms'!F11/'SIMD-Visits'!F11*100</f>
        <v>52.439444380668121</v>
      </c>
    </row>
    <row r="12" spans="1:11" x14ac:dyDescent="0.25">
      <c r="A12" s="317" t="s">
        <v>190</v>
      </c>
      <c r="B12" s="716">
        <f>'SIMD-Alarms'!B12/'SIMD-Visits'!B12*100</f>
        <v>31.514735396640965</v>
      </c>
      <c r="C12" s="716">
        <f>'SIMD-Alarms'!C12/'SIMD-Visits'!C12*100</f>
        <v>37.338315607933318</v>
      </c>
      <c r="D12" s="716">
        <f>'SIMD-Alarms'!D12/'SIMD-Visits'!D12*100</f>
        <v>41.327471280669407</v>
      </c>
      <c r="E12" s="716">
        <f>'SIMD-Alarms'!E12/'SIMD-Visits'!E12*100</f>
        <v>45.255288420694924</v>
      </c>
      <c r="F12" s="716">
        <f>'SIMD-Alarms'!F12/'SIMD-Visits'!F12*100</f>
        <v>50.231556273559505</v>
      </c>
    </row>
    <row r="13" spans="1:11" x14ac:dyDescent="0.25">
      <c r="A13" s="317" t="s">
        <v>257</v>
      </c>
      <c r="B13" s="716">
        <f>'SIMD-Alarms'!B13/'SIMD-Visits'!B13*100</f>
        <v>32.799683204163607</v>
      </c>
      <c r="C13" s="716">
        <f>'SIMD-Alarms'!C13/'SIMD-Visits'!C13*100</f>
        <v>39.010301911510744</v>
      </c>
      <c r="D13" s="716">
        <f>'SIMD-Alarms'!D13/'SIMD-Visits'!D13*100</f>
        <v>42.120546780933495</v>
      </c>
      <c r="E13" s="716">
        <f>'SIMD-Alarms'!E13/'SIMD-Visits'!E13*100</f>
        <v>45.226980038634899</v>
      </c>
      <c r="F13" s="716">
        <f>'SIMD-Alarms'!F13/'SIMD-Visits'!F13*100</f>
        <v>52.580745664139585</v>
      </c>
    </row>
    <row r="14" spans="1:11" x14ac:dyDescent="0.25">
      <c r="A14" s="317" t="s">
        <v>240</v>
      </c>
      <c r="B14" s="716">
        <f>'SIMD-Alarms'!B14/'SIMD-Visits'!B14*100</f>
        <v>30.141134483318012</v>
      </c>
      <c r="C14" s="716">
        <f>'SIMD-Alarms'!C14/'SIMD-Visits'!C14*100</f>
        <v>38.389960208142028</v>
      </c>
      <c r="D14" s="716">
        <f>'SIMD-Alarms'!D14/'SIMD-Visits'!D14*100</f>
        <v>41.430027668559774</v>
      </c>
      <c r="E14" s="716">
        <f>'SIMD-Alarms'!E14/'SIMD-Visits'!E14*100</f>
        <v>44.898642988775336</v>
      </c>
      <c r="F14" s="716">
        <f>'SIMD-Alarms'!F14/'SIMD-Visits'!F14*100</f>
        <v>52.271495175105706</v>
      </c>
    </row>
    <row r="15" spans="1:11" x14ac:dyDescent="0.25">
      <c r="A15" s="317" t="s">
        <v>239</v>
      </c>
      <c r="B15" s="716">
        <f>'SIMD-Alarms'!B15/'SIMD-Visits'!B15*100</f>
        <v>26.500950130963997</v>
      </c>
      <c r="C15" s="716">
        <f>'SIMD-Alarms'!C15/'SIMD-Visits'!C15*100</f>
        <v>33.944954128440372</v>
      </c>
      <c r="D15" s="716">
        <f>'SIMD-Alarms'!D15/'SIMD-Visits'!D15*100</f>
        <v>37.45242892321469</v>
      </c>
      <c r="E15" s="716">
        <f>'SIMD-Alarms'!E15/'SIMD-Visits'!E15*100</f>
        <v>41.121409562264844</v>
      </c>
      <c r="F15" s="716">
        <f>'SIMD-Alarms'!F15/'SIMD-Visits'!F15*100</f>
        <v>47.285246641833162</v>
      </c>
    </row>
    <row r="16" spans="1:11" x14ac:dyDescent="0.25">
      <c r="A16" s="317" t="s">
        <v>760</v>
      </c>
      <c r="B16" s="716">
        <f>'SIMD-Alarms'!B16/'SIMD-Visits'!B16*100</f>
        <v>23.731745789446904</v>
      </c>
      <c r="C16" s="716">
        <f>'SIMD-Alarms'!C16/'SIMD-Visits'!C16*100</f>
        <v>31.615720524017465</v>
      </c>
      <c r="D16" s="716">
        <f>'SIMD-Alarms'!D16/'SIMD-Visits'!D16*100</f>
        <v>33.893599459743378</v>
      </c>
      <c r="E16" s="716">
        <f>'SIMD-Alarms'!E16/'SIMD-Visits'!E16*100</f>
        <v>37.213622291021672</v>
      </c>
      <c r="F16" s="716">
        <f>'SIMD-Alarms'!F16/'SIMD-Visits'!F16*100</f>
        <v>43.630317624125674</v>
      </c>
    </row>
    <row r="17" spans="1:11" x14ac:dyDescent="0.25">
      <c r="A17" s="317" t="s">
        <v>917</v>
      </c>
      <c r="B17" s="716">
        <f>'SIMD-Alarms'!B17/'SIMD-Visits'!B17*100</f>
        <v>30.196779964221825</v>
      </c>
      <c r="C17" s="716">
        <f>'SIMD-Alarms'!C17/'SIMD-Visits'!C17*100</f>
        <v>35.259875259875258</v>
      </c>
      <c r="D17" s="716">
        <f>'SIMD-Alarms'!D17/'SIMD-Visits'!D17*100</f>
        <v>39.579451690178338</v>
      </c>
      <c r="E17" s="716">
        <f>'SIMD-Alarms'!E17/'SIMD-Visits'!E17*100</f>
        <v>45.432250153280194</v>
      </c>
      <c r="F17" s="716">
        <f>'SIMD-Alarms'!F17/'SIMD-Visits'!F17*100</f>
        <v>51.789225324419974</v>
      </c>
    </row>
    <row r="18" spans="1:11" x14ac:dyDescent="0.25">
      <c r="A18" s="317" t="s">
        <v>1010</v>
      </c>
      <c r="B18" s="912"/>
      <c r="C18" s="912"/>
      <c r="D18" s="912"/>
      <c r="E18" s="912"/>
      <c r="F18" s="912"/>
    </row>
    <row r="19" spans="1:11" x14ac:dyDescent="0.25">
      <c r="A19" s="317" t="s">
        <v>1061</v>
      </c>
      <c r="B19" s="912"/>
      <c r="C19" s="912"/>
      <c r="D19" s="912"/>
      <c r="E19" s="912"/>
      <c r="F19" s="912"/>
    </row>
    <row r="20" spans="1:11" ht="15.75" thickBot="1" x14ac:dyDescent="0.3">
      <c r="A20" s="533" t="s">
        <v>1108</v>
      </c>
      <c r="B20" s="911">
        <f>'SIMD-Alarms'!B20/'SIMD-Visits'!B20*100</f>
        <v>13.567323481116583</v>
      </c>
      <c r="C20" s="911">
        <f>'SIMD-Alarms'!C20/'SIMD-Visits'!C20*100</f>
        <v>15.887348167257873</v>
      </c>
      <c r="D20" s="911">
        <f>'SIMD-Alarms'!D20/'SIMD-Visits'!D20*100</f>
        <v>16.731461483081354</v>
      </c>
      <c r="E20" s="911">
        <f>'SIMD-Alarms'!E20/'SIMD-Visits'!E20*100</f>
        <v>17.412417620534164</v>
      </c>
      <c r="F20" s="911">
        <f>'SIMD-Alarms'!F20/'SIMD-Visits'!F20*100</f>
        <v>20.647419072615921</v>
      </c>
    </row>
    <row r="22" spans="1:11" x14ac:dyDescent="0.25">
      <c r="A22" s="317" t="s">
        <v>8</v>
      </c>
    </row>
    <row r="23" spans="1:11" x14ac:dyDescent="0.25">
      <c r="A23" t="s">
        <v>898</v>
      </c>
    </row>
    <row r="24" spans="1:11" x14ac:dyDescent="0.25">
      <c r="A24" s="574" t="s">
        <v>747</v>
      </c>
    </row>
    <row r="25" spans="1:11" x14ac:dyDescent="0.25">
      <c r="A25" t="s">
        <v>1231</v>
      </c>
    </row>
    <row r="26" spans="1:11" ht="29.45" customHeight="1" x14ac:dyDescent="0.25">
      <c r="A26" s="992" t="s">
        <v>1264</v>
      </c>
      <c r="B26" s="992"/>
      <c r="C26" s="992"/>
      <c r="D26" s="992"/>
      <c r="E26" s="992"/>
      <c r="F26" s="992"/>
    </row>
    <row r="28" spans="1:11" ht="15.75" customHeight="1" x14ac:dyDescent="0.25">
      <c r="A28" s="531" t="s">
        <v>897</v>
      </c>
      <c r="B28" s="531"/>
      <c r="C28" s="531"/>
      <c r="D28" s="531"/>
      <c r="E28" s="531"/>
      <c r="F28" s="531"/>
      <c r="G28" s="531"/>
      <c r="H28" s="531"/>
      <c r="I28" s="531"/>
      <c r="J28" s="531"/>
      <c r="K28" s="531"/>
    </row>
    <row r="29" spans="1:11" ht="15.75" x14ac:dyDescent="0.25">
      <c r="A29" t="s">
        <v>328</v>
      </c>
      <c r="B29" t="s">
        <v>908</v>
      </c>
      <c r="C29" s="508"/>
      <c r="D29" s="508"/>
      <c r="E29" s="508"/>
      <c r="F29" s="508"/>
      <c r="G29" s="508"/>
      <c r="H29" s="508"/>
      <c r="I29" s="508"/>
      <c r="J29" s="508"/>
      <c r="K29" s="508"/>
    </row>
    <row r="30" spans="1:11" ht="15.75" x14ac:dyDescent="0.25">
      <c r="A30" t="s">
        <v>329</v>
      </c>
      <c r="B30" t="s">
        <v>331</v>
      </c>
      <c r="C30" s="508"/>
      <c r="D30" s="508"/>
      <c r="E30" s="508"/>
      <c r="F30" s="508"/>
      <c r="G30" s="508"/>
      <c r="H30" s="508"/>
      <c r="I30" s="508"/>
      <c r="J30" s="508"/>
      <c r="K30" s="508"/>
    </row>
    <row r="31" spans="1:11" ht="15.75" x14ac:dyDescent="0.25">
      <c r="A31" t="s">
        <v>330</v>
      </c>
      <c r="B31" t="s">
        <v>748</v>
      </c>
      <c r="C31" s="508"/>
      <c r="D31" s="508"/>
      <c r="E31" s="508"/>
      <c r="F31" s="508"/>
      <c r="G31" s="508"/>
      <c r="H31" s="508"/>
      <c r="I31" s="508"/>
      <c r="J31" s="508"/>
      <c r="K31" s="508"/>
    </row>
    <row r="33" spans="1:6" x14ac:dyDescent="0.25">
      <c r="A33" s="317"/>
      <c r="C33" s="536"/>
      <c r="D33" s="537" t="s">
        <v>895</v>
      </c>
      <c r="E33" s="536"/>
      <c r="F33" s="536"/>
    </row>
    <row r="34" spans="1:6" x14ac:dyDescent="0.25">
      <c r="A34" s="535" t="s">
        <v>1</v>
      </c>
      <c r="B34" s="535" t="s">
        <v>366</v>
      </c>
      <c r="C34" s="535">
        <v>2</v>
      </c>
      <c r="D34" s="535">
        <v>3</v>
      </c>
      <c r="E34" s="535">
        <v>4</v>
      </c>
      <c r="F34" s="535" t="s">
        <v>367</v>
      </c>
    </row>
    <row r="35" spans="1:6" x14ac:dyDescent="0.25">
      <c r="A35" s="317" t="s">
        <v>191</v>
      </c>
      <c r="B35" s="774">
        <f>GETPIVOTDATA("pcAlarmsFitted",'SIMD%AlarmPivot'!$B$4,"FisYr",A35,"SIMD2020_Quintile",1)</f>
        <v>54.9</v>
      </c>
      <c r="C35" s="774">
        <f>GETPIVOTDATA("pcAlarmsFitted",'SIMD%AlarmPivot'!$B$4,"FisYr",A35,"SIMD2020_Quintile",2)</f>
        <v>57.6</v>
      </c>
      <c r="D35" s="774">
        <f>GETPIVOTDATA("pcAlarmsFitted",'SIMD%AlarmPivot'!$B$4,"FisYr",A35,"SIMD2020_Quintile",3)</f>
        <v>55.4</v>
      </c>
      <c r="E35" s="774">
        <f>GETPIVOTDATA("pcAlarmsFitted",'SIMD%AlarmPivot'!$B$4,"FisYr",A35,"SIMD2020_Quintile",4)</f>
        <v>56.7</v>
      </c>
      <c r="F35" s="774">
        <f>GETPIVOTDATA("pcAlarmsFitted",'SIMD%AlarmPivot'!$B$4,"FisYr",A35,"SIMD2020_Quintile",5)</f>
        <v>57.1</v>
      </c>
    </row>
    <row r="36" spans="1:6" x14ac:dyDescent="0.25">
      <c r="A36" s="317" t="s">
        <v>190</v>
      </c>
      <c r="B36" s="774">
        <f>GETPIVOTDATA("pcAlarmsFitted",'SIMD%AlarmPivot'!$B$4,"FisYr",A36,"SIMD2020_Quintile",1)</f>
        <v>53.9</v>
      </c>
      <c r="C36" s="774">
        <f>GETPIVOTDATA("pcAlarmsFitted",'SIMD%AlarmPivot'!$B$4,"FisYr",A36,"SIMD2020_Quintile",2)</f>
        <v>55.6</v>
      </c>
      <c r="D36" s="774">
        <f>GETPIVOTDATA("pcAlarmsFitted",'SIMD%AlarmPivot'!$B$4,"FisYr",A36,"SIMD2020_Quintile",3)</f>
        <v>55.7</v>
      </c>
      <c r="E36" s="774">
        <f>GETPIVOTDATA("pcAlarmsFitted",'SIMD%AlarmPivot'!$B$4,"FisYr",A36,"SIMD2020_Quintile",4)</f>
        <v>53.4</v>
      </c>
      <c r="F36" s="774">
        <f>GETPIVOTDATA("pcAlarmsFitted",'SIMD%AlarmPivot'!$B$4,"FisYr",A36,"SIMD2020_Quintile",5)</f>
        <v>55.9</v>
      </c>
    </row>
    <row r="37" spans="1:6" x14ac:dyDescent="0.25">
      <c r="A37" s="317" t="s">
        <v>257</v>
      </c>
      <c r="B37" s="774">
        <f>GETPIVOTDATA("pcAlarmsFitted",'SIMD%AlarmPivot'!$B$4,"FisYr",A37,"SIMD2020_Quintile",1)</f>
        <v>54.7</v>
      </c>
      <c r="C37" s="774">
        <f>GETPIVOTDATA("pcAlarmsFitted",'SIMD%AlarmPivot'!$B$4,"FisYr",A37,"SIMD2020_Quintile",2)</f>
        <v>56.6</v>
      </c>
      <c r="D37" s="774">
        <f>GETPIVOTDATA("pcAlarmsFitted",'SIMD%AlarmPivot'!$B$4,"FisYr",A37,"SIMD2020_Quintile",3)</f>
        <v>54.6</v>
      </c>
      <c r="E37" s="774">
        <f>GETPIVOTDATA("pcAlarmsFitted",'SIMD%AlarmPivot'!$B$4,"FisYr",A37,"SIMD2020_Quintile",4)</f>
        <v>53.4</v>
      </c>
      <c r="F37" s="774">
        <f>GETPIVOTDATA("pcAlarmsFitted",'SIMD%AlarmPivot'!$B$4,"FisYr",A37,"SIMD2020_Quintile",5)</f>
        <v>56</v>
      </c>
    </row>
    <row r="38" spans="1:6" x14ac:dyDescent="0.25">
      <c r="A38" s="317" t="s">
        <v>240</v>
      </c>
      <c r="B38" s="774">
        <f>GETPIVOTDATA("pcAlarmsFitted",'SIMD%AlarmPivot'!$B$4,"FisYr",A38,"SIMD2020_Quintile",1)</f>
        <v>52.7</v>
      </c>
      <c r="C38" s="774">
        <f>GETPIVOTDATA("pcAlarmsFitted",'SIMD%AlarmPivot'!$B$4,"FisYr",A38,"SIMD2020_Quintile",2)</f>
        <v>56.9</v>
      </c>
      <c r="D38" s="774">
        <f>GETPIVOTDATA("pcAlarmsFitted",'SIMD%AlarmPivot'!$B$4,"FisYr",A38,"SIMD2020_Quintile",3)</f>
        <v>54.7</v>
      </c>
      <c r="E38" s="774">
        <f>GETPIVOTDATA("pcAlarmsFitted",'SIMD%AlarmPivot'!$B$4,"FisYr",A38,"SIMD2020_Quintile",4)</f>
        <v>53.2</v>
      </c>
      <c r="F38" s="774">
        <f>GETPIVOTDATA("pcAlarmsFitted",'SIMD%AlarmPivot'!$B$4,"FisYr",A38,"SIMD2020_Quintile",5)</f>
        <v>56.9</v>
      </c>
    </row>
    <row r="39" spans="1:6" x14ac:dyDescent="0.25">
      <c r="A39" s="317" t="s">
        <v>239</v>
      </c>
      <c r="B39" s="774">
        <f>GETPIVOTDATA("pcAlarmsFitted",'SIMD%AlarmPivot'!$B$4,"FisYr",A39,"SIMD2020_Quintile",1)</f>
        <v>52.2</v>
      </c>
      <c r="C39" s="774">
        <f>GETPIVOTDATA("pcAlarmsFitted",'SIMD%AlarmPivot'!$B$4,"FisYr",A39,"SIMD2020_Quintile",2)</f>
        <v>54.3</v>
      </c>
      <c r="D39" s="774">
        <f>GETPIVOTDATA("pcAlarmsFitted",'SIMD%AlarmPivot'!$B$4,"FisYr",A39,"SIMD2020_Quintile",3)</f>
        <v>52</v>
      </c>
      <c r="E39" s="774">
        <f>GETPIVOTDATA("pcAlarmsFitted",'SIMD%AlarmPivot'!$B$4,"FisYr",A39,"SIMD2020_Quintile",4)</f>
        <v>51.2</v>
      </c>
      <c r="F39" s="774">
        <f>GETPIVOTDATA("pcAlarmsFitted",'SIMD%AlarmPivot'!$B$4,"FisYr",A39,"SIMD2020_Quintile",5)</f>
        <v>52.2</v>
      </c>
    </row>
    <row r="40" spans="1:6" x14ac:dyDescent="0.25">
      <c r="A40" s="317" t="s">
        <v>760</v>
      </c>
      <c r="B40" s="774">
        <f>GETPIVOTDATA("pcAlarmsFitted",'SIMD%AlarmPivot'!$B$4,"FisYr",A40,"SIMD2020_Quintile",1)</f>
        <v>49.1</v>
      </c>
      <c r="C40" s="774">
        <f>GETPIVOTDATA("pcAlarmsFitted",'SIMD%AlarmPivot'!$B$4,"FisYr",A40,"SIMD2020_Quintile",2)</f>
        <v>52.4</v>
      </c>
      <c r="D40" s="774">
        <f>GETPIVOTDATA("pcAlarmsFitted",'SIMD%AlarmPivot'!$B$4,"FisYr",A40,"SIMD2020_Quintile",3)</f>
        <v>48.8</v>
      </c>
      <c r="E40" s="774">
        <f>GETPIVOTDATA("pcAlarmsFitted",'SIMD%AlarmPivot'!$B$4,"FisYr",A40,"SIMD2020_Quintile",4)</f>
        <v>46.4</v>
      </c>
      <c r="F40" s="774">
        <f>GETPIVOTDATA("pcAlarmsFitted",'SIMD%AlarmPivot'!$B$4,"FisYr",A40,"SIMD2020_Quintile",5)</f>
        <v>49</v>
      </c>
    </row>
    <row r="41" spans="1:6" x14ac:dyDescent="0.25">
      <c r="A41" s="317" t="s">
        <v>917</v>
      </c>
      <c r="B41" s="774">
        <f>GETPIVOTDATA("pcAlarmsFitted",'SIMD%AlarmPivot'!$B$4,"FisYr",A41,"SIMD2020_Quintile",1)</f>
        <v>55.7</v>
      </c>
      <c r="C41" s="774">
        <f>GETPIVOTDATA("pcAlarmsFitted",'SIMD%AlarmPivot'!$B$4,"FisYr",A41,"SIMD2020_Quintile",2)</f>
        <v>55.5</v>
      </c>
      <c r="D41" s="774">
        <f>GETPIVOTDATA("pcAlarmsFitted",'SIMD%AlarmPivot'!$B$4,"FisYr",A41,"SIMD2020_Quintile",3)</f>
        <v>53.5</v>
      </c>
      <c r="E41" s="774">
        <f>GETPIVOTDATA("pcAlarmsFitted",'SIMD%AlarmPivot'!$B$4,"FisYr",A41,"SIMD2020_Quintile",4)</f>
        <v>55.1</v>
      </c>
      <c r="F41" s="774">
        <f>GETPIVOTDATA("pcAlarmsFitted",'SIMD%AlarmPivot'!$B$4,"FisYr",A41,"SIMD2020_Quintile",5)</f>
        <v>56.8</v>
      </c>
    </row>
    <row r="42" spans="1:6" x14ac:dyDescent="0.25">
      <c r="A42" s="317" t="s">
        <v>1010</v>
      </c>
      <c r="B42" s="927"/>
      <c r="C42" s="927"/>
      <c r="D42" s="927"/>
      <c r="E42" s="927"/>
      <c r="F42" s="927"/>
    </row>
    <row r="43" spans="1:6" x14ac:dyDescent="0.25">
      <c r="A43" s="317" t="s">
        <v>1061</v>
      </c>
      <c r="B43" s="927"/>
      <c r="C43" s="927"/>
      <c r="D43" s="927"/>
      <c r="E43" s="927"/>
      <c r="F43" s="927"/>
    </row>
    <row r="44" spans="1:6" ht="15.75" thickBot="1" x14ac:dyDescent="0.3">
      <c r="A44" s="533" t="s">
        <v>1108</v>
      </c>
      <c r="B44" s="776">
        <f>GETPIVOTDATA("pcAlarmsFitted",'SIMD%AlarmPivot'!$B$4,"FisYr",A44,"SIMD2020_Quintile",1)</f>
        <v>35.200000000000003</v>
      </c>
      <c r="C44" s="776">
        <f>GETPIVOTDATA("pcAlarmsFitted",'SIMD%AlarmPivot'!$B$4,"FisYr",A44,"SIMD2020_Quintile",2)</f>
        <v>31.2</v>
      </c>
      <c r="D44" s="776">
        <f>GETPIVOTDATA("pcAlarmsFitted",'SIMD%AlarmPivot'!$B$4,"FisYr",A44,"SIMD2020_Quintile",3)</f>
        <v>26.5</v>
      </c>
      <c r="E44" s="776">
        <f>GETPIVOTDATA("pcAlarmsFitted",'SIMD%AlarmPivot'!$B$4,"FisYr",A44,"SIMD2020_Quintile",4)</f>
        <v>23.2</v>
      </c>
      <c r="F44" s="776">
        <f>GETPIVOTDATA("pcAlarmsFitted",'SIMD%AlarmPivot'!$B$4,"FisYr",A44,"SIMD2020_Quintile",5)</f>
        <v>23.7</v>
      </c>
    </row>
    <row r="45" spans="1:6" x14ac:dyDescent="0.25">
      <c r="A45" s="317"/>
      <c r="B45" s="774"/>
      <c r="C45" s="774"/>
      <c r="D45" s="774"/>
      <c r="E45" s="774"/>
      <c r="F45" s="774"/>
    </row>
    <row r="46" spans="1:6" x14ac:dyDescent="0.25">
      <c r="A46" s="317" t="s">
        <v>8</v>
      </c>
    </row>
    <row r="47" spans="1:6" x14ac:dyDescent="0.25">
      <c r="A47" t="s">
        <v>898</v>
      </c>
    </row>
    <row r="48" spans="1:6" ht="15.75" customHeight="1" x14ac:dyDescent="0.25">
      <c r="A48" s="574" t="s">
        <v>747</v>
      </c>
    </row>
    <row r="49" spans="1:6" x14ac:dyDescent="0.25">
      <c r="A49" s="608" t="s">
        <v>1234</v>
      </c>
    </row>
    <row r="50" spans="1:6" ht="30.95" customHeight="1" x14ac:dyDescent="0.25">
      <c r="A50" s="992" t="s">
        <v>1264</v>
      </c>
      <c r="B50" s="992"/>
      <c r="C50" s="992"/>
      <c r="D50" s="992"/>
      <c r="E50" s="992"/>
      <c r="F50" s="992"/>
    </row>
  </sheetData>
  <sheetProtection algorithmName="SHA-512" hashValue="8CgLsCFqNremIbtaBh0EvS0lR2HYoYGIbbPnDa/w5QHaBQLCRtgJjGShI3E871H8XXPkVmivcNMGFNFiOA1oVg==" saltValue="CcB7JJnrUPIgWu4UsC7B8Q==" spinCount="100000" sheet="1" scenarios="1" formatCells="0" sort="0" autoFilter="0" pivotTables="0"/>
  <mergeCells count="2">
    <mergeCell ref="A26:F26"/>
    <mergeCell ref="A50:F50"/>
  </mergeCells>
  <hyperlinks>
    <hyperlink ref="A2" location="'Table of Contents'!A1" display="Back to Table of Contents" xr:uid="{00000000-0004-0000-8A00-000000000000}"/>
    <hyperlink ref="A24" r:id="rId1" xr:uid="{00000000-0004-0000-8A00-000001000000}"/>
    <hyperlink ref="A48" r:id="rId2" xr:uid="{00000000-0004-0000-8A00-000002000000}"/>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EAC-31A2-43D3-957D-FBB269B374B2}">
  <sheetPr>
    <tabColor theme="7" tint="-0.249977111117893"/>
  </sheetPr>
  <dimension ref="B4:I37"/>
  <sheetViews>
    <sheetView topLeftCell="A19" workbookViewId="0">
      <selection activeCell="C27" sqref="C27"/>
    </sheetView>
  </sheetViews>
  <sheetFormatPr defaultRowHeight="15" x14ac:dyDescent="0.25"/>
  <cols>
    <col min="2" max="2" width="12.42578125" bestFit="1" customWidth="1"/>
    <col min="3" max="3" width="25.7109375" bestFit="1" customWidth="1"/>
    <col min="4" max="4" width="25.28515625" bestFit="1" customWidth="1"/>
    <col min="5" max="5" width="29.42578125" bestFit="1" customWidth="1"/>
    <col min="6" max="6" width="27.42578125" bestFit="1" customWidth="1"/>
    <col min="7" max="7" width="23.140625" bestFit="1" customWidth="1"/>
    <col min="8" max="8" width="21.28515625" bestFit="1" customWidth="1"/>
    <col min="9" max="9" width="17" bestFit="1" customWidth="1"/>
  </cols>
  <sheetData>
    <row r="4" spans="2:9" x14ac:dyDescent="0.25">
      <c r="B4" s="394" t="s">
        <v>231</v>
      </c>
      <c r="C4" t="s">
        <v>1198</v>
      </c>
      <c r="D4" t="s">
        <v>1199</v>
      </c>
      <c r="E4" t="s">
        <v>1200</v>
      </c>
      <c r="F4" t="s">
        <v>1201</v>
      </c>
      <c r="G4" t="s">
        <v>1202</v>
      </c>
      <c r="H4" t="s">
        <v>1203</v>
      </c>
      <c r="I4" t="s">
        <v>1196</v>
      </c>
    </row>
    <row r="5" spans="2:9" x14ac:dyDescent="0.25">
      <c r="B5" s="395" t="s">
        <v>191</v>
      </c>
      <c r="C5">
        <v>24428</v>
      </c>
      <c r="D5">
        <v>24882</v>
      </c>
      <c r="E5">
        <v>5152</v>
      </c>
      <c r="F5">
        <v>1917</v>
      </c>
      <c r="G5">
        <v>5720</v>
      </c>
      <c r="H5">
        <v>3370</v>
      </c>
      <c r="I5">
        <v>65469</v>
      </c>
    </row>
    <row r="6" spans="2:9" x14ac:dyDescent="0.25">
      <c r="B6" s="395" t="s">
        <v>190</v>
      </c>
      <c r="C6">
        <v>25850</v>
      </c>
      <c r="D6">
        <v>28276</v>
      </c>
      <c r="E6">
        <v>5558</v>
      </c>
      <c r="F6">
        <v>2050</v>
      </c>
      <c r="G6">
        <v>5960</v>
      </c>
      <c r="H6">
        <v>3791</v>
      </c>
      <c r="I6">
        <v>71485</v>
      </c>
    </row>
    <row r="7" spans="2:9" x14ac:dyDescent="0.25">
      <c r="B7" s="395" t="s">
        <v>257</v>
      </c>
      <c r="C7">
        <v>24028</v>
      </c>
      <c r="D7">
        <v>27624</v>
      </c>
      <c r="E7">
        <v>5775</v>
      </c>
      <c r="F7">
        <v>2509</v>
      </c>
      <c r="G7">
        <v>6384</v>
      </c>
      <c r="H7">
        <v>4320</v>
      </c>
      <c r="I7">
        <v>70640</v>
      </c>
    </row>
    <row r="8" spans="2:9" x14ac:dyDescent="0.25">
      <c r="B8" s="395" t="s">
        <v>240</v>
      </c>
      <c r="C8">
        <v>25048</v>
      </c>
      <c r="D8">
        <v>26293</v>
      </c>
      <c r="E8">
        <v>5149</v>
      </c>
      <c r="F8">
        <v>2648</v>
      </c>
      <c r="G8">
        <v>6070</v>
      </c>
      <c r="H8">
        <v>4513</v>
      </c>
      <c r="I8">
        <v>69721</v>
      </c>
    </row>
    <row r="9" spans="2:9" x14ac:dyDescent="0.25">
      <c r="B9" s="395" t="s">
        <v>239</v>
      </c>
      <c r="C9">
        <v>27047</v>
      </c>
      <c r="D9">
        <v>25504</v>
      </c>
      <c r="E9">
        <v>5270</v>
      </c>
      <c r="F9">
        <v>2287</v>
      </c>
      <c r="G9">
        <v>5511</v>
      </c>
      <c r="H9">
        <v>3464</v>
      </c>
      <c r="I9">
        <v>69083</v>
      </c>
    </row>
    <row r="10" spans="2:9" x14ac:dyDescent="0.25">
      <c r="B10" s="395" t="s">
        <v>760</v>
      </c>
      <c r="C10">
        <v>26768</v>
      </c>
      <c r="D10">
        <v>24892</v>
      </c>
      <c r="E10">
        <v>5534</v>
      </c>
      <c r="F10">
        <v>2180</v>
      </c>
      <c r="G10">
        <v>6113</v>
      </c>
      <c r="H10">
        <v>3545</v>
      </c>
      <c r="I10">
        <v>69032</v>
      </c>
    </row>
    <row r="11" spans="2:9" x14ac:dyDescent="0.25">
      <c r="B11" s="395" t="s">
        <v>917</v>
      </c>
      <c r="C11">
        <v>7468</v>
      </c>
      <c r="D11">
        <v>7728</v>
      </c>
      <c r="E11">
        <v>1628</v>
      </c>
      <c r="F11">
        <v>610</v>
      </c>
      <c r="G11">
        <v>1622</v>
      </c>
      <c r="H11">
        <v>905</v>
      </c>
      <c r="I11">
        <v>19961</v>
      </c>
    </row>
    <row r="12" spans="2:9" x14ac:dyDescent="0.25">
      <c r="B12" s="395" t="s">
        <v>1010</v>
      </c>
      <c r="C12">
        <v>15907</v>
      </c>
      <c r="D12">
        <v>16943</v>
      </c>
      <c r="E12">
        <v>3682</v>
      </c>
      <c r="F12">
        <v>1388</v>
      </c>
      <c r="G12">
        <v>3809</v>
      </c>
      <c r="H12">
        <v>2331</v>
      </c>
      <c r="I12">
        <v>44060</v>
      </c>
    </row>
    <row r="13" spans="2:9" x14ac:dyDescent="0.25">
      <c r="B13" s="395" t="s">
        <v>1061</v>
      </c>
      <c r="C13">
        <v>14369</v>
      </c>
      <c r="D13">
        <v>14518</v>
      </c>
      <c r="E13">
        <v>3152</v>
      </c>
      <c r="F13">
        <v>1259</v>
      </c>
      <c r="G13">
        <v>3126</v>
      </c>
      <c r="H13">
        <v>2005</v>
      </c>
      <c r="I13">
        <v>38429</v>
      </c>
    </row>
    <row r="14" spans="2:9" x14ac:dyDescent="0.25">
      <c r="B14" s="395" t="s">
        <v>1108</v>
      </c>
      <c r="C14">
        <v>13928</v>
      </c>
      <c r="D14">
        <v>13463</v>
      </c>
      <c r="E14">
        <v>2910</v>
      </c>
      <c r="F14">
        <v>1200</v>
      </c>
      <c r="G14">
        <v>2980</v>
      </c>
      <c r="H14">
        <v>1846</v>
      </c>
      <c r="I14">
        <v>36327</v>
      </c>
    </row>
    <row r="15" spans="2:9" x14ac:dyDescent="0.25">
      <c r="B15" s="395" t="s">
        <v>298</v>
      </c>
    </row>
    <row r="16" spans="2:9" x14ac:dyDescent="0.25">
      <c r="B16" s="395" t="s">
        <v>236</v>
      </c>
      <c r="C16">
        <v>204841</v>
      </c>
      <c r="D16">
        <v>210123</v>
      </c>
      <c r="E16">
        <v>43810</v>
      </c>
      <c r="F16">
        <v>18048</v>
      </c>
      <c r="G16">
        <v>47295</v>
      </c>
      <c r="H16">
        <v>30090</v>
      </c>
      <c r="I16">
        <v>554207</v>
      </c>
    </row>
    <row r="25" spans="2:9" x14ac:dyDescent="0.25">
      <c r="B25" s="394" t="s">
        <v>231</v>
      </c>
      <c r="C25" t="s">
        <v>1199</v>
      </c>
      <c r="D25" t="s">
        <v>1198</v>
      </c>
      <c r="E25" t="s">
        <v>1200</v>
      </c>
      <c r="F25" t="s">
        <v>1201</v>
      </c>
      <c r="G25" t="s">
        <v>1202</v>
      </c>
      <c r="H25" t="s">
        <v>1203</v>
      </c>
      <c r="I25" t="s">
        <v>1196</v>
      </c>
    </row>
    <row r="26" spans="2:9" x14ac:dyDescent="0.25">
      <c r="B26" s="395" t="s">
        <v>191</v>
      </c>
      <c r="C26">
        <v>3</v>
      </c>
      <c r="D26">
        <v>2.6</v>
      </c>
      <c r="E26">
        <v>2.5</v>
      </c>
      <c r="F26">
        <v>2.7</v>
      </c>
      <c r="G26">
        <v>2.2000000000000002</v>
      </c>
      <c r="H26">
        <v>2.5</v>
      </c>
      <c r="I26">
        <v>2.7</v>
      </c>
    </row>
    <row r="27" spans="2:9" x14ac:dyDescent="0.25">
      <c r="B27" s="395" t="s">
        <v>190</v>
      </c>
      <c r="C27">
        <v>3.4</v>
      </c>
      <c r="D27">
        <v>2.7</v>
      </c>
      <c r="E27">
        <v>2.7</v>
      </c>
      <c r="F27">
        <v>2.9</v>
      </c>
      <c r="G27">
        <v>2.2999999999999998</v>
      </c>
      <c r="H27">
        <v>2.8</v>
      </c>
      <c r="I27">
        <v>2.9</v>
      </c>
    </row>
    <row r="28" spans="2:9" x14ac:dyDescent="0.25">
      <c r="B28" s="395" t="s">
        <v>257</v>
      </c>
      <c r="C28">
        <v>3.3</v>
      </c>
      <c r="D28">
        <v>2.5</v>
      </c>
      <c r="E28">
        <v>2.8</v>
      </c>
      <c r="F28">
        <v>3.5</v>
      </c>
      <c r="G28">
        <v>2.4</v>
      </c>
      <c r="H28">
        <v>3.1</v>
      </c>
      <c r="I28">
        <v>2.9</v>
      </c>
    </row>
    <row r="29" spans="2:9" x14ac:dyDescent="0.25">
      <c r="B29" s="395" t="s">
        <v>240</v>
      </c>
      <c r="C29">
        <v>3.1</v>
      </c>
      <c r="D29">
        <v>2.6</v>
      </c>
      <c r="E29">
        <v>2.5</v>
      </c>
      <c r="F29">
        <v>3.7</v>
      </c>
      <c r="G29">
        <v>2.2000000000000002</v>
      </c>
      <c r="H29">
        <v>3.2</v>
      </c>
      <c r="I29">
        <v>2.8</v>
      </c>
    </row>
    <row r="30" spans="2:9" x14ac:dyDescent="0.25">
      <c r="B30" s="395" t="s">
        <v>239</v>
      </c>
      <c r="C30">
        <v>3</v>
      </c>
      <c r="D30">
        <v>2.8</v>
      </c>
      <c r="E30">
        <v>2.5</v>
      </c>
      <c r="F30">
        <v>3.2</v>
      </c>
      <c r="G30">
        <v>2</v>
      </c>
      <c r="H30">
        <v>2.5</v>
      </c>
      <c r="I30">
        <v>2.8</v>
      </c>
    </row>
    <row r="31" spans="2:9" x14ac:dyDescent="0.25">
      <c r="B31" s="395" t="s">
        <v>760</v>
      </c>
      <c r="C31">
        <v>2.9</v>
      </c>
      <c r="D31">
        <v>2.7</v>
      </c>
      <c r="E31">
        <v>2.6</v>
      </c>
      <c r="F31">
        <v>3</v>
      </c>
      <c r="G31">
        <v>2.2000000000000002</v>
      </c>
      <c r="H31">
        <v>2.5</v>
      </c>
      <c r="I31">
        <v>2.7</v>
      </c>
    </row>
    <row r="32" spans="2:9" x14ac:dyDescent="0.25">
      <c r="B32" s="395" t="s">
        <v>917</v>
      </c>
      <c r="C32">
        <v>0.9</v>
      </c>
      <c r="D32">
        <v>0.8</v>
      </c>
      <c r="E32">
        <v>0.8</v>
      </c>
      <c r="F32">
        <v>0.9</v>
      </c>
      <c r="G32">
        <v>0.6</v>
      </c>
      <c r="H32">
        <v>0.6</v>
      </c>
      <c r="I32">
        <v>0.8</v>
      </c>
    </row>
    <row r="33" spans="2:9" x14ac:dyDescent="0.25">
      <c r="B33" s="395" t="s">
        <v>1010</v>
      </c>
      <c r="C33">
        <v>2</v>
      </c>
      <c r="D33">
        <v>1.6</v>
      </c>
      <c r="E33">
        <v>1.7</v>
      </c>
      <c r="F33">
        <v>1.9</v>
      </c>
      <c r="G33">
        <v>1.3</v>
      </c>
      <c r="H33">
        <v>1.6</v>
      </c>
      <c r="I33">
        <v>1.7</v>
      </c>
    </row>
    <row r="34" spans="2:9" x14ac:dyDescent="0.25">
      <c r="B34" s="395" t="s">
        <v>1061</v>
      </c>
      <c r="C34">
        <v>1.7</v>
      </c>
      <c r="D34">
        <v>1.4</v>
      </c>
      <c r="E34">
        <v>1.5</v>
      </c>
      <c r="F34">
        <v>1.7</v>
      </c>
      <c r="G34">
        <v>1.1000000000000001</v>
      </c>
      <c r="H34">
        <v>1.4</v>
      </c>
      <c r="I34">
        <v>1.5</v>
      </c>
    </row>
    <row r="35" spans="2:9" x14ac:dyDescent="0.25">
      <c r="B35" s="395" t="s">
        <v>1108</v>
      </c>
      <c r="C35">
        <v>1.5</v>
      </c>
      <c r="D35">
        <v>1.4</v>
      </c>
      <c r="E35">
        <v>1.3</v>
      </c>
      <c r="F35">
        <v>1.7</v>
      </c>
      <c r="G35">
        <v>1</v>
      </c>
      <c r="H35">
        <v>1.3</v>
      </c>
      <c r="I35">
        <v>1.4</v>
      </c>
    </row>
    <row r="36" spans="2:9" x14ac:dyDescent="0.25">
      <c r="B36" s="395" t="s">
        <v>298</v>
      </c>
    </row>
    <row r="37" spans="2:9" x14ac:dyDescent="0.25">
      <c r="B37" s="395" t="s">
        <v>236</v>
      </c>
      <c r="C37">
        <v>24.799999999999997</v>
      </c>
      <c r="D37">
        <v>21.099999999999998</v>
      </c>
      <c r="E37">
        <v>20.9</v>
      </c>
      <c r="F37">
        <v>25.199999999999996</v>
      </c>
      <c r="G37">
        <v>17.3</v>
      </c>
      <c r="H37">
        <v>21.500000000000004</v>
      </c>
      <c r="I37">
        <v>22.2</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02741-2CE2-488A-B3F9-79A05799619B}">
  <sheetPr>
    <tabColor theme="7" tint="-0.249977111117893"/>
  </sheetPr>
  <dimension ref="A1:H32"/>
  <sheetViews>
    <sheetView topLeftCell="A12" workbookViewId="0">
      <selection activeCell="D25" sqref="D25"/>
    </sheetView>
  </sheetViews>
  <sheetFormatPr defaultRowHeight="15" x14ac:dyDescent="0.25"/>
  <cols>
    <col min="1" max="1" width="7.5703125" bestFit="1" customWidth="1"/>
    <col min="2" max="2" width="21.140625" bestFit="1" customWidth="1"/>
    <col min="3" max="3" width="21.5703125" bestFit="1" customWidth="1"/>
    <col min="4" max="4" width="25.140625" bestFit="1" customWidth="1"/>
    <col min="5" max="5" width="23.140625" bestFit="1" customWidth="1"/>
    <col min="6" max="6" width="19" bestFit="1" customWidth="1"/>
    <col min="7" max="7" width="17.140625" bestFit="1" customWidth="1"/>
    <col min="8" max="8" width="12.85546875" bestFit="1" customWidth="1"/>
  </cols>
  <sheetData>
    <row r="1" spans="1:8" x14ac:dyDescent="0.25">
      <c r="A1" t="s">
        <v>1</v>
      </c>
      <c r="B1" t="s">
        <v>368</v>
      </c>
      <c r="C1" t="s">
        <v>369</v>
      </c>
      <c r="D1" t="s">
        <v>370</v>
      </c>
      <c r="E1" t="s">
        <v>371</v>
      </c>
      <c r="F1" t="s">
        <v>372</v>
      </c>
      <c r="G1" t="s">
        <v>373</v>
      </c>
      <c r="H1" t="s">
        <v>414</v>
      </c>
    </row>
    <row r="3" spans="1:8" x14ac:dyDescent="0.25">
      <c r="A3" t="s">
        <v>191</v>
      </c>
      <c r="B3">
        <v>24428</v>
      </c>
      <c r="C3">
        <v>24882</v>
      </c>
      <c r="D3">
        <v>5152</v>
      </c>
      <c r="E3">
        <v>1917</v>
      </c>
      <c r="F3">
        <v>5720</v>
      </c>
      <c r="G3">
        <v>3370</v>
      </c>
      <c r="H3">
        <v>65469</v>
      </c>
    </row>
    <row r="4" spans="1:8" x14ac:dyDescent="0.25">
      <c r="A4" t="s">
        <v>190</v>
      </c>
      <c r="B4">
        <v>25850</v>
      </c>
      <c r="C4">
        <v>28276</v>
      </c>
      <c r="D4">
        <v>5558</v>
      </c>
      <c r="E4">
        <v>2050</v>
      </c>
      <c r="F4">
        <v>5960</v>
      </c>
      <c r="G4">
        <v>3791</v>
      </c>
      <c r="H4">
        <v>71485</v>
      </c>
    </row>
    <row r="5" spans="1:8" x14ac:dyDescent="0.25">
      <c r="A5" t="s">
        <v>257</v>
      </c>
      <c r="B5">
        <v>24028</v>
      </c>
      <c r="C5">
        <v>27624</v>
      </c>
      <c r="D5">
        <v>5775</v>
      </c>
      <c r="E5">
        <v>2509</v>
      </c>
      <c r="F5">
        <v>6384</v>
      </c>
      <c r="G5">
        <v>4320</v>
      </c>
      <c r="H5">
        <v>70640</v>
      </c>
    </row>
    <row r="6" spans="1:8" x14ac:dyDescent="0.25">
      <c r="A6" t="s">
        <v>240</v>
      </c>
      <c r="B6">
        <v>25048</v>
      </c>
      <c r="C6">
        <v>26293</v>
      </c>
      <c r="D6">
        <v>5149</v>
      </c>
      <c r="E6">
        <v>2648</v>
      </c>
      <c r="F6">
        <v>6070</v>
      </c>
      <c r="G6">
        <v>4513</v>
      </c>
      <c r="H6">
        <v>69721</v>
      </c>
    </row>
    <row r="7" spans="1:8" x14ac:dyDescent="0.25">
      <c r="A7" t="s">
        <v>239</v>
      </c>
      <c r="B7">
        <v>27047</v>
      </c>
      <c r="C7">
        <v>25504</v>
      </c>
      <c r="D7">
        <v>5270</v>
      </c>
      <c r="E7">
        <v>2287</v>
      </c>
      <c r="F7">
        <v>5511</v>
      </c>
      <c r="G7">
        <v>3464</v>
      </c>
      <c r="H7">
        <v>69083</v>
      </c>
    </row>
    <row r="8" spans="1:8" x14ac:dyDescent="0.25">
      <c r="A8" t="s">
        <v>760</v>
      </c>
      <c r="B8">
        <v>26768</v>
      </c>
      <c r="C8">
        <v>24892</v>
      </c>
      <c r="D8">
        <v>5534</v>
      </c>
      <c r="E8">
        <v>2180</v>
      </c>
      <c r="F8">
        <v>6113</v>
      </c>
      <c r="G8">
        <v>3545</v>
      </c>
      <c r="H8">
        <v>69032</v>
      </c>
    </row>
    <row r="9" spans="1:8" x14ac:dyDescent="0.25">
      <c r="A9" t="s">
        <v>917</v>
      </c>
      <c r="B9">
        <v>7468</v>
      </c>
      <c r="C9">
        <v>7728</v>
      </c>
      <c r="D9">
        <v>1628</v>
      </c>
      <c r="E9">
        <v>610</v>
      </c>
      <c r="F9">
        <v>1622</v>
      </c>
      <c r="G9">
        <v>905</v>
      </c>
      <c r="H9">
        <v>19961</v>
      </c>
    </row>
    <row r="10" spans="1:8" x14ac:dyDescent="0.25">
      <c r="A10" t="s">
        <v>1010</v>
      </c>
      <c r="B10">
        <v>15907</v>
      </c>
      <c r="C10">
        <v>16943</v>
      </c>
      <c r="D10">
        <v>3682</v>
      </c>
      <c r="E10">
        <v>1388</v>
      </c>
      <c r="F10">
        <v>3809</v>
      </c>
      <c r="G10">
        <v>2331</v>
      </c>
      <c r="H10">
        <v>44060</v>
      </c>
    </row>
    <row r="11" spans="1:8" x14ac:dyDescent="0.25">
      <c r="A11" t="s">
        <v>1061</v>
      </c>
      <c r="B11">
        <v>14369</v>
      </c>
      <c r="C11">
        <v>14518</v>
      </c>
      <c r="D11">
        <v>3152</v>
      </c>
      <c r="E11">
        <v>1259</v>
      </c>
      <c r="F11">
        <v>3126</v>
      </c>
      <c r="G11">
        <v>2005</v>
      </c>
      <c r="H11">
        <v>38429</v>
      </c>
    </row>
    <row r="12" spans="1:8" x14ac:dyDescent="0.25">
      <c r="A12" t="s">
        <v>1108</v>
      </c>
      <c r="B12">
        <v>13928</v>
      </c>
      <c r="C12">
        <v>13463</v>
      </c>
      <c r="D12">
        <v>2910</v>
      </c>
      <c r="E12">
        <v>1200</v>
      </c>
      <c r="F12">
        <v>2980</v>
      </c>
      <c r="G12">
        <v>1846</v>
      </c>
      <c r="H12">
        <v>36327</v>
      </c>
    </row>
    <row r="21" spans="1:8" x14ac:dyDescent="0.25">
      <c r="A21" t="s">
        <v>1</v>
      </c>
      <c r="B21" t="s">
        <v>368</v>
      </c>
      <c r="C21" t="s">
        <v>369</v>
      </c>
      <c r="D21" t="s">
        <v>370</v>
      </c>
      <c r="E21" t="s">
        <v>371</v>
      </c>
      <c r="F21" t="s">
        <v>372</v>
      </c>
      <c r="G21" t="s">
        <v>373</v>
      </c>
      <c r="H21" t="s">
        <v>414</v>
      </c>
    </row>
    <row r="23" spans="1:8" x14ac:dyDescent="0.25">
      <c r="A23" t="s">
        <v>191</v>
      </c>
      <c r="B23">
        <v>2.6</v>
      </c>
      <c r="C23">
        <v>3</v>
      </c>
      <c r="D23">
        <v>2.5</v>
      </c>
      <c r="E23">
        <v>2.7</v>
      </c>
      <c r="F23">
        <v>2.2000000000000002</v>
      </c>
      <c r="G23">
        <v>2.5</v>
      </c>
      <c r="H23">
        <v>2.7</v>
      </c>
    </row>
    <row r="24" spans="1:8" x14ac:dyDescent="0.25">
      <c r="A24" t="s">
        <v>190</v>
      </c>
      <c r="B24">
        <v>2.7</v>
      </c>
      <c r="C24">
        <v>3.4</v>
      </c>
      <c r="D24">
        <v>2.7</v>
      </c>
      <c r="E24">
        <v>2.9</v>
      </c>
      <c r="F24">
        <v>2.2999999999999998</v>
      </c>
      <c r="G24">
        <v>2.8</v>
      </c>
      <c r="H24">
        <v>2.9</v>
      </c>
    </row>
    <row r="25" spans="1:8" x14ac:dyDescent="0.25">
      <c r="A25" t="s">
        <v>257</v>
      </c>
      <c r="B25">
        <v>2.5</v>
      </c>
      <c r="C25">
        <v>3.3</v>
      </c>
      <c r="D25">
        <v>2.8</v>
      </c>
      <c r="E25">
        <v>3.5</v>
      </c>
      <c r="F25">
        <v>2.4</v>
      </c>
      <c r="G25">
        <v>3.1</v>
      </c>
      <c r="H25">
        <v>2.9</v>
      </c>
    </row>
    <row r="26" spans="1:8" x14ac:dyDescent="0.25">
      <c r="A26" t="s">
        <v>240</v>
      </c>
      <c r="B26">
        <v>2.6</v>
      </c>
      <c r="C26">
        <v>3.1</v>
      </c>
      <c r="D26">
        <v>2.5</v>
      </c>
      <c r="E26">
        <v>3.7</v>
      </c>
      <c r="F26">
        <v>2.2000000000000002</v>
      </c>
      <c r="G26">
        <v>3.2</v>
      </c>
      <c r="H26">
        <v>2.8</v>
      </c>
    </row>
    <row r="27" spans="1:8" x14ac:dyDescent="0.25">
      <c r="A27" t="s">
        <v>239</v>
      </c>
      <c r="B27">
        <v>2.8</v>
      </c>
      <c r="C27">
        <v>3</v>
      </c>
      <c r="D27">
        <v>2.5</v>
      </c>
      <c r="E27">
        <v>3.2</v>
      </c>
      <c r="F27">
        <v>2</v>
      </c>
      <c r="G27">
        <v>2.5</v>
      </c>
      <c r="H27">
        <v>2.8</v>
      </c>
    </row>
    <row r="28" spans="1:8" x14ac:dyDescent="0.25">
      <c r="A28" t="s">
        <v>760</v>
      </c>
      <c r="B28">
        <v>2.7</v>
      </c>
      <c r="C28">
        <v>2.9</v>
      </c>
      <c r="D28">
        <v>2.6</v>
      </c>
      <c r="E28">
        <v>3</v>
      </c>
      <c r="F28">
        <v>2.2000000000000002</v>
      </c>
      <c r="G28">
        <v>2.5</v>
      </c>
      <c r="H28">
        <v>2.7</v>
      </c>
    </row>
    <row r="29" spans="1:8" x14ac:dyDescent="0.25">
      <c r="A29" t="s">
        <v>917</v>
      </c>
      <c r="B29">
        <v>0.8</v>
      </c>
      <c r="C29">
        <v>0.9</v>
      </c>
      <c r="D29">
        <v>0.8</v>
      </c>
      <c r="E29">
        <v>0.9</v>
      </c>
      <c r="F29">
        <v>0.6</v>
      </c>
      <c r="G29">
        <v>0.6</v>
      </c>
      <c r="H29">
        <v>0.8</v>
      </c>
    </row>
    <row r="30" spans="1:8" x14ac:dyDescent="0.25">
      <c r="A30" t="s">
        <v>1010</v>
      </c>
      <c r="B30">
        <v>1.6</v>
      </c>
      <c r="C30">
        <v>2</v>
      </c>
      <c r="D30">
        <v>1.7</v>
      </c>
      <c r="E30">
        <v>1.9</v>
      </c>
      <c r="F30">
        <v>1.3</v>
      </c>
      <c r="G30">
        <v>1.6</v>
      </c>
      <c r="H30">
        <v>1.7</v>
      </c>
    </row>
    <row r="31" spans="1:8" x14ac:dyDescent="0.25">
      <c r="A31" t="s">
        <v>1061</v>
      </c>
      <c r="B31">
        <v>1.4</v>
      </c>
      <c r="C31">
        <v>1.7</v>
      </c>
      <c r="D31">
        <v>1.5</v>
      </c>
      <c r="E31">
        <v>1.7</v>
      </c>
      <c r="F31">
        <v>1.1000000000000001</v>
      </c>
      <c r="G31">
        <v>1.4</v>
      </c>
      <c r="H31">
        <v>1.5</v>
      </c>
    </row>
    <row r="32" spans="1:8" x14ac:dyDescent="0.25">
      <c r="A32" t="s">
        <v>1108</v>
      </c>
      <c r="B32">
        <v>1.4</v>
      </c>
      <c r="C32">
        <v>1.5</v>
      </c>
      <c r="D32">
        <v>1.3</v>
      </c>
      <c r="E32">
        <v>1.7</v>
      </c>
      <c r="F32">
        <v>1</v>
      </c>
      <c r="G32">
        <v>1.3</v>
      </c>
      <c r="H32">
        <v>1.4</v>
      </c>
    </row>
  </sheetData>
  <pageMargins left="0.7" right="0.7" top="0.75" bottom="0.75" header="0.3" footer="0.3"/>
  <tableParts count="2">
    <tablePart r:id="rId1"/>
    <tablePart r:id="rId2"/>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7" tint="-0.249977111117893"/>
  </sheetPr>
  <dimension ref="A1:K47"/>
  <sheetViews>
    <sheetView showGridLines="0" zoomScaleNormal="100" workbookViewId="0">
      <pane ySplit="2" topLeftCell="A3" activePane="bottomLeft" state="frozen"/>
      <selection pane="bottomLeft"/>
    </sheetView>
  </sheetViews>
  <sheetFormatPr defaultRowHeight="15" x14ac:dyDescent="0.25"/>
  <cols>
    <col min="1" max="1" width="18.140625" customWidth="1"/>
    <col min="2" max="2" width="18.85546875" bestFit="1" customWidth="1"/>
    <col min="3" max="3" width="19.42578125" bestFit="1" customWidth="1"/>
    <col min="4" max="4" width="23.5703125" bestFit="1" customWidth="1"/>
    <col min="5" max="5" width="21.42578125" bestFit="1" customWidth="1"/>
    <col min="6" max="6" width="17.28515625" bestFit="1" customWidth="1"/>
    <col min="7" max="7" width="15" bestFit="1" customWidth="1"/>
    <col min="8" max="8" width="10.85546875" bestFit="1" customWidth="1"/>
  </cols>
  <sheetData>
    <row r="1" spans="1:11" ht="15.75" x14ac:dyDescent="0.25">
      <c r="A1" s="522" t="s">
        <v>533</v>
      </c>
    </row>
    <row r="2" spans="1:11" x14ac:dyDescent="0.25">
      <c r="A2" s="507" t="s">
        <v>511</v>
      </c>
    </row>
    <row r="3" spans="1:11" x14ac:dyDescent="0.25">
      <c r="A3" s="25"/>
    </row>
    <row r="4" spans="1:11" ht="15.75" customHeight="1" x14ac:dyDescent="0.25">
      <c r="A4" s="531" t="s">
        <v>547</v>
      </c>
      <c r="B4" s="531"/>
      <c r="C4" s="531"/>
      <c r="D4" s="531"/>
      <c r="E4" s="531"/>
      <c r="F4" s="531"/>
      <c r="G4" s="531"/>
      <c r="H4" s="531"/>
      <c r="I4" s="531"/>
      <c r="J4" s="531"/>
      <c r="K4" s="531"/>
    </row>
    <row r="5" spans="1:11" ht="15.75" x14ac:dyDescent="0.25">
      <c r="A5" t="s">
        <v>328</v>
      </c>
      <c r="B5" t="s">
        <v>705</v>
      </c>
      <c r="C5" s="508"/>
      <c r="D5" s="508"/>
      <c r="E5" s="508"/>
      <c r="F5" s="508"/>
      <c r="G5" s="508"/>
      <c r="H5" s="508"/>
      <c r="I5" s="508"/>
      <c r="J5" s="508"/>
      <c r="K5" s="508"/>
    </row>
    <row r="6" spans="1:11" ht="15.75" x14ac:dyDescent="0.25">
      <c r="A6" t="s">
        <v>329</v>
      </c>
      <c r="B6" t="s">
        <v>331</v>
      </c>
      <c r="C6" s="508"/>
      <c r="D6" s="508"/>
      <c r="E6" s="508"/>
      <c r="F6" s="508"/>
      <c r="G6" s="508"/>
      <c r="H6" s="508"/>
      <c r="I6" s="508"/>
      <c r="J6" s="508"/>
      <c r="K6" s="508"/>
    </row>
    <row r="7" spans="1:11" ht="15.75" x14ac:dyDescent="0.25">
      <c r="A7" t="s">
        <v>330</v>
      </c>
      <c r="B7" t="s">
        <v>748</v>
      </c>
      <c r="C7" s="508"/>
      <c r="D7" s="508"/>
      <c r="E7" s="508"/>
      <c r="F7" s="508"/>
      <c r="G7" s="508"/>
      <c r="H7" s="508"/>
      <c r="I7" s="508"/>
      <c r="J7" s="508"/>
      <c r="K7" s="508"/>
    </row>
    <row r="8" spans="1:11" x14ac:dyDescent="0.25">
      <c r="D8" s="532" t="s">
        <v>546</v>
      </c>
    </row>
    <row r="9" spans="1:11" x14ac:dyDescent="0.25">
      <c r="A9" s="534" t="s">
        <v>1</v>
      </c>
      <c r="B9" s="534" t="s">
        <v>368</v>
      </c>
      <c r="C9" s="534" t="s">
        <v>369</v>
      </c>
      <c r="D9" s="534" t="s">
        <v>370</v>
      </c>
      <c r="E9" s="534" t="s">
        <v>371</v>
      </c>
      <c r="F9" s="534" t="s">
        <v>372</v>
      </c>
      <c r="G9" s="534" t="s">
        <v>373</v>
      </c>
      <c r="H9" s="534" t="s">
        <v>414</v>
      </c>
    </row>
    <row r="10" spans="1:11" x14ac:dyDescent="0.25">
      <c r="A10" s="317" t="s">
        <v>191</v>
      </c>
      <c r="B10" s="614">
        <f>GETPIVOTDATA("Sum of 1 - Large Urban Areas",RuralityPivot!$B$4,"Year",A10)</f>
        <v>24428</v>
      </c>
      <c r="C10" s="614">
        <f>GETPIVOTDATA("Sum of 2 - Other Urban Areas",RuralityPivot!$B$4,"Year",A10)</f>
        <v>24882</v>
      </c>
      <c r="D10" s="614">
        <f>GETPIVOTDATA("Sum of 3 - Accessible Small Towns",RuralityPivot!$B$4,"Year",A10)</f>
        <v>5152</v>
      </c>
      <c r="E10" s="614">
        <f>GETPIVOTDATA("Sum of 4 - Remote Small Towns",RuralityPivot!$B$4,"Year",A10)</f>
        <v>1917</v>
      </c>
      <c r="F10" s="614">
        <f>GETPIVOTDATA("Sum of 5 - Accessible Rural",RuralityPivot!$B$4,"Year",A10)</f>
        <v>5720</v>
      </c>
      <c r="G10" s="614">
        <f>GETPIVOTDATA("Sum of 6 - Remote Rural",RuralityPivot!$B$4,"Year",A10)</f>
        <v>3370</v>
      </c>
      <c r="H10" s="615">
        <f>GETPIVOTDATA("Sum of All Scotland",RuralityPivot!$B$4,"Year",A10)</f>
        <v>65469</v>
      </c>
    </row>
    <row r="11" spans="1:11" x14ac:dyDescent="0.25">
      <c r="A11" s="317" t="s">
        <v>190</v>
      </c>
      <c r="B11" s="614">
        <f>GETPIVOTDATA("Sum of 1 - Large Urban Areas",RuralityPivot!$B$4,"Year",A11)</f>
        <v>25850</v>
      </c>
      <c r="C11" s="614">
        <f>GETPIVOTDATA("Sum of 2 - Other Urban Areas",RuralityPivot!$B$4,"Year",A11)</f>
        <v>28276</v>
      </c>
      <c r="D11" s="614">
        <f>GETPIVOTDATA("Sum of 3 - Accessible Small Towns",RuralityPivot!$B$4,"Year",A11)</f>
        <v>5558</v>
      </c>
      <c r="E11" s="614">
        <f>GETPIVOTDATA("Sum of 4 - Remote Small Towns",RuralityPivot!$B$4,"Year",A11)</f>
        <v>2050</v>
      </c>
      <c r="F11" s="614">
        <f>GETPIVOTDATA("Sum of 5 - Accessible Rural",RuralityPivot!$B$4,"Year",A11)</f>
        <v>5960</v>
      </c>
      <c r="G11" s="614">
        <f>GETPIVOTDATA("Sum of 6 - Remote Rural",RuralityPivot!$B$4,"Year",A11)</f>
        <v>3791</v>
      </c>
      <c r="H11" s="615">
        <f>GETPIVOTDATA("Sum of All Scotland",RuralityPivot!$B$4,"Year",A11)</f>
        <v>71485</v>
      </c>
    </row>
    <row r="12" spans="1:11" x14ac:dyDescent="0.25">
      <c r="A12" s="317" t="s">
        <v>257</v>
      </c>
      <c r="B12" s="614">
        <f>GETPIVOTDATA("Sum of 1 - Large Urban Areas",RuralityPivot!$B$4,"Year",A12)</f>
        <v>24028</v>
      </c>
      <c r="C12" s="614">
        <f>GETPIVOTDATA("Sum of 2 - Other Urban Areas",RuralityPivot!$B$4,"Year",A12)</f>
        <v>27624</v>
      </c>
      <c r="D12" s="614">
        <f>GETPIVOTDATA("Sum of 3 - Accessible Small Towns",RuralityPivot!$B$4,"Year",A12)</f>
        <v>5775</v>
      </c>
      <c r="E12" s="614">
        <f>GETPIVOTDATA("Sum of 4 - Remote Small Towns",RuralityPivot!$B$4,"Year",A12)</f>
        <v>2509</v>
      </c>
      <c r="F12" s="614">
        <f>GETPIVOTDATA("Sum of 5 - Accessible Rural",RuralityPivot!$B$4,"Year",A12)</f>
        <v>6384</v>
      </c>
      <c r="G12" s="614">
        <f>GETPIVOTDATA("Sum of 6 - Remote Rural",RuralityPivot!$B$4,"Year",A12)</f>
        <v>4320</v>
      </c>
      <c r="H12" s="615">
        <f>GETPIVOTDATA("Sum of All Scotland",RuralityPivot!$B$4,"Year",A12)</f>
        <v>70640</v>
      </c>
    </row>
    <row r="13" spans="1:11" x14ac:dyDescent="0.25">
      <c r="A13" s="317" t="s">
        <v>240</v>
      </c>
      <c r="B13" s="614">
        <f>GETPIVOTDATA("Sum of 1 - Large Urban Areas",RuralityPivot!$B$4,"Year",A13)</f>
        <v>25048</v>
      </c>
      <c r="C13" s="614">
        <f>GETPIVOTDATA("Sum of 2 - Other Urban Areas",RuralityPivot!$B$4,"Year",A13)</f>
        <v>26293</v>
      </c>
      <c r="D13" s="614">
        <f>GETPIVOTDATA("Sum of 3 - Accessible Small Towns",RuralityPivot!$B$4,"Year",A13)</f>
        <v>5149</v>
      </c>
      <c r="E13" s="614">
        <f>GETPIVOTDATA("Sum of 4 - Remote Small Towns",RuralityPivot!$B$4,"Year",A13)</f>
        <v>2648</v>
      </c>
      <c r="F13" s="614">
        <f>GETPIVOTDATA("Sum of 5 - Accessible Rural",RuralityPivot!$B$4,"Year",A13)</f>
        <v>6070</v>
      </c>
      <c r="G13" s="614">
        <f>GETPIVOTDATA("Sum of 6 - Remote Rural",RuralityPivot!$B$4,"Year",A13)</f>
        <v>4513</v>
      </c>
      <c r="H13" s="615">
        <f>GETPIVOTDATA("Sum of All Scotland",RuralityPivot!$B$4,"Year",A13)</f>
        <v>69721</v>
      </c>
    </row>
    <row r="14" spans="1:11" x14ac:dyDescent="0.25">
      <c r="A14" s="317" t="s">
        <v>239</v>
      </c>
      <c r="B14" s="614">
        <f>GETPIVOTDATA("Sum of 1 - Large Urban Areas",RuralityPivot!$B$4,"Year",A14)</f>
        <v>27047</v>
      </c>
      <c r="C14" s="614">
        <f>GETPIVOTDATA("Sum of 2 - Other Urban Areas",RuralityPivot!$B$4,"Year",A14)</f>
        <v>25504</v>
      </c>
      <c r="D14" s="614">
        <f>GETPIVOTDATA("Sum of 3 - Accessible Small Towns",RuralityPivot!$B$4,"Year",A14)</f>
        <v>5270</v>
      </c>
      <c r="E14" s="614">
        <f>GETPIVOTDATA("Sum of 4 - Remote Small Towns",RuralityPivot!$B$4,"Year",A14)</f>
        <v>2287</v>
      </c>
      <c r="F14" s="614">
        <f>GETPIVOTDATA("Sum of 5 - Accessible Rural",RuralityPivot!$B$4,"Year",A14)</f>
        <v>5511</v>
      </c>
      <c r="G14" s="614">
        <f>GETPIVOTDATA("Sum of 6 - Remote Rural",RuralityPivot!$B$4,"Year",A14)</f>
        <v>3464</v>
      </c>
      <c r="H14" s="615">
        <f>GETPIVOTDATA("Sum of All Scotland",RuralityPivot!$B$4,"Year",A14)</f>
        <v>69083</v>
      </c>
    </row>
    <row r="15" spans="1:11" x14ac:dyDescent="0.25">
      <c r="A15" s="317" t="s">
        <v>760</v>
      </c>
      <c r="B15" s="614">
        <f>GETPIVOTDATA("Sum of 1 - Large Urban Areas",RuralityPivot!$B$4,"Year",A15)</f>
        <v>26768</v>
      </c>
      <c r="C15" s="614">
        <f>GETPIVOTDATA("Sum of 2 - Other Urban Areas",RuralityPivot!$B$4,"Year",A15)</f>
        <v>24892</v>
      </c>
      <c r="D15" s="614">
        <f>GETPIVOTDATA("Sum of 3 - Accessible Small Towns",RuralityPivot!$B$4,"Year",A15)</f>
        <v>5534</v>
      </c>
      <c r="E15" s="614">
        <f>GETPIVOTDATA("Sum of 4 - Remote Small Towns",RuralityPivot!$B$4,"Year",A15)</f>
        <v>2180</v>
      </c>
      <c r="F15" s="614">
        <f>GETPIVOTDATA("Sum of 5 - Accessible Rural",RuralityPivot!$B$4,"Year",A15)</f>
        <v>6113</v>
      </c>
      <c r="G15" s="614">
        <f>GETPIVOTDATA("Sum of 6 - Remote Rural",RuralityPivot!$B$4,"Year",A15)</f>
        <v>3545</v>
      </c>
      <c r="H15" s="615">
        <f>GETPIVOTDATA("Sum of All Scotland",RuralityPivot!$B$4,"Year",A15)</f>
        <v>69032</v>
      </c>
    </row>
    <row r="16" spans="1:11" x14ac:dyDescent="0.25">
      <c r="A16" s="317" t="s">
        <v>917</v>
      </c>
      <c r="B16" s="614">
        <f>GETPIVOTDATA("Sum of 1 - Large Urban Areas",RuralityPivot!$B$4,"Year",A16)</f>
        <v>7468</v>
      </c>
      <c r="C16" s="614">
        <f>GETPIVOTDATA("Sum of 2 - Other Urban Areas",RuralityPivot!$B$4,"Year",A16)</f>
        <v>7728</v>
      </c>
      <c r="D16" s="614">
        <f>GETPIVOTDATA("Sum of 3 - Accessible Small Towns",RuralityPivot!$B$4,"Year",A16)</f>
        <v>1628</v>
      </c>
      <c r="E16" s="614">
        <f>GETPIVOTDATA("Sum of 4 - Remote Small Towns",RuralityPivot!$B$4,"Year",A16)</f>
        <v>610</v>
      </c>
      <c r="F16" s="614">
        <f>GETPIVOTDATA("Sum of 5 - Accessible Rural",RuralityPivot!$B$4,"Year",A16)</f>
        <v>1622</v>
      </c>
      <c r="G16" s="614">
        <f>GETPIVOTDATA("Sum of 6 - Remote Rural",RuralityPivot!$B$4,"Year",A16)</f>
        <v>905</v>
      </c>
      <c r="H16" s="615">
        <f>GETPIVOTDATA("Sum of All Scotland",RuralityPivot!$B$4,"Year",A16)</f>
        <v>19961</v>
      </c>
    </row>
    <row r="17" spans="1:11" x14ac:dyDescent="0.25">
      <c r="A17" s="317" t="s">
        <v>1010</v>
      </c>
      <c r="B17" s="614">
        <f>GETPIVOTDATA("Sum of 1 - Large Urban Areas",RuralityPivot!$B$4,"Year",A17)</f>
        <v>15907</v>
      </c>
      <c r="C17" s="614">
        <f>GETPIVOTDATA("Sum of 2 - Other Urban Areas",RuralityPivot!$B$4,"Year",A17)</f>
        <v>16943</v>
      </c>
      <c r="D17" s="614">
        <f>GETPIVOTDATA("Sum of 3 - Accessible Small Towns",RuralityPivot!$B$4,"Year",A17)</f>
        <v>3682</v>
      </c>
      <c r="E17" s="614">
        <f>GETPIVOTDATA("Sum of 4 - Remote Small Towns",RuralityPivot!$B$4,"Year",A17)</f>
        <v>1388</v>
      </c>
      <c r="F17" s="614">
        <f>GETPIVOTDATA("Sum of 5 - Accessible Rural",RuralityPivot!$B$4,"Year",A17)</f>
        <v>3809</v>
      </c>
      <c r="G17" s="614">
        <f>GETPIVOTDATA("Sum of 6 - Remote Rural",RuralityPivot!$B$4,"Year",A17)</f>
        <v>2331</v>
      </c>
      <c r="H17" s="615">
        <f>GETPIVOTDATA("Sum of All Scotland",RuralityPivot!$B$4,"Year",A17)</f>
        <v>44060</v>
      </c>
    </row>
    <row r="18" spans="1:11" x14ac:dyDescent="0.25">
      <c r="A18" s="317" t="s">
        <v>1061</v>
      </c>
      <c r="B18" s="614">
        <f>GETPIVOTDATA("Sum of 1 - Large Urban Areas",RuralityPivot!$B$4,"Year",A18)</f>
        <v>14369</v>
      </c>
      <c r="C18" s="614">
        <f>GETPIVOTDATA("Sum of 2 - Other Urban Areas",RuralityPivot!$B$4,"Year",A18)</f>
        <v>14518</v>
      </c>
      <c r="D18" s="614">
        <f>GETPIVOTDATA("Sum of 3 - Accessible Small Towns",RuralityPivot!$B$4,"Year",A18)</f>
        <v>3152</v>
      </c>
      <c r="E18" s="614">
        <f>GETPIVOTDATA("Sum of 4 - Remote Small Towns",RuralityPivot!$B$4,"Year",A18)</f>
        <v>1259</v>
      </c>
      <c r="F18" s="614">
        <f>GETPIVOTDATA("Sum of 5 - Accessible Rural",RuralityPivot!$B$4,"Year",A18)</f>
        <v>3126</v>
      </c>
      <c r="G18" s="614">
        <f>GETPIVOTDATA("Sum of 6 - Remote Rural",RuralityPivot!$B$4,"Year",A18)</f>
        <v>2005</v>
      </c>
      <c r="H18" s="615">
        <f>GETPIVOTDATA("Sum of All Scotland",RuralityPivot!$B$4,"Year",A18)</f>
        <v>38429</v>
      </c>
    </row>
    <row r="19" spans="1:11" ht="15.75" thickBot="1" x14ac:dyDescent="0.3">
      <c r="A19" s="533" t="s">
        <v>1108</v>
      </c>
      <c r="B19" s="619">
        <f>GETPIVOTDATA("Sum of 1 - Large Urban Areas",RuralityPivot!$B$4,"Year",A19)</f>
        <v>13928</v>
      </c>
      <c r="C19" s="619">
        <f>GETPIVOTDATA("Sum of 2 - Other Urban Areas",RuralityPivot!$B$4,"Year",A19)</f>
        <v>13463</v>
      </c>
      <c r="D19" s="619">
        <f>GETPIVOTDATA("Sum of 3 - Accessible Small Towns",RuralityPivot!$B$4,"Year",A19)</f>
        <v>2910</v>
      </c>
      <c r="E19" s="619">
        <f>GETPIVOTDATA("Sum of 4 - Remote Small Towns",RuralityPivot!$B$4,"Year",A19)</f>
        <v>1200</v>
      </c>
      <c r="F19" s="619">
        <f>GETPIVOTDATA("Sum of 5 - Accessible Rural",RuralityPivot!$B$4,"Year",A19)</f>
        <v>2980</v>
      </c>
      <c r="G19" s="619">
        <f>GETPIVOTDATA("Sum of 6 - Remote Rural",RuralityPivot!$B$4,"Year",A19)</f>
        <v>1846</v>
      </c>
      <c r="H19" s="939">
        <f>GETPIVOTDATA("Sum of All Scotland",RuralityPivot!$B$4,"Year",A19)</f>
        <v>36327</v>
      </c>
    </row>
    <row r="21" spans="1:11" x14ac:dyDescent="0.25">
      <c r="A21" s="317" t="s">
        <v>8</v>
      </c>
    </row>
    <row r="22" spans="1:11" x14ac:dyDescent="0.25">
      <c r="A22" t="s">
        <v>749</v>
      </c>
    </row>
    <row r="23" spans="1:11" ht="15.75" x14ac:dyDescent="0.25">
      <c r="A23" s="574" t="s">
        <v>752</v>
      </c>
      <c r="I23" s="531"/>
      <c r="J23" s="531"/>
      <c r="K23" s="531"/>
    </row>
    <row r="24" spans="1:11" ht="15.75" x14ac:dyDescent="0.25">
      <c r="A24" s="715" t="s">
        <v>1055</v>
      </c>
      <c r="I24" s="531"/>
      <c r="J24" s="531"/>
      <c r="K24" s="531"/>
    </row>
    <row r="25" spans="1:11" ht="15.75" x14ac:dyDescent="0.25">
      <c r="A25" s="715"/>
      <c r="I25" s="508"/>
      <c r="J25" s="508"/>
      <c r="K25" s="508"/>
    </row>
    <row r="26" spans="1:11" ht="15.75" x14ac:dyDescent="0.25">
      <c r="A26" s="531" t="s">
        <v>595</v>
      </c>
      <c r="B26" s="531"/>
      <c r="C26" s="531"/>
      <c r="D26" s="531"/>
      <c r="E26" s="531"/>
      <c r="F26" s="531"/>
      <c r="G26" s="531"/>
      <c r="H26" s="531"/>
      <c r="I26" s="508"/>
      <c r="J26" s="508"/>
      <c r="K26" s="508"/>
    </row>
    <row r="27" spans="1:11" ht="15.75" x14ac:dyDescent="0.25">
      <c r="A27" t="s">
        <v>328</v>
      </c>
      <c r="B27" t="s">
        <v>706</v>
      </c>
      <c r="C27" s="508"/>
      <c r="D27" s="508"/>
      <c r="E27" s="508"/>
      <c r="F27" s="508"/>
      <c r="G27" s="508"/>
      <c r="H27" s="508"/>
      <c r="I27" s="508"/>
      <c r="J27" s="508"/>
      <c r="K27" s="508"/>
    </row>
    <row r="28" spans="1:11" ht="15.75" x14ac:dyDescent="0.25">
      <c r="A28" t="s">
        <v>329</v>
      </c>
      <c r="B28" t="s">
        <v>331</v>
      </c>
      <c r="C28" s="508"/>
      <c r="D28" s="508"/>
      <c r="E28" s="508"/>
      <c r="F28" s="508"/>
      <c r="G28" s="508"/>
      <c r="H28" s="508"/>
    </row>
    <row r="29" spans="1:11" ht="15.75" x14ac:dyDescent="0.25">
      <c r="A29" t="s">
        <v>330</v>
      </c>
      <c r="B29" t="s">
        <v>748</v>
      </c>
      <c r="C29" s="508"/>
      <c r="D29" s="508"/>
      <c r="E29" s="508"/>
      <c r="F29" s="508"/>
      <c r="G29" s="508"/>
      <c r="H29" s="508"/>
    </row>
    <row r="30" spans="1:11" s="317" customFormat="1" x14ac:dyDescent="0.25">
      <c r="A30"/>
      <c r="B30"/>
      <c r="C30"/>
      <c r="D30"/>
      <c r="E30"/>
      <c r="F30"/>
      <c r="G30"/>
      <c r="H30"/>
    </row>
    <row r="31" spans="1:11" x14ac:dyDescent="0.25">
      <c r="D31" s="532" t="s">
        <v>548</v>
      </c>
    </row>
    <row r="32" spans="1:11" x14ac:dyDescent="0.25">
      <c r="A32" s="534" t="s">
        <v>1</v>
      </c>
      <c r="B32" s="534" t="s">
        <v>368</v>
      </c>
      <c r="C32" s="534" t="s">
        <v>369</v>
      </c>
      <c r="D32" s="534" t="s">
        <v>370</v>
      </c>
      <c r="E32" s="534" t="s">
        <v>371</v>
      </c>
      <c r="F32" s="534" t="s">
        <v>372</v>
      </c>
      <c r="G32" s="534" t="s">
        <v>373</v>
      </c>
      <c r="H32" s="534" t="s">
        <v>414</v>
      </c>
    </row>
    <row r="33" spans="1:8" x14ac:dyDescent="0.25">
      <c r="A33" s="317" t="s">
        <v>191</v>
      </c>
      <c r="B33" s="571">
        <f>GETPIVOTDATA("Sum of 1 - Large Urban Areas",RuralityPivot!$B$25,"Year",A33)</f>
        <v>2.6</v>
      </c>
      <c r="C33" s="571">
        <f>GETPIVOTDATA("Sum of 2 - Other Urban Areas",RuralityPivot!$B$25,"Year",A33)</f>
        <v>3</v>
      </c>
      <c r="D33" s="571">
        <f>GETPIVOTDATA("Sum of 3 - Accessible Small Towns",RuralityPivot!$B$25,"Year",A33)</f>
        <v>2.5</v>
      </c>
      <c r="E33" s="571">
        <f>GETPIVOTDATA("Sum of 4 - Remote Small Towns",RuralityPivot!$B$25,"Year",A33)</f>
        <v>2.7</v>
      </c>
      <c r="F33" s="571">
        <f>GETPIVOTDATA("Sum of 5 - Accessible Rural",RuralityPivot!$B$25,"Year",A33)</f>
        <v>2.2000000000000002</v>
      </c>
      <c r="G33" s="571">
        <f>GETPIVOTDATA("Sum of 6 - Remote Rural",RuralityPivot!$B$25,"Year",A33)</f>
        <v>2.5</v>
      </c>
      <c r="H33" s="930">
        <f>GETPIVOTDATA("Sum of All Scotland",RuralityPivot!$B$25,"Year",A33)</f>
        <v>2.7</v>
      </c>
    </row>
    <row r="34" spans="1:8" x14ac:dyDescent="0.25">
      <c r="A34" s="317" t="s">
        <v>190</v>
      </c>
      <c r="B34" s="571">
        <f>GETPIVOTDATA("Sum of 1 - Large Urban Areas",RuralityPivot!$B$25,"Year",A34)</f>
        <v>2.7</v>
      </c>
      <c r="C34" s="571">
        <f>GETPIVOTDATA("Sum of 2 - Other Urban Areas",RuralityPivot!$B$25,"Year",A34)</f>
        <v>3.4</v>
      </c>
      <c r="D34" s="571">
        <f>GETPIVOTDATA("Sum of 3 - Accessible Small Towns",RuralityPivot!$B$25,"Year",A34)</f>
        <v>2.7</v>
      </c>
      <c r="E34" s="571">
        <f>GETPIVOTDATA("Sum of 4 - Remote Small Towns",RuralityPivot!$B$25,"Year",A34)</f>
        <v>2.9</v>
      </c>
      <c r="F34" s="571">
        <f>GETPIVOTDATA("Sum of 5 - Accessible Rural",RuralityPivot!$B$25,"Year",A34)</f>
        <v>2.2999999999999998</v>
      </c>
      <c r="G34" s="571">
        <f>GETPIVOTDATA("Sum of 6 - Remote Rural",RuralityPivot!$B$25,"Year",A34)</f>
        <v>2.8</v>
      </c>
      <c r="H34" s="930">
        <f>GETPIVOTDATA("Sum of All Scotland",RuralityPivot!$B$25,"Year",A34)</f>
        <v>2.9</v>
      </c>
    </row>
    <row r="35" spans="1:8" x14ac:dyDescent="0.25">
      <c r="A35" s="317" t="s">
        <v>257</v>
      </c>
      <c r="B35" s="571">
        <f>GETPIVOTDATA("Sum of 1 - Large Urban Areas",RuralityPivot!$B$25,"Year",A35)</f>
        <v>2.5</v>
      </c>
      <c r="C35" s="571">
        <f>GETPIVOTDATA("Sum of 2 - Other Urban Areas",RuralityPivot!$B$25,"Year",A35)</f>
        <v>3.3</v>
      </c>
      <c r="D35" s="571">
        <f>GETPIVOTDATA("Sum of 3 - Accessible Small Towns",RuralityPivot!$B$25,"Year",A35)</f>
        <v>2.8</v>
      </c>
      <c r="E35" s="571">
        <f>GETPIVOTDATA("Sum of 4 - Remote Small Towns",RuralityPivot!$B$25,"Year",A35)</f>
        <v>3.5</v>
      </c>
      <c r="F35" s="571">
        <f>GETPIVOTDATA("Sum of 5 - Accessible Rural",RuralityPivot!$B$25,"Year",A35)</f>
        <v>2.4</v>
      </c>
      <c r="G35" s="571">
        <f>GETPIVOTDATA("Sum of 6 - Remote Rural",RuralityPivot!$B$25,"Year",A35)</f>
        <v>3.1</v>
      </c>
      <c r="H35" s="930">
        <f>GETPIVOTDATA("Sum of All Scotland",RuralityPivot!$B$25,"Year",A35)</f>
        <v>2.9</v>
      </c>
    </row>
    <row r="36" spans="1:8" x14ac:dyDescent="0.25">
      <c r="A36" s="317" t="s">
        <v>240</v>
      </c>
      <c r="B36" s="571">
        <f>GETPIVOTDATA("Sum of 1 - Large Urban Areas",RuralityPivot!$B$25,"Year",A36)</f>
        <v>2.6</v>
      </c>
      <c r="C36" s="571">
        <f>GETPIVOTDATA("Sum of 2 - Other Urban Areas",RuralityPivot!$B$25,"Year",A36)</f>
        <v>3.1</v>
      </c>
      <c r="D36" s="571">
        <f>GETPIVOTDATA("Sum of 3 - Accessible Small Towns",RuralityPivot!$B$25,"Year",A36)</f>
        <v>2.5</v>
      </c>
      <c r="E36" s="571">
        <f>GETPIVOTDATA("Sum of 4 - Remote Small Towns",RuralityPivot!$B$25,"Year",A36)</f>
        <v>3.7</v>
      </c>
      <c r="F36" s="571">
        <f>GETPIVOTDATA("Sum of 5 - Accessible Rural",RuralityPivot!$B$25,"Year",A36)</f>
        <v>2.2000000000000002</v>
      </c>
      <c r="G36" s="571">
        <f>GETPIVOTDATA("Sum of 6 - Remote Rural",RuralityPivot!$B$25,"Year",A36)</f>
        <v>3.2</v>
      </c>
      <c r="H36" s="930">
        <f>GETPIVOTDATA("Sum of All Scotland",RuralityPivot!$B$25,"Year",A36)</f>
        <v>2.8</v>
      </c>
    </row>
    <row r="37" spans="1:8" x14ac:dyDescent="0.25">
      <c r="A37" s="317" t="s">
        <v>239</v>
      </c>
      <c r="B37" s="571">
        <f>GETPIVOTDATA("Sum of 1 - Large Urban Areas",RuralityPivot!$B$25,"Year",A37)</f>
        <v>2.8</v>
      </c>
      <c r="C37" s="571">
        <f>GETPIVOTDATA("Sum of 2 - Other Urban Areas",RuralityPivot!$B$25,"Year",A37)</f>
        <v>3</v>
      </c>
      <c r="D37" s="571">
        <f>GETPIVOTDATA("Sum of 3 - Accessible Small Towns",RuralityPivot!$B$25,"Year",A37)</f>
        <v>2.5</v>
      </c>
      <c r="E37" s="571">
        <f>GETPIVOTDATA("Sum of 4 - Remote Small Towns",RuralityPivot!$B$25,"Year",A37)</f>
        <v>3.2</v>
      </c>
      <c r="F37" s="571">
        <f>GETPIVOTDATA("Sum of 5 - Accessible Rural",RuralityPivot!$B$25,"Year",A37)</f>
        <v>2</v>
      </c>
      <c r="G37" s="571">
        <f>GETPIVOTDATA("Sum of 6 - Remote Rural",RuralityPivot!$B$25,"Year",A37)</f>
        <v>2.5</v>
      </c>
      <c r="H37" s="930">
        <f>GETPIVOTDATA("Sum of All Scotland",RuralityPivot!$B$25,"Year",A37)</f>
        <v>2.8</v>
      </c>
    </row>
    <row r="38" spans="1:8" x14ac:dyDescent="0.25">
      <c r="A38" s="317" t="s">
        <v>760</v>
      </c>
      <c r="B38" s="571">
        <f>GETPIVOTDATA("Sum of 1 - Large Urban Areas",RuralityPivot!$B$25,"Year",A38)</f>
        <v>2.7</v>
      </c>
      <c r="C38" s="571">
        <f>GETPIVOTDATA("Sum of 2 - Other Urban Areas",RuralityPivot!$B$25,"Year",A38)</f>
        <v>2.9</v>
      </c>
      <c r="D38" s="571">
        <f>GETPIVOTDATA("Sum of 3 - Accessible Small Towns",RuralityPivot!$B$25,"Year",A38)</f>
        <v>2.6</v>
      </c>
      <c r="E38" s="571">
        <f>GETPIVOTDATA("Sum of 4 - Remote Small Towns",RuralityPivot!$B$25,"Year",A38)</f>
        <v>3</v>
      </c>
      <c r="F38" s="571">
        <f>GETPIVOTDATA("Sum of 5 - Accessible Rural",RuralityPivot!$B$25,"Year",A38)</f>
        <v>2.2000000000000002</v>
      </c>
      <c r="G38" s="571">
        <f>GETPIVOTDATA("Sum of 6 - Remote Rural",RuralityPivot!$B$25,"Year",A38)</f>
        <v>2.5</v>
      </c>
      <c r="H38" s="930">
        <f>GETPIVOTDATA("Sum of All Scotland",RuralityPivot!$B$25,"Year",A38)</f>
        <v>2.7</v>
      </c>
    </row>
    <row r="39" spans="1:8" x14ac:dyDescent="0.25">
      <c r="A39" s="317" t="s">
        <v>917</v>
      </c>
      <c r="B39" s="940">
        <f>GETPIVOTDATA("Sum of 1 - Large Urban Areas",RuralityPivot!$B$25,"Year",A39)</f>
        <v>0.8</v>
      </c>
      <c r="C39" s="940">
        <f>GETPIVOTDATA("Sum of 2 - Other Urban Areas",RuralityPivot!$B$25,"Year",A39)</f>
        <v>0.9</v>
      </c>
      <c r="D39" s="940">
        <f>GETPIVOTDATA("Sum of 3 - Accessible Small Towns",RuralityPivot!$B$25,"Year",A39)</f>
        <v>0.8</v>
      </c>
      <c r="E39" s="940">
        <f>GETPIVOTDATA("Sum of 4 - Remote Small Towns",RuralityPivot!$B$25,"Year",A39)</f>
        <v>0.9</v>
      </c>
      <c r="F39" s="940">
        <f>GETPIVOTDATA("Sum of 5 - Accessible Rural",RuralityPivot!$B$25,"Year",A39)</f>
        <v>0.6</v>
      </c>
      <c r="G39" s="940">
        <f>GETPIVOTDATA("Sum of 6 - Remote Rural",RuralityPivot!$B$25,"Year",A39)</f>
        <v>0.6</v>
      </c>
      <c r="H39" s="942">
        <f>GETPIVOTDATA("Sum of All Scotland",RuralityPivot!$B$25,"Year",A39)</f>
        <v>0.8</v>
      </c>
    </row>
    <row r="40" spans="1:8" x14ac:dyDescent="0.25">
      <c r="A40" s="317" t="s">
        <v>1010</v>
      </c>
      <c r="B40" s="941">
        <f>GETPIVOTDATA("Sum of 1 - Large Urban Areas",RuralityPivot!$B$25,"Year",A40)</f>
        <v>1.6</v>
      </c>
      <c r="C40" s="941">
        <f>GETPIVOTDATA("Sum of 2 - Other Urban Areas",RuralityPivot!$B$25,"Year",A40)</f>
        <v>2</v>
      </c>
      <c r="D40" s="941">
        <f>GETPIVOTDATA("Sum of 3 - Accessible Small Towns",RuralityPivot!$B$25,"Year",A40)</f>
        <v>1.7</v>
      </c>
      <c r="E40" s="941">
        <f>GETPIVOTDATA("Sum of 4 - Remote Small Towns",RuralityPivot!$B$25,"Year",A40)</f>
        <v>1.9</v>
      </c>
      <c r="F40" s="941">
        <f>GETPIVOTDATA("Sum of 5 - Accessible Rural",RuralityPivot!$B$25,"Year",A40)</f>
        <v>1.3</v>
      </c>
      <c r="G40" s="941">
        <f>GETPIVOTDATA("Sum of 6 - Remote Rural",RuralityPivot!$B$25,"Year",A40)</f>
        <v>1.6</v>
      </c>
      <c r="H40" s="943">
        <f>GETPIVOTDATA("Sum of All Scotland",RuralityPivot!$B$25,"Year",A40)</f>
        <v>1.7</v>
      </c>
    </row>
    <row r="41" spans="1:8" x14ac:dyDescent="0.25">
      <c r="A41" s="317" t="s">
        <v>1061</v>
      </c>
      <c r="B41" s="941">
        <f>GETPIVOTDATA("Sum of 1 - Large Urban Areas",RuralityPivot!$B$25,"Year",A41)</f>
        <v>1.4</v>
      </c>
      <c r="C41" s="941">
        <f>GETPIVOTDATA("Sum of 2 - Other Urban Areas",RuralityPivot!$B$25,"Year",A41)</f>
        <v>1.7</v>
      </c>
      <c r="D41" s="941">
        <f>GETPIVOTDATA("Sum of 3 - Accessible Small Towns",RuralityPivot!$B$25,"Year",A41)</f>
        <v>1.5</v>
      </c>
      <c r="E41" s="941">
        <f>GETPIVOTDATA("Sum of 4 - Remote Small Towns",RuralityPivot!$B$25,"Year",A41)</f>
        <v>1.7</v>
      </c>
      <c r="F41" s="941">
        <f>GETPIVOTDATA("Sum of 5 - Accessible Rural",RuralityPivot!$B$25,"Year",A41)</f>
        <v>1.1000000000000001</v>
      </c>
      <c r="G41" s="941">
        <f>GETPIVOTDATA("Sum of 6 - Remote Rural",RuralityPivot!$B$25,"Year",A41)</f>
        <v>1.4</v>
      </c>
      <c r="H41" s="943">
        <f>GETPIVOTDATA("Sum of All Scotland",RuralityPivot!$B$25,"Year",A41)</f>
        <v>1.5</v>
      </c>
    </row>
    <row r="42" spans="1:8" ht="15.75" thickBot="1" x14ac:dyDescent="0.3">
      <c r="A42" s="533" t="s">
        <v>1108</v>
      </c>
      <c r="B42" s="776">
        <f>GETPIVOTDATA("Sum of 1 - Large Urban Areas",RuralityPivot!$B$25,"Year",A42)</f>
        <v>1.4</v>
      </c>
      <c r="C42" s="776">
        <f>GETPIVOTDATA("Sum of 2 - Other Urban Areas",RuralityPivot!$B$25,"Year",A42)</f>
        <v>1.5</v>
      </c>
      <c r="D42" s="776">
        <f>GETPIVOTDATA("Sum of 3 - Accessible Small Towns",RuralityPivot!$B$25,"Year",A42)</f>
        <v>1.3</v>
      </c>
      <c r="E42" s="776">
        <f>GETPIVOTDATA("Sum of 4 - Remote Small Towns",RuralityPivot!$B$25,"Year",A42)</f>
        <v>1.7</v>
      </c>
      <c r="F42" s="776">
        <f>GETPIVOTDATA("Sum of 5 - Accessible Rural",RuralityPivot!$B$25,"Year",A42)</f>
        <v>1</v>
      </c>
      <c r="G42" s="776">
        <f>GETPIVOTDATA("Sum of 6 - Remote Rural",RuralityPivot!$B$25,"Year",A42)</f>
        <v>1.3</v>
      </c>
      <c r="H42" s="777">
        <f>GETPIVOTDATA("Sum of All Scotland",RuralityPivot!$B$25,"Year",A42)</f>
        <v>1.4</v>
      </c>
    </row>
    <row r="44" spans="1:8" x14ac:dyDescent="0.25">
      <c r="A44" s="317" t="s">
        <v>8</v>
      </c>
    </row>
    <row r="45" spans="1:8" x14ac:dyDescent="0.25">
      <c r="A45" t="s">
        <v>753</v>
      </c>
    </row>
    <row r="46" spans="1:8" x14ac:dyDescent="0.25">
      <c r="A46" s="574" t="s">
        <v>752</v>
      </c>
    </row>
    <row r="47" spans="1:8" x14ac:dyDescent="0.25">
      <c r="A47" s="507" t="s">
        <v>751</v>
      </c>
    </row>
  </sheetData>
  <sheetProtection algorithmName="SHA-512" hashValue="qnwknoyqnWvze2Y6jgNBM7scyjA372jQ27+E7Aa1RqSN9T+Gkm3oLTkabI1p4jzC40gaDuVVkMJoyC1aMAs0Qw==" saltValue="dGwgyuYTc8BitXRUln0Mqg==" spinCount="100000" sheet="1" scenarios="1" formatCells="0" sort="0" autoFilter="0" pivotTables="0"/>
  <hyperlinks>
    <hyperlink ref="A2" location="'Table of Contents'!A1" display="Back to Table of Contents" xr:uid="{00000000-0004-0000-8C00-000000000000}"/>
    <hyperlink ref="A23" r:id="rId1" xr:uid="{00000000-0004-0000-8C00-000001000000}"/>
    <hyperlink ref="A46" r:id="rId2" xr:uid="{00000000-0004-0000-8C00-000002000000}"/>
    <hyperlink ref="A47" r:id="rId3" xr:uid="{00000000-0004-0000-8C00-000003000000}"/>
  </hyperlinks>
  <pageMargins left="0.7" right="0.7" top="0.75" bottom="0.75" header="0.3" footer="0.3"/>
  <pageSetup paperSize="9" orientation="portrait" r:id="rId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7" tint="-0.249977111117893"/>
  </sheetPr>
  <dimension ref="B2:N37"/>
  <sheetViews>
    <sheetView topLeftCell="J1" workbookViewId="0">
      <selection activeCell="C13" sqref="C13"/>
    </sheetView>
  </sheetViews>
  <sheetFormatPr defaultRowHeight="15" x14ac:dyDescent="0.25"/>
  <cols>
    <col min="2" max="2" width="20.42578125" bestFit="1" customWidth="1"/>
    <col min="3" max="3" width="26.42578125" bestFit="1" customWidth="1"/>
    <col min="4" max="4" width="22.42578125" bestFit="1" customWidth="1"/>
    <col min="5" max="5" width="16.140625" bestFit="1" customWidth="1"/>
    <col min="6" max="6" width="21.140625" bestFit="1" customWidth="1"/>
    <col min="7" max="7" width="25" bestFit="1" customWidth="1"/>
    <col min="8" max="8" width="17.42578125" bestFit="1" customWidth="1"/>
    <col min="9" max="9" width="15.140625" bestFit="1" customWidth="1"/>
    <col min="10" max="10" width="24.7109375" bestFit="1" customWidth="1"/>
    <col min="11" max="11" width="26.140625" bestFit="1" customWidth="1"/>
    <col min="12" max="12" width="17.140625" bestFit="1" customWidth="1"/>
    <col min="13" max="13" width="26.7109375" bestFit="1" customWidth="1"/>
    <col min="14" max="14" width="28.140625" bestFit="1" customWidth="1"/>
  </cols>
  <sheetData>
    <row r="2" spans="2:14" x14ac:dyDescent="0.25">
      <c r="B2" s="394" t="s">
        <v>313</v>
      </c>
      <c r="C2" t="s">
        <v>1108</v>
      </c>
    </row>
    <row r="4" spans="2:14" x14ac:dyDescent="0.25">
      <c r="B4" s="394" t="s">
        <v>231</v>
      </c>
      <c r="C4" t="s">
        <v>936</v>
      </c>
      <c r="D4" t="s">
        <v>937</v>
      </c>
      <c r="E4" t="s">
        <v>938</v>
      </c>
      <c r="F4" t="s">
        <v>416</v>
      </c>
      <c r="G4" t="s">
        <v>417</v>
      </c>
      <c r="H4" t="s">
        <v>415</v>
      </c>
      <c r="I4" t="s">
        <v>418</v>
      </c>
      <c r="J4" t="s">
        <v>419</v>
      </c>
      <c r="K4" t="s">
        <v>420</v>
      </c>
      <c r="L4" t="s">
        <v>421</v>
      </c>
      <c r="M4" t="s">
        <v>422</v>
      </c>
      <c r="N4" t="s">
        <v>423</v>
      </c>
    </row>
    <row r="5" spans="2:14" x14ac:dyDescent="0.25">
      <c r="B5" s="395" t="s">
        <v>31</v>
      </c>
      <c r="C5">
        <v>158</v>
      </c>
      <c r="D5">
        <v>1521</v>
      </c>
      <c r="E5">
        <v>1679</v>
      </c>
      <c r="F5">
        <v>349</v>
      </c>
      <c r="G5">
        <v>132</v>
      </c>
      <c r="H5">
        <v>481</v>
      </c>
      <c r="I5">
        <v>124369</v>
      </c>
      <c r="J5">
        <v>1.35</v>
      </c>
      <c r="K5">
        <v>0.38700000000000001</v>
      </c>
      <c r="L5">
        <v>111024</v>
      </c>
      <c r="M5">
        <v>1.512</v>
      </c>
      <c r="N5">
        <v>0.433</v>
      </c>
    </row>
    <row r="6" spans="2:14" x14ac:dyDescent="0.25">
      <c r="B6" s="395" t="s">
        <v>32</v>
      </c>
      <c r="C6">
        <v>107</v>
      </c>
      <c r="D6">
        <v>1157</v>
      </c>
      <c r="E6">
        <v>1264</v>
      </c>
      <c r="F6">
        <v>248</v>
      </c>
      <c r="G6">
        <v>62</v>
      </c>
      <c r="H6">
        <v>310</v>
      </c>
      <c r="I6">
        <v>122524</v>
      </c>
      <c r="J6">
        <v>1.032</v>
      </c>
      <c r="K6">
        <v>0.253</v>
      </c>
      <c r="L6">
        <v>116807</v>
      </c>
      <c r="M6">
        <v>1.0820000000000001</v>
      </c>
      <c r="N6">
        <v>0.26500000000000001</v>
      </c>
    </row>
    <row r="7" spans="2:14" x14ac:dyDescent="0.25">
      <c r="B7" s="395" t="s">
        <v>33</v>
      </c>
      <c r="C7">
        <v>107</v>
      </c>
      <c r="D7">
        <v>867</v>
      </c>
      <c r="E7">
        <v>974</v>
      </c>
      <c r="F7">
        <v>138</v>
      </c>
      <c r="G7">
        <v>132</v>
      </c>
      <c r="H7">
        <v>270</v>
      </c>
      <c r="I7">
        <v>58286</v>
      </c>
      <c r="J7">
        <v>1.671</v>
      </c>
      <c r="K7">
        <v>0.46300000000000002</v>
      </c>
      <c r="L7">
        <v>54804</v>
      </c>
      <c r="M7">
        <v>1.7770000000000001</v>
      </c>
      <c r="N7">
        <v>0.49299999999999999</v>
      </c>
    </row>
    <row r="8" spans="2:14" x14ac:dyDescent="0.25">
      <c r="B8" s="395" t="s">
        <v>34</v>
      </c>
      <c r="C8">
        <v>97</v>
      </c>
      <c r="D8">
        <v>739</v>
      </c>
      <c r="E8">
        <v>836</v>
      </c>
      <c r="F8">
        <v>182</v>
      </c>
      <c r="G8">
        <v>82</v>
      </c>
      <c r="H8">
        <v>264</v>
      </c>
      <c r="I8">
        <v>49144</v>
      </c>
      <c r="J8">
        <v>1.7010000000000001</v>
      </c>
      <c r="K8">
        <v>0.53700000000000003</v>
      </c>
      <c r="L8">
        <v>42610</v>
      </c>
      <c r="M8">
        <v>1.962</v>
      </c>
      <c r="N8">
        <v>0.62</v>
      </c>
    </row>
    <row r="9" spans="2:14" x14ac:dyDescent="0.25">
      <c r="B9" s="395" t="s">
        <v>243</v>
      </c>
      <c r="C9">
        <v>261</v>
      </c>
      <c r="D9">
        <v>2310</v>
      </c>
      <c r="E9">
        <v>2571</v>
      </c>
      <c r="F9">
        <v>433</v>
      </c>
      <c r="G9">
        <v>284</v>
      </c>
      <c r="H9">
        <v>717</v>
      </c>
      <c r="I9">
        <v>263670</v>
      </c>
      <c r="J9">
        <v>0.97499999999999998</v>
      </c>
      <c r="K9">
        <v>0.27200000000000002</v>
      </c>
      <c r="L9">
        <v>242021</v>
      </c>
      <c r="M9">
        <v>1.0620000000000001</v>
      </c>
      <c r="N9">
        <v>0.29599999999999999</v>
      </c>
    </row>
    <row r="10" spans="2:14" x14ac:dyDescent="0.25">
      <c r="B10" s="395" t="s">
        <v>35</v>
      </c>
      <c r="C10">
        <v>58</v>
      </c>
      <c r="D10">
        <v>398</v>
      </c>
      <c r="E10">
        <v>456</v>
      </c>
      <c r="F10">
        <v>88</v>
      </c>
      <c r="G10">
        <v>43</v>
      </c>
      <c r="H10">
        <v>131</v>
      </c>
      <c r="I10">
        <v>25277</v>
      </c>
      <c r="J10">
        <v>1.804</v>
      </c>
      <c r="K10">
        <v>0.51800000000000002</v>
      </c>
      <c r="L10">
        <v>24305</v>
      </c>
      <c r="M10">
        <v>1.8759999999999999</v>
      </c>
      <c r="N10">
        <v>0.53900000000000003</v>
      </c>
    </row>
    <row r="11" spans="2:14" x14ac:dyDescent="0.25">
      <c r="B11" s="395" t="s">
        <v>36</v>
      </c>
      <c r="C11">
        <v>237</v>
      </c>
      <c r="D11">
        <v>850</v>
      </c>
      <c r="E11">
        <v>1087</v>
      </c>
      <c r="F11">
        <v>462</v>
      </c>
      <c r="G11">
        <v>162</v>
      </c>
      <c r="H11">
        <v>624</v>
      </c>
      <c r="I11">
        <v>76275</v>
      </c>
      <c r="J11">
        <v>1.425</v>
      </c>
      <c r="K11">
        <v>0.81799999999999995</v>
      </c>
      <c r="L11">
        <v>70696</v>
      </c>
      <c r="M11">
        <v>1.538</v>
      </c>
      <c r="N11">
        <v>0.88300000000000001</v>
      </c>
    </row>
    <row r="12" spans="2:14" x14ac:dyDescent="0.25">
      <c r="B12" s="395" t="s">
        <v>37</v>
      </c>
      <c r="C12">
        <v>134</v>
      </c>
      <c r="D12">
        <v>1306</v>
      </c>
      <c r="E12">
        <v>1440</v>
      </c>
      <c r="F12">
        <v>158</v>
      </c>
      <c r="G12">
        <v>117</v>
      </c>
      <c r="H12">
        <v>275</v>
      </c>
      <c r="I12">
        <v>76306</v>
      </c>
      <c r="J12">
        <v>1.887</v>
      </c>
      <c r="K12">
        <v>0.36</v>
      </c>
      <c r="L12">
        <v>70409</v>
      </c>
      <c r="M12">
        <v>2.0449999999999999</v>
      </c>
      <c r="N12">
        <v>0.39100000000000001</v>
      </c>
    </row>
    <row r="13" spans="2:14" x14ac:dyDescent="0.25">
      <c r="B13" s="395" t="s">
        <v>38</v>
      </c>
      <c r="C13">
        <v>264</v>
      </c>
      <c r="D13">
        <v>829</v>
      </c>
      <c r="E13">
        <v>1093</v>
      </c>
      <c r="F13">
        <v>597</v>
      </c>
      <c r="G13">
        <v>105</v>
      </c>
      <c r="H13">
        <v>702</v>
      </c>
      <c r="I13">
        <v>59737</v>
      </c>
      <c r="J13">
        <v>1.83</v>
      </c>
      <c r="K13">
        <v>1.175</v>
      </c>
      <c r="L13">
        <v>55811</v>
      </c>
      <c r="M13">
        <v>1.958</v>
      </c>
      <c r="N13">
        <v>1.258</v>
      </c>
    </row>
    <row r="14" spans="2:14" x14ac:dyDescent="0.25">
      <c r="B14" s="395" t="s">
        <v>39</v>
      </c>
      <c r="C14">
        <v>166</v>
      </c>
      <c r="D14">
        <v>855</v>
      </c>
      <c r="E14">
        <v>1021</v>
      </c>
      <c r="F14">
        <v>316</v>
      </c>
      <c r="G14">
        <v>101</v>
      </c>
      <c r="H14">
        <v>417</v>
      </c>
      <c r="I14">
        <v>48165</v>
      </c>
      <c r="J14">
        <v>2.12</v>
      </c>
      <c r="K14">
        <v>0.86599999999999999</v>
      </c>
      <c r="L14">
        <v>46610</v>
      </c>
      <c r="M14">
        <v>2.1909999999999998</v>
      </c>
      <c r="N14">
        <v>0.89500000000000002</v>
      </c>
    </row>
    <row r="15" spans="2:14" x14ac:dyDescent="0.25">
      <c r="B15" s="395" t="s">
        <v>40</v>
      </c>
      <c r="C15">
        <v>64</v>
      </c>
      <c r="D15">
        <v>559</v>
      </c>
      <c r="E15">
        <v>623</v>
      </c>
      <c r="F15">
        <v>118</v>
      </c>
      <c r="G15">
        <v>39</v>
      </c>
      <c r="H15">
        <v>157</v>
      </c>
      <c r="I15">
        <v>52327</v>
      </c>
      <c r="J15">
        <v>1.1910000000000001</v>
      </c>
      <c r="K15">
        <v>0.3</v>
      </c>
      <c r="L15">
        <v>49686</v>
      </c>
      <c r="M15">
        <v>1.254</v>
      </c>
      <c r="N15">
        <v>0.316</v>
      </c>
    </row>
    <row r="16" spans="2:14" x14ac:dyDescent="0.25">
      <c r="B16" s="395" t="s">
        <v>41</v>
      </c>
      <c r="C16">
        <v>159</v>
      </c>
      <c r="D16">
        <v>487</v>
      </c>
      <c r="E16">
        <v>646</v>
      </c>
      <c r="F16">
        <v>314</v>
      </c>
      <c r="G16">
        <v>68</v>
      </c>
      <c r="H16">
        <v>382</v>
      </c>
      <c r="I16">
        <v>40849</v>
      </c>
      <c r="J16">
        <v>1.581</v>
      </c>
      <c r="K16">
        <v>0.93500000000000005</v>
      </c>
      <c r="L16">
        <v>40260</v>
      </c>
      <c r="M16">
        <v>1.605</v>
      </c>
      <c r="N16">
        <v>0.94899999999999995</v>
      </c>
    </row>
    <row r="17" spans="2:14" x14ac:dyDescent="0.25">
      <c r="B17" s="395" t="s">
        <v>42</v>
      </c>
      <c r="C17">
        <v>125</v>
      </c>
      <c r="D17">
        <v>679</v>
      </c>
      <c r="E17">
        <v>804</v>
      </c>
      <c r="F17">
        <v>275</v>
      </c>
      <c r="G17">
        <v>91</v>
      </c>
      <c r="H17">
        <v>366</v>
      </c>
      <c r="I17">
        <v>76689</v>
      </c>
      <c r="J17">
        <v>1.048</v>
      </c>
      <c r="K17">
        <v>0.47699999999999998</v>
      </c>
      <c r="L17">
        <v>72907</v>
      </c>
      <c r="M17">
        <v>1.103</v>
      </c>
      <c r="N17">
        <v>0.502</v>
      </c>
    </row>
    <row r="18" spans="2:14" x14ac:dyDescent="0.25">
      <c r="B18" s="395" t="s">
        <v>43</v>
      </c>
      <c r="C18">
        <v>483</v>
      </c>
      <c r="D18">
        <v>1849</v>
      </c>
      <c r="E18">
        <v>2332</v>
      </c>
      <c r="F18">
        <v>832</v>
      </c>
      <c r="G18">
        <v>385</v>
      </c>
      <c r="H18">
        <v>1217</v>
      </c>
      <c r="I18">
        <v>182775</v>
      </c>
      <c r="J18">
        <v>1.276</v>
      </c>
      <c r="K18">
        <v>0.66600000000000004</v>
      </c>
      <c r="L18">
        <v>170982</v>
      </c>
      <c r="M18">
        <v>1.3639999999999999</v>
      </c>
      <c r="N18">
        <v>0.71199999999999997</v>
      </c>
    </row>
    <row r="19" spans="2:14" x14ac:dyDescent="0.25">
      <c r="B19" s="395" t="s">
        <v>117</v>
      </c>
      <c r="C19">
        <v>750</v>
      </c>
      <c r="D19">
        <v>3363</v>
      </c>
      <c r="E19">
        <v>4113</v>
      </c>
      <c r="F19">
        <v>1391</v>
      </c>
      <c r="G19">
        <v>534</v>
      </c>
      <c r="H19">
        <v>1925</v>
      </c>
      <c r="I19">
        <v>324431</v>
      </c>
      <c r="J19">
        <v>1.268</v>
      </c>
      <c r="K19">
        <v>0.59299999999999997</v>
      </c>
      <c r="L19">
        <v>297386</v>
      </c>
      <c r="M19">
        <v>1.383</v>
      </c>
      <c r="N19">
        <v>0.64700000000000002</v>
      </c>
    </row>
    <row r="20" spans="2:14" x14ac:dyDescent="0.25">
      <c r="B20" s="395" t="s">
        <v>44</v>
      </c>
      <c r="C20">
        <v>145</v>
      </c>
      <c r="D20">
        <v>1925</v>
      </c>
      <c r="E20">
        <v>2070</v>
      </c>
      <c r="F20">
        <v>231</v>
      </c>
      <c r="G20">
        <v>226</v>
      </c>
      <c r="H20">
        <v>457</v>
      </c>
      <c r="I20">
        <v>123568</v>
      </c>
      <c r="J20">
        <v>1.675</v>
      </c>
      <c r="K20">
        <v>0.37</v>
      </c>
      <c r="L20">
        <v>112857</v>
      </c>
      <c r="M20">
        <v>1.8340000000000001</v>
      </c>
      <c r="N20">
        <v>0.40500000000000003</v>
      </c>
    </row>
    <row r="21" spans="2:14" x14ac:dyDescent="0.25">
      <c r="B21" s="395" t="s">
        <v>45</v>
      </c>
      <c r="C21">
        <v>173</v>
      </c>
      <c r="D21">
        <v>319</v>
      </c>
      <c r="E21">
        <v>492</v>
      </c>
      <c r="F21">
        <v>321</v>
      </c>
      <c r="G21">
        <v>116</v>
      </c>
      <c r="H21">
        <v>437</v>
      </c>
      <c r="I21">
        <v>39913</v>
      </c>
      <c r="J21">
        <v>1.2330000000000001</v>
      </c>
      <c r="K21">
        <v>1.095</v>
      </c>
      <c r="L21">
        <v>37556</v>
      </c>
      <c r="M21">
        <v>1.31</v>
      </c>
      <c r="N21">
        <v>1.1639999999999999</v>
      </c>
    </row>
    <row r="22" spans="2:14" x14ac:dyDescent="0.25">
      <c r="B22" s="395" t="s">
        <v>46</v>
      </c>
      <c r="C22">
        <v>68</v>
      </c>
      <c r="D22">
        <v>350</v>
      </c>
      <c r="E22">
        <v>418</v>
      </c>
      <c r="F22">
        <v>133</v>
      </c>
      <c r="G22">
        <v>47</v>
      </c>
      <c r="H22">
        <v>180</v>
      </c>
      <c r="I22">
        <v>44052</v>
      </c>
      <c r="J22">
        <v>0.94899999999999995</v>
      </c>
      <c r="K22">
        <v>0.40899999999999997</v>
      </c>
      <c r="L22">
        <v>41958</v>
      </c>
      <c r="M22">
        <v>0.996</v>
      </c>
      <c r="N22">
        <v>0.42899999999999999</v>
      </c>
    </row>
    <row r="23" spans="2:14" x14ac:dyDescent="0.25">
      <c r="B23" s="395" t="s">
        <v>47</v>
      </c>
      <c r="C23">
        <v>58</v>
      </c>
      <c r="D23">
        <v>619</v>
      </c>
      <c r="E23">
        <v>677</v>
      </c>
      <c r="F23">
        <v>104</v>
      </c>
      <c r="G23">
        <v>71</v>
      </c>
      <c r="H23">
        <v>175</v>
      </c>
      <c r="I23">
        <v>47060</v>
      </c>
      <c r="J23">
        <v>1.4390000000000001</v>
      </c>
      <c r="K23">
        <v>0.372</v>
      </c>
      <c r="L23">
        <v>43891</v>
      </c>
      <c r="M23">
        <v>1.542</v>
      </c>
      <c r="N23">
        <v>0.39900000000000002</v>
      </c>
    </row>
    <row r="24" spans="2:14" x14ac:dyDescent="0.25">
      <c r="B24" s="395" t="s">
        <v>48</v>
      </c>
      <c r="C24">
        <v>12</v>
      </c>
      <c r="D24">
        <v>90</v>
      </c>
      <c r="E24">
        <v>102</v>
      </c>
      <c r="F24">
        <v>28</v>
      </c>
      <c r="G24">
        <v>18</v>
      </c>
      <c r="H24">
        <v>46</v>
      </c>
      <c r="I24">
        <v>15097</v>
      </c>
      <c r="J24">
        <v>0.67600000000000005</v>
      </c>
      <c r="K24">
        <v>0.30499999999999999</v>
      </c>
      <c r="L24">
        <v>12806</v>
      </c>
      <c r="M24">
        <v>0.79700000000000004</v>
      </c>
      <c r="N24">
        <v>0.35899999999999999</v>
      </c>
    </row>
    <row r="25" spans="2:14" x14ac:dyDescent="0.25">
      <c r="B25" s="395" t="s">
        <v>49</v>
      </c>
      <c r="C25">
        <v>201</v>
      </c>
      <c r="D25">
        <v>666</v>
      </c>
      <c r="E25">
        <v>867</v>
      </c>
      <c r="F25">
        <v>311</v>
      </c>
      <c r="G25">
        <v>176</v>
      </c>
      <c r="H25">
        <v>487</v>
      </c>
      <c r="I25">
        <v>70223</v>
      </c>
      <c r="J25">
        <v>1.2349999999999999</v>
      </c>
      <c r="K25">
        <v>0.69399999999999995</v>
      </c>
      <c r="L25">
        <v>64633</v>
      </c>
      <c r="M25">
        <v>1.341</v>
      </c>
      <c r="N25">
        <v>0.753</v>
      </c>
    </row>
    <row r="26" spans="2:14" x14ac:dyDescent="0.25">
      <c r="B26" s="395" t="s">
        <v>50</v>
      </c>
      <c r="C26">
        <v>354</v>
      </c>
      <c r="D26">
        <v>1714</v>
      </c>
      <c r="E26">
        <v>2068</v>
      </c>
      <c r="F26">
        <v>743</v>
      </c>
      <c r="G26">
        <v>208</v>
      </c>
      <c r="H26">
        <v>951</v>
      </c>
      <c r="I26">
        <v>160560</v>
      </c>
      <c r="J26">
        <v>1.288</v>
      </c>
      <c r="K26">
        <v>0.59199999999999997</v>
      </c>
      <c r="L26">
        <v>152653</v>
      </c>
      <c r="M26">
        <v>1.355</v>
      </c>
      <c r="N26">
        <v>0.623</v>
      </c>
    </row>
    <row r="27" spans="2:14" x14ac:dyDescent="0.25">
      <c r="B27" s="395" t="s">
        <v>51</v>
      </c>
      <c r="C27">
        <v>31</v>
      </c>
      <c r="D27">
        <v>175</v>
      </c>
      <c r="E27">
        <v>206</v>
      </c>
      <c r="F27">
        <v>95</v>
      </c>
      <c r="G27">
        <v>16</v>
      </c>
      <c r="H27">
        <v>111</v>
      </c>
      <c r="I27">
        <v>11719</v>
      </c>
      <c r="J27">
        <v>1.758</v>
      </c>
      <c r="K27">
        <v>0.94699999999999995</v>
      </c>
      <c r="L27">
        <v>10811</v>
      </c>
      <c r="M27">
        <v>1.905</v>
      </c>
      <c r="N27">
        <v>1.0269999999999999</v>
      </c>
    </row>
    <row r="28" spans="2:14" x14ac:dyDescent="0.25">
      <c r="B28" s="395" t="s">
        <v>52</v>
      </c>
      <c r="C28">
        <v>110</v>
      </c>
      <c r="D28">
        <v>640</v>
      </c>
      <c r="E28">
        <v>750</v>
      </c>
      <c r="F28">
        <v>258</v>
      </c>
      <c r="G28">
        <v>52</v>
      </c>
      <c r="H28">
        <v>310</v>
      </c>
      <c r="I28">
        <v>76136</v>
      </c>
      <c r="J28">
        <v>0.98499999999999999</v>
      </c>
      <c r="K28">
        <v>0.40699999999999997</v>
      </c>
      <c r="L28">
        <v>70837</v>
      </c>
      <c r="M28">
        <v>1.0589999999999999</v>
      </c>
      <c r="N28">
        <v>0.438</v>
      </c>
    </row>
    <row r="29" spans="2:14" x14ac:dyDescent="0.25">
      <c r="B29" s="395" t="s">
        <v>53</v>
      </c>
      <c r="C29">
        <v>342</v>
      </c>
      <c r="D29">
        <v>826</v>
      </c>
      <c r="E29">
        <v>1168</v>
      </c>
      <c r="F29">
        <v>726</v>
      </c>
      <c r="G29">
        <v>131</v>
      </c>
      <c r="H29">
        <v>857</v>
      </c>
      <c r="I29">
        <v>91192</v>
      </c>
      <c r="J29">
        <v>1.2810000000000001</v>
      </c>
      <c r="K29">
        <v>0.94</v>
      </c>
      <c r="L29">
        <v>87576</v>
      </c>
      <c r="M29">
        <v>1.3340000000000001</v>
      </c>
      <c r="N29">
        <v>0.97899999999999998</v>
      </c>
    </row>
    <row r="30" spans="2:14" x14ac:dyDescent="0.25">
      <c r="B30" s="395" t="s">
        <v>54</v>
      </c>
      <c r="C30">
        <v>128</v>
      </c>
      <c r="D30">
        <v>776</v>
      </c>
      <c r="E30">
        <v>904</v>
      </c>
      <c r="F30">
        <v>257</v>
      </c>
      <c r="G30">
        <v>97</v>
      </c>
      <c r="H30">
        <v>354</v>
      </c>
      <c r="I30">
        <v>59974</v>
      </c>
      <c r="J30">
        <v>1.5070000000000001</v>
      </c>
      <c r="K30">
        <v>0.59</v>
      </c>
      <c r="L30">
        <v>55826</v>
      </c>
      <c r="M30">
        <v>1.619</v>
      </c>
      <c r="N30">
        <v>0.63400000000000001</v>
      </c>
    </row>
    <row r="31" spans="2:14" x14ac:dyDescent="0.25">
      <c r="B31" s="395" t="s">
        <v>55</v>
      </c>
      <c r="C31">
        <v>22</v>
      </c>
      <c r="D31">
        <v>194</v>
      </c>
      <c r="E31">
        <v>216</v>
      </c>
      <c r="F31">
        <v>19</v>
      </c>
      <c r="G31">
        <v>53</v>
      </c>
      <c r="H31">
        <v>72</v>
      </c>
      <c r="I31">
        <v>11629</v>
      </c>
      <c r="J31">
        <v>1.857</v>
      </c>
      <c r="K31">
        <v>0.61899999999999999</v>
      </c>
      <c r="L31">
        <v>10621</v>
      </c>
      <c r="M31">
        <v>2.0339999999999998</v>
      </c>
      <c r="N31">
        <v>0.67800000000000005</v>
      </c>
    </row>
    <row r="32" spans="2:14" x14ac:dyDescent="0.25">
      <c r="B32" s="395" t="s">
        <v>56</v>
      </c>
      <c r="C32">
        <v>161</v>
      </c>
      <c r="D32">
        <v>529</v>
      </c>
      <c r="E32">
        <v>690</v>
      </c>
      <c r="F32">
        <v>302</v>
      </c>
      <c r="G32">
        <v>110</v>
      </c>
      <c r="H32">
        <v>412</v>
      </c>
      <c r="I32">
        <v>56697</v>
      </c>
      <c r="J32">
        <v>1.2170000000000001</v>
      </c>
      <c r="K32">
        <v>0.72699999999999998</v>
      </c>
      <c r="L32">
        <v>52851</v>
      </c>
      <c r="M32">
        <v>1.306</v>
      </c>
      <c r="N32">
        <v>0.78</v>
      </c>
    </row>
    <row r="33" spans="2:14" x14ac:dyDescent="0.25">
      <c r="B33" s="395" t="s">
        <v>57</v>
      </c>
      <c r="C33">
        <v>424</v>
      </c>
      <c r="D33">
        <v>1894</v>
      </c>
      <c r="E33">
        <v>2318</v>
      </c>
      <c r="F33">
        <v>943</v>
      </c>
      <c r="G33">
        <v>264</v>
      </c>
      <c r="H33">
        <v>1207</v>
      </c>
      <c r="I33">
        <v>158594</v>
      </c>
      <c r="J33">
        <v>1.462</v>
      </c>
      <c r="K33">
        <v>0.76100000000000001</v>
      </c>
      <c r="L33">
        <v>149454</v>
      </c>
      <c r="M33">
        <v>1.5510000000000002</v>
      </c>
      <c r="N33">
        <v>0.80800000000000005</v>
      </c>
    </row>
    <row r="34" spans="2:14" x14ac:dyDescent="0.25">
      <c r="B34" s="395" t="s">
        <v>58</v>
      </c>
      <c r="C34">
        <v>103</v>
      </c>
      <c r="D34">
        <v>516</v>
      </c>
      <c r="E34">
        <v>619</v>
      </c>
      <c r="F34">
        <v>181</v>
      </c>
      <c r="G34">
        <v>85</v>
      </c>
      <c r="H34">
        <v>266</v>
      </c>
      <c r="I34">
        <v>42990</v>
      </c>
      <c r="J34">
        <v>1.44</v>
      </c>
      <c r="K34">
        <v>0.61899999999999999</v>
      </c>
      <c r="L34">
        <v>40810</v>
      </c>
      <c r="M34">
        <v>1.5169999999999999</v>
      </c>
      <c r="N34">
        <v>0.65200000000000002</v>
      </c>
    </row>
    <row r="35" spans="2:14" x14ac:dyDescent="0.25">
      <c r="B35" s="395" t="s">
        <v>59</v>
      </c>
      <c r="C35">
        <v>192</v>
      </c>
      <c r="D35">
        <v>751</v>
      </c>
      <c r="E35">
        <v>943</v>
      </c>
      <c r="F35">
        <v>266</v>
      </c>
      <c r="G35">
        <v>137</v>
      </c>
      <c r="H35">
        <v>403</v>
      </c>
      <c r="I35">
        <v>46068</v>
      </c>
      <c r="J35">
        <v>2.0470000000000002</v>
      </c>
      <c r="K35">
        <v>0.875</v>
      </c>
      <c r="L35">
        <v>42822</v>
      </c>
      <c r="M35">
        <v>2.202</v>
      </c>
      <c r="N35">
        <v>0.94099999999999995</v>
      </c>
    </row>
    <row r="36" spans="2:14" x14ac:dyDescent="0.25">
      <c r="B36" s="395" t="s">
        <v>60</v>
      </c>
      <c r="C36">
        <v>228</v>
      </c>
      <c r="D36">
        <v>1063</v>
      </c>
      <c r="E36">
        <v>1291</v>
      </c>
      <c r="F36">
        <v>622</v>
      </c>
      <c r="G36">
        <v>164</v>
      </c>
      <c r="H36">
        <v>786</v>
      </c>
      <c r="I36">
        <v>84929</v>
      </c>
      <c r="J36">
        <v>1.52</v>
      </c>
      <c r="K36">
        <v>0.92500000000000004</v>
      </c>
      <c r="L36">
        <v>81029</v>
      </c>
      <c r="M36">
        <v>1.593</v>
      </c>
      <c r="N36">
        <v>0.97</v>
      </c>
    </row>
    <row r="37" spans="2:14" x14ac:dyDescent="0.25">
      <c r="B37" s="395" t="s">
        <v>236</v>
      </c>
      <c r="C37">
        <v>5922</v>
      </c>
      <c r="D37">
        <v>30816</v>
      </c>
      <c r="E37">
        <v>36738</v>
      </c>
      <c r="F37">
        <v>11441</v>
      </c>
      <c r="G37">
        <v>4308</v>
      </c>
      <c r="H37">
        <v>15749</v>
      </c>
      <c r="I37">
        <v>2721225</v>
      </c>
      <c r="J37">
        <v>45.728000000000002</v>
      </c>
      <c r="K37">
        <v>19.867000000000001</v>
      </c>
      <c r="L37">
        <v>2535309</v>
      </c>
      <c r="M37">
        <v>49.007000000000005</v>
      </c>
      <c r="N37">
        <v>21.238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M42"/>
  <sheetViews>
    <sheetView showGridLines="0" workbookViewId="0">
      <pane ySplit="2" topLeftCell="A3" activePane="bottomLeft" state="frozen"/>
      <selection pane="bottomLeft" sqref="A1:C1"/>
    </sheetView>
  </sheetViews>
  <sheetFormatPr defaultRowHeight="15" x14ac:dyDescent="0.25"/>
  <cols>
    <col min="1" max="1" width="17.85546875" customWidth="1"/>
    <col min="2" max="2" width="10.85546875" customWidth="1"/>
    <col min="3" max="3" width="9.28515625" customWidth="1"/>
    <col min="4" max="4" width="11.5703125" customWidth="1"/>
    <col min="5" max="5" width="9.28515625" customWidth="1"/>
    <col min="6" max="6" width="11.28515625" customWidth="1"/>
    <col min="7" max="7" width="15.5703125" customWidth="1"/>
    <col min="8" max="8" width="11.85546875" customWidth="1"/>
    <col min="9" max="9" width="16.7109375" customWidth="1"/>
    <col min="10" max="11" width="10.7109375" customWidth="1"/>
    <col min="12" max="12" width="13" customWidth="1"/>
    <col min="13" max="13" width="11.7109375" customWidth="1"/>
    <col min="14" max="14" width="11.85546875" customWidth="1"/>
    <col min="15" max="15" width="10.28515625" customWidth="1"/>
    <col min="17" max="17" width="11.85546875" customWidth="1"/>
    <col min="18" max="18" width="13.140625" customWidth="1"/>
  </cols>
  <sheetData>
    <row r="1" spans="1:12" ht="15.75" customHeight="1" x14ac:dyDescent="0.25">
      <c r="A1" s="993" t="s">
        <v>523</v>
      </c>
      <c r="B1" s="993"/>
      <c r="C1" s="993"/>
    </row>
    <row r="2" spans="1:12" ht="15.75" x14ac:dyDescent="0.25">
      <c r="A2" s="507" t="s">
        <v>511</v>
      </c>
      <c r="B2" s="591"/>
      <c r="C2" s="591"/>
    </row>
    <row r="4" spans="1:12" ht="18.75" x14ac:dyDescent="0.3">
      <c r="A4" s="583" t="s">
        <v>828</v>
      </c>
    </row>
    <row r="5" spans="1:12" x14ac:dyDescent="0.25">
      <c r="A5" t="s">
        <v>328</v>
      </c>
      <c r="B5" t="s">
        <v>825</v>
      </c>
    </row>
    <row r="6" spans="1:12" x14ac:dyDescent="0.25">
      <c r="A6" t="s">
        <v>329</v>
      </c>
      <c r="B6" s="395" t="s">
        <v>331</v>
      </c>
    </row>
    <row r="7" spans="1:12" x14ac:dyDescent="0.25">
      <c r="A7" t="s">
        <v>330</v>
      </c>
      <c r="B7" s="395" t="s">
        <v>332</v>
      </c>
    </row>
    <row r="8" spans="1:12" x14ac:dyDescent="0.25">
      <c r="B8" s="590"/>
    </row>
    <row r="9" spans="1:12" ht="18.75" x14ac:dyDescent="0.3">
      <c r="B9" s="583" t="s">
        <v>786</v>
      </c>
    </row>
    <row r="10" spans="1:12" ht="15.75" x14ac:dyDescent="0.25">
      <c r="B10" s="582"/>
      <c r="J10" s="305"/>
    </row>
    <row r="11" spans="1:12" x14ac:dyDescent="0.25">
      <c r="A11" s="997" t="s">
        <v>1</v>
      </c>
      <c r="B11" s="999" t="s">
        <v>787</v>
      </c>
      <c r="C11" s="1000"/>
      <c r="D11" s="1000"/>
      <c r="E11" s="1001"/>
      <c r="F11" s="999" t="s">
        <v>788</v>
      </c>
      <c r="G11" s="1000"/>
      <c r="H11" s="1001"/>
      <c r="J11" s="676"/>
      <c r="K11" s="676"/>
    </row>
    <row r="12" spans="1:12" ht="59.1" customHeight="1" x14ac:dyDescent="0.25">
      <c r="A12" s="998"/>
      <c r="B12" s="530" t="s">
        <v>789</v>
      </c>
      <c r="C12" s="527" t="s">
        <v>790</v>
      </c>
      <c r="D12" s="527" t="s">
        <v>791</v>
      </c>
      <c r="E12" s="527" t="s">
        <v>26</v>
      </c>
      <c r="F12" s="530" t="s">
        <v>792</v>
      </c>
      <c r="G12" s="527" t="s">
        <v>794</v>
      </c>
      <c r="H12" s="584" t="s">
        <v>795</v>
      </c>
      <c r="J12" s="585" t="s">
        <v>817</v>
      </c>
      <c r="K12" s="585" t="s">
        <v>818</v>
      </c>
      <c r="L12" s="468"/>
    </row>
    <row r="13" spans="1:12" x14ac:dyDescent="0.25">
      <c r="A13" s="677" t="s">
        <v>760</v>
      </c>
      <c r="B13" s="678">
        <f>GETPIVOTDATA("Value",CapabilitiesPivot!$C$4,"Fiscal_Yr","2019-20","Capability","ONE PUMP")</f>
        <v>238</v>
      </c>
      <c r="C13" s="678">
        <f>GETPIVOTDATA("Value",CapabilitiesPivot!$C$4,"Fiscal_Yr","2019-20","Capability","TWO PUMPS")</f>
        <v>101</v>
      </c>
      <c r="D13" s="678">
        <f>GETPIVOTDATA("Value",CapabilitiesPivot!$C$4,"Fiscal_Yr","2019-20","Capability","THREE PUMPS")</f>
        <v>6</v>
      </c>
      <c r="E13" s="678">
        <f>SUM(B13:D13)</f>
        <v>345</v>
      </c>
      <c r="F13" s="678">
        <f>GETPIVOTDATA("Value",CapabilitiesPivot!$C$4,"Fiscal_Yr","2019-20","Capability","RRU")</f>
        <v>35</v>
      </c>
      <c r="G13" s="678">
        <f>GETPIVOTDATA("Value",CapabilitiesPivot!$C$4,"Fiscal_Yr","2019-20","Capability","Water C")</f>
        <v>5</v>
      </c>
      <c r="H13" s="678">
        <f>GETPIVOTDATA("Value",CapabilitiesPivot!$C$4,"Fiscal_Yr","2019-20","Capability","Wildfire")</f>
        <v>19</v>
      </c>
      <c r="J13" s="678">
        <f>GETPIVOTDATA("Number of Stations with Capability",CapabilitiesPivot!$D$17,"Fiscal_Yr","2019-20","CapabilityType","Tactical")</f>
        <v>54</v>
      </c>
      <c r="K13" s="677">
        <f t="shared" ref="K13:K14" si="0">SUM(F13:H13)</f>
        <v>59</v>
      </c>
      <c r="L13" s="468"/>
    </row>
    <row r="14" spans="1:12" x14ac:dyDescent="0.25">
      <c r="A14" s="677" t="s">
        <v>917</v>
      </c>
      <c r="B14" s="678">
        <f>GETPIVOTDATA("Value",CapabilitiesPivot!$C$4,"Fiscal_Yr","2020-21","Capability","ONE PUMP")</f>
        <v>238</v>
      </c>
      <c r="C14" s="678">
        <f>GETPIVOTDATA("Value",CapabilitiesPivot!$C$4,"Fiscal_Yr","2020-21","Capability","TWO PUMPS")</f>
        <v>101</v>
      </c>
      <c r="D14" s="678">
        <f>GETPIVOTDATA("Value",CapabilitiesPivot!$C$4,"Fiscal_Yr","2020-21","Capability","THREE PUMPS")</f>
        <v>6</v>
      </c>
      <c r="E14" s="678">
        <f>SUM(B14:D14)</f>
        <v>345</v>
      </c>
      <c r="F14" s="678">
        <f>GETPIVOTDATA("Value",CapabilitiesPivot!$C$4,"Fiscal_Yr","2020-21","Capability","RRU")</f>
        <v>35</v>
      </c>
      <c r="G14" s="678">
        <f>GETPIVOTDATA("Value",CapabilitiesPivot!$C$4,"Fiscal_Yr","2020-21","Capability","Water C")</f>
        <v>5</v>
      </c>
      <c r="H14" s="678">
        <f>GETPIVOTDATA("Value",CapabilitiesPivot!$C$4,"Fiscal_Yr","2020-21","Capability","Wildfire")</f>
        <v>19</v>
      </c>
      <c r="J14" s="678">
        <f>GETPIVOTDATA("Number of Stations with Capability",CapabilitiesPivot!$D$17,"Fiscal_Yr","2020-21","CapabilityType","Tactical")</f>
        <v>54</v>
      </c>
      <c r="K14" s="677">
        <f t="shared" si="0"/>
        <v>59</v>
      </c>
    </row>
    <row r="15" spans="1:12" x14ac:dyDescent="0.25">
      <c r="A15" s="677" t="s">
        <v>1010</v>
      </c>
      <c r="B15" s="678">
        <f>GETPIVOTDATA("Value",CapabilitiesPivot!$C$4,"Fiscal_Yr","2021-22","Capability","ONE PUMP")</f>
        <v>237</v>
      </c>
      <c r="C15" s="678">
        <f>GETPIVOTDATA("Value",CapabilitiesPivot!$C$4,"Fiscal_Yr","2021-22","Capability","TWO PUMPS")</f>
        <v>102</v>
      </c>
      <c r="D15" s="678">
        <f>GETPIVOTDATA("Value",CapabilitiesPivot!$C$4,"Fiscal_Yr","2021-22","Capability","THREE PUMPS")</f>
        <v>6</v>
      </c>
      <c r="E15" s="678">
        <f>SUM(B15:D15)</f>
        <v>345</v>
      </c>
      <c r="F15" s="678">
        <f>GETPIVOTDATA("Value",CapabilitiesPivot!$C$4,"Fiscal_Yr","2021-22","Capability","RRU")</f>
        <v>34</v>
      </c>
      <c r="G15" s="678">
        <f>GETPIVOTDATA("Value",CapabilitiesPivot!$C$4,"Fiscal_Yr","2021-22","Capability","Water C")</f>
        <v>5</v>
      </c>
      <c r="H15" s="678">
        <f>GETPIVOTDATA("Value",CapabilitiesPivot!$C$4,"Fiscal_Yr","2021-22","Capability","Wildfire")</f>
        <v>18</v>
      </c>
      <c r="J15" s="678">
        <f>GETPIVOTDATA("Number of Stations with Capability",CapabilitiesPivot!$D$17,"Fiscal_Yr","2021-22","CapabilityType","Tactical")</f>
        <v>55</v>
      </c>
      <c r="K15" s="677">
        <f>SUM(F15:H15)</f>
        <v>57</v>
      </c>
    </row>
    <row r="16" spans="1:12" x14ac:dyDescent="0.25">
      <c r="A16" s="677" t="s">
        <v>1061</v>
      </c>
      <c r="B16" s="678">
        <f>GETPIVOTDATA("Value",CapabilitiesPivot!$C$4,"Fiscal_Yr","2022-23","Capability","ONE PUMP")</f>
        <v>238</v>
      </c>
      <c r="C16" s="678">
        <f>GETPIVOTDATA("Value",CapabilitiesPivot!$C$4,"Fiscal_Yr","2022-23","Capability","TWO PUMPS")</f>
        <v>101</v>
      </c>
      <c r="D16" s="678">
        <f>GETPIVOTDATA("Value",CapabilitiesPivot!$C$4,"Fiscal_Yr","2022-23","Capability","THREE PUMPS")</f>
        <v>6</v>
      </c>
      <c r="E16" s="678">
        <f>SUM(B16:D16)</f>
        <v>345</v>
      </c>
      <c r="F16" s="678">
        <f>GETPIVOTDATA("Value",CapabilitiesPivot!$C$4,"Fiscal_Yr","2022-23","Capability","RRU")</f>
        <v>33</v>
      </c>
      <c r="G16" s="678">
        <f>GETPIVOTDATA("Value",CapabilitiesPivot!$C$4,"Fiscal_Yr","2022-23","Capability","Water C")</f>
        <v>5</v>
      </c>
      <c r="H16" s="678">
        <f>GETPIVOTDATA("Value",CapabilitiesPivot!$C$4,"Fiscal_Yr","2022-23","Capability","Wildfire")</f>
        <v>18</v>
      </c>
      <c r="J16" s="678">
        <f>GETPIVOTDATA("Number of Stations with Capability",CapabilitiesPivot!$D$17,"Fiscal_Yr","2022-23","CapabilityType","Tactical")</f>
        <v>55</v>
      </c>
      <c r="K16" s="677">
        <f>SUM(F16:H16)</f>
        <v>56</v>
      </c>
    </row>
    <row r="17" spans="1:13" ht="15.75" thickBot="1" x14ac:dyDescent="0.3">
      <c r="A17" s="533" t="s">
        <v>1108</v>
      </c>
      <c r="B17" s="330">
        <f>GETPIVOTDATA("Value",CapabilitiesPivot!$C$4,"Fiscal_Yr",A17,"Capability","ONE PUMP")</f>
        <v>245</v>
      </c>
      <c r="C17" s="330">
        <f>GETPIVOTDATA("Value",CapabilitiesPivot!$C$4,"Fiscal_Yr","2023-24","CapabilityType","WaterPumping","Capability","TWO PUMPS")</f>
        <v>94</v>
      </c>
      <c r="D17" s="330">
        <f>GETPIVOTDATA("Value",CapabilitiesPivot!$C$4,"Fiscal_Yr",A17,"Capability","THREE PUMPS")</f>
        <v>6</v>
      </c>
      <c r="E17" s="330">
        <f>SUM(B17:D17)</f>
        <v>345</v>
      </c>
      <c r="F17" s="330">
        <f>GETPIVOTDATA("Value",CapabilitiesPivot!$C$4,"Fiscal_Yr",A17,"Capability","RRU")</f>
        <v>34</v>
      </c>
      <c r="G17" s="330">
        <f>GETPIVOTDATA("Value",CapabilitiesPivot!$C$4,"Fiscal_Yr",A17,"Capability","Water C")</f>
        <v>5</v>
      </c>
      <c r="H17" s="330">
        <f>GETPIVOTDATA("Value",CapabilitiesPivot!$C$4,"Fiscal_Yr",A17,"Capability","Wildfire")</f>
        <v>18</v>
      </c>
      <c r="I17" s="330"/>
      <c r="J17" s="330">
        <f>GETPIVOTDATA("Number of Stations with Capability",CapabilitiesPivot!$D$17,"Fiscal_Yr",A17,"CapabilityType","Tactical")</f>
        <v>56</v>
      </c>
      <c r="K17" s="533">
        <f t="shared" ref="K17" si="1">SUM(F17:H17)</f>
        <v>57</v>
      </c>
    </row>
    <row r="18" spans="1:13" x14ac:dyDescent="0.25">
      <c r="A18" s="317"/>
      <c r="K18" s="317"/>
    </row>
    <row r="19" spans="1:13" ht="18.75" x14ac:dyDescent="0.3">
      <c r="A19" s="317"/>
      <c r="B19" s="583" t="s">
        <v>1047</v>
      </c>
    </row>
    <row r="20" spans="1:13" x14ac:dyDescent="0.25">
      <c r="A20" s="317"/>
    </row>
    <row r="21" spans="1:13" ht="74.099999999999994" customHeight="1" x14ac:dyDescent="0.25">
      <c r="A21" s="600" t="s">
        <v>1</v>
      </c>
      <c r="B21" s="528" t="s">
        <v>797</v>
      </c>
      <c r="C21" s="529" t="s">
        <v>798</v>
      </c>
      <c r="D21" s="529" t="s">
        <v>805</v>
      </c>
      <c r="E21" s="529" t="s">
        <v>800</v>
      </c>
      <c r="F21" s="529" t="s">
        <v>1044</v>
      </c>
      <c r="G21" s="529" t="s">
        <v>806</v>
      </c>
      <c r="H21" s="529" t="s">
        <v>803</v>
      </c>
      <c r="I21" s="529" t="s">
        <v>1045</v>
      </c>
      <c r="J21" s="586" t="s">
        <v>793</v>
      </c>
      <c r="L21" s="585" t="s">
        <v>1046</v>
      </c>
      <c r="M21" s="585" t="s">
        <v>1048</v>
      </c>
    </row>
    <row r="22" spans="1:13" x14ac:dyDescent="0.25">
      <c r="A22" s="677" t="s">
        <v>760</v>
      </c>
      <c r="B22" s="678">
        <f>GETPIVOTDATA("Value",CapabilitiesPivot!$C$4,"Fiscal_Yr","2019-20","Capability","Flood")</f>
        <v>78</v>
      </c>
      <c r="C22" s="678">
        <f>GETPIVOTDATA("Value",CapabilitiesPivot!$C$4,"Fiscal_Yr","2019-20","Capability","SRT")</f>
        <v>20</v>
      </c>
      <c r="D22" s="678">
        <f>GETPIVOTDATA("Value",CapabilitiesPivot!$C$4,"Fiscal_Yr","2019-20","Capability","DIM")</f>
        <v>4</v>
      </c>
      <c r="E22" s="678">
        <f>GETPIVOTDATA("Value",CapabilitiesPivot!$C$4,"Fiscal_Yr","2019-20","Capability","HSU")</f>
        <v>1</v>
      </c>
      <c r="F22" s="678">
        <f>GETPIVOTDATA("Value",CapabilitiesPivot!$C$4,"Fiscal_Yr","2019-20","Capability","SOR")</f>
        <v>3</v>
      </c>
      <c r="G22" s="678">
        <f>GETPIVOTDATA("Value",CapabilitiesPivot!$C$4,"Fiscal_Yr","2019-20","Capability","MD")</f>
        <v>5</v>
      </c>
      <c r="H22" s="678">
        <f>GETPIVOTDATA("Value",CapabilitiesPivot!$C$4,"Fiscal_Yr","2019-20","Capability","USAR")</f>
        <v>10</v>
      </c>
      <c r="I22" s="678">
        <f>GETPIVOTDATA("Value",CapabilitiesPivot!$C$4,"Fiscal_Yr","2019-20","Capability","CSU")</f>
        <v>8</v>
      </c>
      <c r="J22" s="678">
        <f>GETPIVOTDATA("Value",CapabilitiesPivot!$C$4,"Fiscal_Yr","2019-20","Capability","HVP")</f>
        <v>4</v>
      </c>
      <c r="L22" s="305">
        <f>GETPIVOTDATA("Number of Stations with Capability",CapabilitiesPivot!$D$17,"Fiscal_Yr","2019-20","CapabilityType","National Fire Resilience")</f>
        <v>95</v>
      </c>
      <c r="M22" s="677">
        <f t="shared" ref="M22:M23" si="2">SUM(B22:J22)</f>
        <v>133</v>
      </c>
    </row>
    <row r="23" spans="1:13" x14ac:dyDescent="0.25">
      <c r="A23" s="677" t="s">
        <v>917</v>
      </c>
      <c r="B23" s="678">
        <f>GETPIVOTDATA("Value",CapabilitiesPivot!$C$4,"Fiscal_Yr","2020-21","Capability","Flood")</f>
        <v>78</v>
      </c>
      <c r="C23" s="678">
        <f>GETPIVOTDATA("Value",CapabilitiesPivot!$C$4,"Fiscal_Yr","2020-21","Capability","SRT")</f>
        <v>20</v>
      </c>
      <c r="D23" s="678">
        <f>GETPIVOTDATA("Value",CapabilitiesPivot!$C$4,"Fiscal_Yr","2020-21","Capability","DIM")</f>
        <v>4</v>
      </c>
      <c r="E23" s="678">
        <f>GETPIVOTDATA("Value",CapabilitiesPivot!$C$4,"Fiscal_Yr","2020-21","Capability","HSU")</f>
        <v>1</v>
      </c>
      <c r="F23" s="678">
        <f>GETPIVOTDATA("Value",CapabilitiesPivot!$C$4,"Fiscal_Yr","2020-21","Capability","SOR")</f>
        <v>3</v>
      </c>
      <c r="G23" s="678">
        <f>GETPIVOTDATA("Value",CapabilitiesPivot!$C$4,"Fiscal_Yr","2020-21","Capability","MD")</f>
        <v>5</v>
      </c>
      <c r="H23" s="678">
        <f>GETPIVOTDATA("Value",CapabilitiesPivot!$C$4,"Fiscal_Yr","2020-21","Capability","USAR")</f>
        <v>10</v>
      </c>
      <c r="I23" s="678">
        <f>GETPIVOTDATA("Value",CapabilitiesPivot!$C$4,"Fiscal_Yr","2020-21","Capability","CSU")</f>
        <v>8</v>
      </c>
      <c r="J23" s="678">
        <f>GETPIVOTDATA("Value",CapabilitiesPivot!$C$4,"Fiscal_Yr","2020-21","Capability","HVP")</f>
        <v>4</v>
      </c>
      <c r="L23" s="678">
        <f>GETPIVOTDATA("Number of Stations with Capability",CapabilitiesPivot!$D$17,"Fiscal_Yr","2020-21","CapabilityType","National Fire Resilience")</f>
        <v>95</v>
      </c>
      <c r="M23" s="677">
        <f t="shared" si="2"/>
        <v>133</v>
      </c>
    </row>
    <row r="24" spans="1:13" x14ac:dyDescent="0.25">
      <c r="A24" s="677" t="s">
        <v>1010</v>
      </c>
      <c r="B24" s="678">
        <f>GETPIVOTDATA("Value",CapabilitiesPivot!$C$4,"Fiscal_Yr","2021-22","Capability","Flood")</f>
        <v>83</v>
      </c>
      <c r="C24" s="678">
        <f>GETPIVOTDATA("Value",CapabilitiesPivot!$C$4,"Fiscal_Yr","2021-22","Capability","SRT")</f>
        <v>20</v>
      </c>
      <c r="D24" s="678">
        <f>GETPIVOTDATA("Value",CapabilitiesPivot!$C$4,"Fiscal_Yr","2021-22","Capability","DIM")</f>
        <v>4</v>
      </c>
      <c r="E24" s="678">
        <f>GETPIVOTDATA("Value",CapabilitiesPivot!$C$4,"Fiscal_Yr","2021-22","Capability","HSU")</f>
        <v>1</v>
      </c>
      <c r="F24" s="678">
        <f>GETPIVOTDATA("Value",CapabilitiesPivot!$C$4,"Fiscal_Yr","2021-22","Capability","SOR")</f>
        <v>4</v>
      </c>
      <c r="G24" s="678">
        <f>GETPIVOTDATA("Value",CapabilitiesPivot!$C$4,"Fiscal_Yr","2021-22","Capability","MD")</f>
        <v>8</v>
      </c>
      <c r="H24" s="678">
        <f>GETPIVOTDATA("Value",CapabilitiesPivot!$C$4,"Fiscal_Yr","2021-22","Capability","USAR")</f>
        <v>7</v>
      </c>
      <c r="I24" s="678">
        <f>GETPIVOTDATA("Value",CapabilitiesPivot!$C$4,"Fiscal_Yr","2021-22","Capability","CSU")</f>
        <v>8</v>
      </c>
      <c r="J24" s="678">
        <f>GETPIVOTDATA("Value",CapabilitiesPivot!$C$4,"Fiscal_Yr","2021-22","Capability","HVP")</f>
        <v>4</v>
      </c>
      <c r="L24" s="678">
        <f>GETPIVOTDATA("Number of Stations with Capability",CapabilitiesPivot!$D$17,"Fiscal_Yr","2021-22","CapabilityType","National Fire Resilience")</f>
        <v>101</v>
      </c>
      <c r="M24" s="677">
        <f>SUM(B24:J24)</f>
        <v>139</v>
      </c>
    </row>
    <row r="25" spans="1:13" x14ac:dyDescent="0.25">
      <c r="A25" s="534" t="s">
        <v>1061</v>
      </c>
      <c r="B25" s="305">
        <f>GETPIVOTDATA("Value",CapabilitiesPivot!$C$4,"Fiscal_Yr","2022-23","Capability","Flood")</f>
        <v>91</v>
      </c>
      <c r="C25" s="305">
        <f>GETPIVOTDATA("Value",CapabilitiesPivot!$C$4,"Fiscal_Yr","2022-23","Capability","SRT")</f>
        <v>20</v>
      </c>
      <c r="D25" s="305">
        <f>GETPIVOTDATA("Value",CapabilitiesPivot!$C$4,"Fiscal_Yr","2022-23","Capability","DIM")</f>
        <v>4</v>
      </c>
      <c r="E25" s="305">
        <f>GETPIVOTDATA("Value",CapabilitiesPivot!$C$4,"Fiscal_Yr","2022-23","Capability","HSU")</f>
        <v>1</v>
      </c>
      <c r="F25" s="305">
        <f>GETPIVOTDATA("Value",CapabilitiesPivot!$C$4,"Fiscal_Yr","2022-23","Capability","SOR")</f>
        <v>3</v>
      </c>
      <c r="G25" s="305">
        <f>GETPIVOTDATA("Value",CapabilitiesPivot!$C$4,"Fiscal_Yr","2022-23","Capability","MD")</f>
        <v>7</v>
      </c>
      <c r="H25" s="305">
        <f>GETPIVOTDATA("Value",CapabilitiesPivot!$C$4,"Fiscal_Yr","2022-23","Capability","USAR")</f>
        <v>6</v>
      </c>
      <c r="I25" s="305">
        <f>GETPIVOTDATA("Value",CapabilitiesPivot!$C$4,"Fiscal_Yr","2022-23","Capability","CSU")</f>
        <v>8</v>
      </c>
      <c r="J25" s="305">
        <f>GETPIVOTDATA("Value",CapabilitiesPivot!$C$4,"Fiscal_Yr","2022-23","Capability","HVP")</f>
        <v>4</v>
      </c>
      <c r="L25" s="305">
        <f>GETPIVOTDATA("Number of Stations with Capability",CapabilitiesPivot!$D$17,"Fiscal_Yr","2022-23","CapabilityType","National Fire Resilience")</f>
        <v>104</v>
      </c>
      <c r="M25" s="534">
        <f>SUM(B25:J25)</f>
        <v>144</v>
      </c>
    </row>
    <row r="26" spans="1:13" ht="15.75" thickBot="1" x14ac:dyDescent="0.3">
      <c r="A26" s="533" t="s">
        <v>1108</v>
      </c>
      <c r="B26" s="330">
        <f>GETPIVOTDATA("Value",CapabilitiesPivot!$C$4,"Fiscal_Yr",A26,"Capability","Flood")</f>
        <v>91</v>
      </c>
      <c r="C26" s="330">
        <f>GETPIVOTDATA("Value",CapabilitiesPivot!$C$4,"Fiscal_Yr",A26,"Capability","SRT")</f>
        <v>20</v>
      </c>
      <c r="D26" s="330">
        <f>GETPIVOTDATA("Value",CapabilitiesPivot!$C$4,"Fiscal_Yr",A26,"Capability","DIM")</f>
        <v>4</v>
      </c>
      <c r="E26" s="330">
        <f>GETPIVOTDATA("Value",CapabilitiesPivot!$C$4,"Fiscal_Yr",A26,"Capability","HSU")</f>
        <v>1</v>
      </c>
      <c r="F26" s="330">
        <f>GETPIVOTDATA("Value",CapabilitiesPivot!$C$4,"Fiscal_Yr",A26,"Capability","SOR")</f>
        <v>4</v>
      </c>
      <c r="G26" s="330">
        <f>GETPIVOTDATA("Value",CapabilitiesPivot!$C$4,"Fiscal_Yr",A26,"Capability","MD")</f>
        <v>7</v>
      </c>
      <c r="H26" s="330">
        <f>GETPIVOTDATA("Value",CapabilitiesPivot!$C$4,"Fiscal_Yr",A26,"Capability","USAR")</f>
        <v>7</v>
      </c>
      <c r="I26" s="330">
        <f>GETPIVOTDATA("Value",CapabilitiesPivot!$C$4,"Fiscal_Yr",A26,"Capability","CSU")</f>
        <v>8</v>
      </c>
      <c r="J26" s="330">
        <f>GETPIVOTDATA("Value",CapabilitiesPivot!$C$4,"Fiscal_Yr",A26,"Capability","HVP")</f>
        <v>4</v>
      </c>
      <c r="K26" s="330"/>
      <c r="L26" s="330">
        <f>GETPIVOTDATA("Number of Stations with Capability",CapabilitiesPivot!$D$17,"Fiscal_Yr",A26,"CapabilityType","National Fire Resilience")</f>
        <v>105</v>
      </c>
      <c r="M26" s="533">
        <f>SUM(B26:J26)</f>
        <v>146</v>
      </c>
    </row>
    <row r="27" spans="1:13" x14ac:dyDescent="0.25">
      <c r="A27" s="317"/>
    </row>
    <row r="28" spans="1:13" ht="18.75" x14ac:dyDescent="0.3">
      <c r="B28" s="583" t="s">
        <v>796</v>
      </c>
    </row>
    <row r="29" spans="1:13" ht="15.75" x14ac:dyDescent="0.25">
      <c r="B29" s="582"/>
    </row>
    <row r="30" spans="1:13" ht="60" x14ac:dyDescent="0.25">
      <c r="A30" s="600" t="s">
        <v>1</v>
      </c>
      <c r="B30" s="529" t="s">
        <v>799</v>
      </c>
      <c r="C30" s="529" t="s">
        <v>801</v>
      </c>
      <c r="D30" s="529" t="s">
        <v>802</v>
      </c>
      <c r="E30" s="529" t="s">
        <v>804</v>
      </c>
      <c r="F30" s="586" t="s">
        <v>807</v>
      </c>
      <c r="G30" s="587"/>
      <c r="H30" s="585" t="s">
        <v>819</v>
      </c>
      <c r="I30" s="585" t="s">
        <v>820</v>
      </c>
    </row>
    <row r="31" spans="1:13" x14ac:dyDescent="0.25">
      <c r="A31" s="677" t="s">
        <v>760</v>
      </c>
      <c r="B31" s="678">
        <f>GETPIVOTDATA("Value",CapabilitiesPivot!$C$4,"Fiscal_Yr","2019-20","Capability","EPU")</f>
        <v>5</v>
      </c>
      <c r="C31" s="678">
        <f>GETPIVOTDATA("Value",CapabilitiesPivot!$C$4,"Fiscal_Yr","2019-20","Capability","HighR")</f>
        <v>25</v>
      </c>
      <c r="D31" s="678">
        <f>GETPIVOTDATA("Value",CapabilitiesPivot!$C$4,"Fiscal_Yr","2019-20","Capability","Rope")</f>
        <v>3</v>
      </c>
      <c r="E31" s="678">
        <f>GETPIVOTDATA("Value",CapabilitiesPivot!$C$4,"Fiscal_Yr","2019-20","Capability","HvR")</f>
        <v>8</v>
      </c>
      <c r="F31" s="678">
        <f>GETPIVOTDATA("Value",CapabilitiesPivot!$C$4,"Fiscal_Yr","2019-20","Capability","Welfare")</f>
        <v>7</v>
      </c>
      <c r="H31" s="529">
        <f>GETPIVOTDATA("Number of Stations with Capability",CapabilitiesPivot!$D$17,"Fiscal_Yr","2019-20","CapabilityType","Specialist")</f>
        <v>37</v>
      </c>
      <c r="I31" s="679">
        <f>SUM(B31:F31)</f>
        <v>48</v>
      </c>
    </row>
    <row r="32" spans="1:13" x14ac:dyDescent="0.25">
      <c r="A32" s="677" t="s">
        <v>917</v>
      </c>
      <c r="B32" s="678">
        <f>GETPIVOTDATA("Value",CapabilitiesPivot!$C$4,"Fiscal_Yr","2020-21","Capability","EPU")</f>
        <v>5</v>
      </c>
      <c r="C32" s="678">
        <f>GETPIVOTDATA("Value",CapabilitiesPivot!$C$4,"Fiscal_Yr","2020-21","Capability","HighR")</f>
        <v>25</v>
      </c>
      <c r="D32" s="678">
        <f>GETPIVOTDATA("Value",CapabilitiesPivot!$C$4,"Fiscal_Yr","2020-21","Capability","Rope")</f>
        <v>3</v>
      </c>
      <c r="E32" s="678">
        <f>GETPIVOTDATA("Value",CapabilitiesPivot!$C$4,"Fiscal_Yr","2020-21","Capability","HvR")</f>
        <v>8</v>
      </c>
      <c r="F32" s="678">
        <f>GETPIVOTDATA("Value",CapabilitiesPivot!$C$4,"Fiscal_Yr","2020-21","Capability","Welfare")</f>
        <v>7</v>
      </c>
      <c r="H32" s="529">
        <f>GETPIVOTDATA("Number of Stations with Capability",CapabilitiesPivot!$D$17,"Fiscal_Yr","2020-21","CapabilityType","Specialist")</f>
        <v>37</v>
      </c>
      <c r="I32" s="679">
        <f>SUM(B32:F32)</f>
        <v>48</v>
      </c>
    </row>
    <row r="33" spans="1:13" x14ac:dyDescent="0.25">
      <c r="A33" s="677" t="s">
        <v>1010</v>
      </c>
      <c r="B33" s="678">
        <f>GETPIVOTDATA("Value",CapabilitiesPivot!$C$4,"Fiscal_Yr","2021-22","Capability","EPU")</f>
        <v>5</v>
      </c>
      <c r="C33" s="678">
        <f>GETPIVOTDATA("Value",CapabilitiesPivot!$C$4,"Fiscal_Yr","2021-22","Capability","HighR")</f>
        <v>25</v>
      </c>
      <c r="D33" s="678">
        <f>GETPIVOTDATA("Value",CapabilitiesPivot!$C$4,"Fiscal_Yr","2021-22","Capability","Rope")</f>
        <v>4</v>
      </c>
      <c r="E33" s="678">
        <f>GETPIVOTDATA("Value",CapabilitiesPivot!$C$4,"Fiscal_Yr","2021-22","Capability","HvR")</f>
        <v>7</v>
      </c>
      <c r="F33" s="678">
        <f>GETPIVOTDATA("Value",CapabilitiesPivot!$C$4,"Fiscal_Yr","2021-22","Capability","Welfare")</f>
        <v>7</v>
      </c>
      <c r="H33" s="678">
        <f>GETPIVOTDATA("Number of Stations with Capability",CapabilitiesPivot!$D$17,"Fiscal_Yr","2021-22","CapabilityType","Specialist")</f>
        <v>36</v>
      </c>
      <c r="I33" s="679">
        <f>SUM(B33:F33)</f>
        <v>48</v>
      </c>
    </row>
    <row r="34" spans="1:13" x14ac:dyDescent="0.25">
      <c r="A34" s="677" t="s">
        <v>1061</v>
      </c>
      <c r="B34" s="678">
        <f>GETPIVOTDATA("Value",CapabilitiesPivot!$C$4,"Fiscal_Yr","2022-23","Capability","EPU")</f>
        <v>5</v>
      </c>
      <c r="C34" s="678">
        <f>GETPIVOTDATA("Value",CapabilitiesPivot!$C$4,"Fiscal_Yr","2022-23","Capability","HighR")</f>
        <v>25</v>
      </c>
      <c r="D34" s="678">
        <f>GETPIVOTDATA("Value",CapabilitiesPivot!$C$4,"Fiscal_Yr","2022-23","Capability","Rope")</f>
        <v>4</v>
      </c>
      <c r="E34" s="678">
        <f>GETPIVOTDATA("Value",CapabilitiesPivot!$C$4,"Fiscal_Yr","2022-23","Capability","HvR")</f>
        <v>7</v>
      </c>
      <c r="F34" s="678">
        <f>GETPIVOTDATA("Value",CapabilitiesPivot!$C$4,"Fiscal_Yr","2022-23","Capability","Welfare")</f>
        <v>8</v>
      </c>
      <c r="H34" s="678">
        <f>GETPIVOTDATA("Number of Stations with Capability",CapabilitiesPivot!$D$17,"Fiscal_Yr","2022-23","CapabilityType","Specialist")</f>
        <v>35</v>
      </c>
      <c r="I34" s="679">
        <f>SUM(B34:F34)</f>
        <v>49</v>
      </c>
    </row>
    <row r="35" spans="1:13" ht="15.75" thickBot="1" x14ac:dyDescent="0.3">
      <c r="A35" s="533" t="s">
        <v>1108</v>
      </c>
      <c r="B35" s="330">
        <f>GETPIVOTDATA("Value",CapabilitiesPivot!$C$4,"Fiscal_Yr",A35,"Capability","EPU")</f>
        <v>5</v>
      </c>
      <c r="C35" s="330">
        <f>GETPIVOTDATA("Value",CapabilitiesPivot!$C$4,"Fiscal_Yr",A35,"Capability","HighR")</f>
        <v>16</v>
      </c>
      <c r="D35" s="330">
        <f>GETPIVOTDATA("Value",CapabilitiesPivot!$C$4,"Fiscal_Yr",A35,"Capability","Rope")</f>
        <v>4</v>
      </c>
      <c r="E35" s="330">
        <f>GETPIVOTDATA("Value",CapabilitiesPivot!$C$4,"Fiscal_Yr",A35,"Capability","HvR")</f>
        <v>5</v>
      </c>
      <c r="F35" s="330">
        <f>GETPIVOTDATA("Value",CapabilitiesPivot!$C$4,"Fiscal_Yr",A35,"Capability","Welfare")</f>
        <v>7</v>
      </c>
      <c r="G35" s="330"/>
      <c r="H35" s="330">
        <f>GETPIVOTDATA("Number of Stations with Capability",CapabilitiesPivot!$D$17,"Fiscal_Yr",A35,"CapabilityType","Specialist")</f>
        <v>26</v>
      </c>
      <c r="I35" s="814">
        <f>SUM(B35:F35)</f>
        <v>37</v>
      </c>
    </row>
    <row r="37" spans="1:13" x14ac:dyDescent="0.25">
      <c r="A37" s="339" t="s">
        <v>8</v>
      </c>
    </row>
    <row r="38" spans="1:13" x14ac:dyDescent="0.25">
      <c r="A38" t="s">
        <v>821</v>
      </c>
    </row>
    <row r="39" spans="1:13" x14ac:dyDescent="0.25">
      <c r="A39" t="s">
        <v>822</v>
      </c>
    </row>
    <row r="40" spans="1:13" x14ac:dyDescent="0.25">
      <c r="A40" t="s">
        <v>823</v>
      </c>
    </row>
    <row r="41" spans="1:13" ht="30.95" customHeight="1" x14ac:dyDescent="0.25">
      <c r="A41" s="992" t="s">
        <v>1262</v>
      </c>
      <c r="B41" s="992"/>
      <c r="C41" s="992"/>
      <c r="D41" s="992"/>
      <c r="E41" s="992"/>
      <c r="F41" s="992"/>
      <c r="G41" s="992"/>
      <c r="H41" s="992"/>
      <c r="I41" s="992"/>
      <c r="J41" s="992"/>
      <c r="K41" s="992"/>
      <c r="L41" s="992"/>
      <c r="M41" s="992"/>
    </row>
    <row r="42" spans="1:13" ht="45.95" customHeight="1" x14ac:dyDescent="0.25">
      <c r="A42" s="992" t="s">
        <v>1049</v>
      </c>
      <c r="B42" s="992"/>
      <c r="C42" s="992"/>
      <c r="D42" s="992"/>
      <c r="E42" s="992"/>
      <c r="F42" s="992"/>
      <c r="G42" s="992"/>
      <c r="H42" s="992"/>
      <c r="I42" s="992"/>
      <c r="J42" s="992"/>
      <c r="K42" s="992"/>
      <c r="L42" s="992"/>
      <c r="M42" s="992"/>
    </row>
  </sheetData>
  <sheetProtection algorithmName="SHA-512" hashValue="LNPG1vH2eJuRB78hxDAkdaO2hR4iR70UICSUjqPcR3VHUyPnOZUni81gsBwJxYmFxSdFpgWzjqcnEfj/IkLrZQ==" saltValue="4Z/FlwfigPLBOfGnQlk8KA==" spinCount="100000" sheet="1" scenarios="1" formatCells="0" sort="0" autoFilter="0" pivotTables="0"/>
  <mergeCells count="6">
    <mergeCell ref="A41:M41"/>
    <mergeCell ref="A42:M42"/>
    <mergeCell ref="A1:C1"/>
    <mergeCell ref="A11:A12"/>
    <mergeCell ref="B11:E11"/>
    <mergeCell ref="F11:H11"/>
  </mergeCells>
  <hyperlinks>
    <hyperlink ref="A2" location="'Table of Contents'!A1" display="Back to Table of Contents" xr:uid="{00000000-0004-0000-0E00-00000000000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theme="7" tint="-0.249977111117893"/>
  </sheetPr>
  <dimension ref="A1:O353"/>
  <sheetViews>
    <sheetView zoomScale="90" zoomScaleNormal="90" workbookViewId="0">
      <selection activeCell="D11" sqref="D11"/>
    </sheetView>
  </sheetViews>
  <sheetFormatPr defaultRowHeight="15" x14ac:dyDescent="0.25"/>
  <cols>
    <col min="1" max="1" width="7.5703125" bestFit="1" customWidth="1"/>
    <col min="2" max="2" width="20.7109375" bestFit="1" customWidth="1"/>
    <col min="3" max="3" width="10.85546875" bestFit="1" customWidth="1"/>
    <col min="4" max="4" width="23" bestFit="1" customWidth="1"/>
    <col min="5" max="5" width="19" bestFit="1" customWidth="1"/>
    <col min="6" max="6" width="12.5703125" bestFit="1" customWidth="1"/>
    <col min="7" max="7" width="17.5703125" bestFit="1" customWidth="1"/>
    <col min="8" max="8" width="21.5703125" bestFit="1" customWidth="1"/>
    <col min="9" max="9" width="13.5703125" bestFit="1" customWidth="1"/>
    <col min="10" max="10" width="11.5703125" bestFit="1" customWidth="1"/>
    <col min="11" max="11" width="21.42578125" bestFit="1" customWidth="1"/>
    <col min="12" max="12" width="22.7109375" bestFit="1" customWidth="1"/>
    <col min="13" max="13" width="13.42578125" bestFit="1" customWidth="1"/>
    <col min="14" max="14" width="23.140625" bestFit="1" customWidth="1"/>
    <col min="15" max="15" width="24.5703125" bestFit="1" customWidth="1"/>
    <col min="16" max="16" width="7.42578125" bestFit="1" customWidth="1"/>
    <col min="17" max="17" width="24" bestFit="1" customWidth="1"/>
  </cols>
  <sheetData>
    <row r="1" spans="1:15" x14ac:dyDescent="0.25">
      <c r="A1" t="s">
        <v>313</v>
      </c>
      <c r="B1" t="s">
        <v>814</v>
      </c>
      <c r="C1" t="s">
        <v>927</v>
      </c>
      <c r="D1" t="s">
        <v>439</v>
      </c>
      <c r="E1" t="s">
        <v>127</v>
      </c>
      <c r="F1" t="s">
        <v>123</v>
      </c>
      <c r="G1" t="s">
        <v>928</v>
      </c>
      <c r="H1" t="s">
        <v>929</v>
      </c>
      <c r="I1" t="s">
        <v>930</v>
      </c>
      <c r="J1" t="s">
        <v>931</v>
      </c>
      <c r="K1" t="s">
        <v>932</v>
      </c>
      <c r="L1" t="s">
        <v>933</v>
      </c>
      <c r="M1" t="s">
        <v>434</v>
      </c>
      <c r="N1" t="s">
        <v>934</v>
      </c>
      <c r="O1" t="s">
        <v>935</v>
      </c>
    </row>
    <row r="2" spans="1:15" x14ac:dyDescent="0.25">
      <c r="A2" t="s">
        <v>192</v>
      </c>
      <c r="B2" t="s">
        <v>31</v>
      </c>
      <c r="C2" t="s">
        <v>285</v>
      </c>
      <c r="D2">
        <v>492</v>
      </c>
      <c r="E2">
        <v>1898</v>
      </c>
      <c r="F2">
        <v>2390</v>
      </c>
      <c r="G2">
        <v>419</v>
      </c>
      <c r="H2">
        <v>245</v>
      </c>
      <c r="I2">
        <v>664</v>
      </c>
      <c r="J2">
        <v>112713</v>
      </c>
      <c r="K2">
        <v>2.12</v>
      </c>
      <c r="L2">
        <v>0.58899999999999997</v>
      </c>
      <c r="M2">
        <v>105047</v>
      </c>
      <c r="N2">
        <v>2.2749999999999999</v>
      </c>
      <c r="O2">
        <v>0.63200000000000001</v>
      </c>
    </row>
    <row r="3" spans="1:15" x14ac:dyDescent="0.25">
      <c r="A3" t="s">
        <v>192</v>
      </c>
      <c r="B3" t="s">
        <v>32</v>
      </c>
      <c r="C3" t="s">
        <v>286</v>
      </c>
      <c r="D3">
        <v>567</v>
      </c>
      <c r="E3">
        <v>789</v>
      </c>
      <c r="F3">
        <v>1356</v>
      </c>
      <c r="G3">
        <v>497</v>
      </c>
      <c r="H3">
        <v>391</v>
      </c>
      <c r="I3">
        <v>888</v>
      </c>
      <c r="J3">
        <v>112867</v>
      </c>
      <c r="K3">
        <v>1.2010000000000001</v>
      </c>
      <c r="L3">
        <v>0.78700000000000003</v>
      </c>
      <c r="M3">
        <v>107128</v>
      </c>
      <c r="N3">
        <v>1.266</v>
      </c>
      <c r="O3">
        <v>0.82899999999999996</v>
      </c>
    </row>
    <row r="4" spans="1:15" x14ac:dyDescent="0.25">
      <c r="A4" t="s">
        <v>192</v>
      </c>
      <c r="B4" t="s">
        <v>33</v>
      </c>
      <c r="C4" t="s">
        <v>292</v>
      </c>
      <c r="D4">
        <v>829</v>
      </c>
      <c r="E4">
        <v>2850</v>
      </c>
      <c r="F4">
        <v>3679</v>
      </c>
      <c r="G4">
        <v>723</v>
      </c>
      <c r="H4">
        <v>504</v>
      </c>
      <c r="I4">
        <v>1227</v>
      </c>
      <c r="J4">
        <v>54872</v>
      </c>
      <c r="K4">
        <v>6.7050000000000001</v>
      </c>
      <c r="L4">
        <v>2.2359999999999998</v>
      </c>
      <c r="M4">
        <v>52413</v>
      </c>
      <c r="N4">
        <v>7.0190000000000001</v>
      </c>
      <c r="O4">
        <v>2.3410000000000002</v>
      </c>
    </row>
    <row r="5" spans="1:15" x14ac:dyDescent="0.25">
      <c r="A5" t="s">
        <v>192</v>
      </c>
      <c r="B5" t="s">
        <v>34</v>
      </c>
      <c r="C5" t="s">
        <v>287</v>
      </c>
      <c r="D5">
        <v>529</v>
      </c>
      <c r="E5">
        <v>457</v>
      </c>
      <c r="F5">
        <v>986</v>
      </c>
      <c r="G5">
        <v>539</v>
      </c>
      <c r="H5">
        <v>425</v>
      </c>
      <c r="I5">
        <v>964</v>
      </c>
      <c r="J5">
        <v>47336</v>
      </c>
      <c r="K5">
        <v>2.0830000000000002</v>
      </c>
      <c r="L5">
        <v>2.0369999999999999</v>
      </c>
      <c r="M5">
        <v>40934</v>
      </c>
      <c r="N5">
        <v>2.4089999999999998</v>
      </c>
      <c r="O5">
        <v>2.355</v>
      </c>
    </row>
    <row r="6" spans="1:15" x14ac:dyDescent="0.25">
      <c r="A6" t="s">
        <v>192</v>
      </c>
      <c r="B6" t="s">
        <v>243</v>
      </c>
      <c r="C6" t="s">
        <v>288</v>
      </c>
      <c r="D6">
        <v>2962</v>
      </c>
      <c r="E6">
        <v>2362</v>
      </c>
      <c r="F6">
        <v>5324</v>
      </c>
      <c r="G6">
        <v>2668</v>
      </c>
      <c r="H6">
        <v>1393</v>
      </c>
      <c r="I6">
        <v>4061</v>
      </c>
      <c r="J6">
        <v>237524</v>
      </c>
      <c r="K6">
        <v>2.2410000000000001</v>
      </c>
      <c r="L6">
        <v>1.71</v>
      </c>
      <c r="M6">
        <v>227222</v>
      </c>
      <c r="N6">
        <v>2.343</v>
      </c>
      <c r="O6">
        <v>1.7869999999999999</v>
      </c>
    </row>
    <row r="7" spans="1:15" x14ac:dyDescent="0.25">
      <c r="A7" t="s">
        <v>192</v>
      </c>
      <c r="B7" t="s">
        <v>35</v>
      </c>
      <c r="C7" t="s">
        <v>266</v>
      </c>
      <c r="D7">
        <v>354</v>
      </c>
      <c r="E7">
        <v>518</v>
      </c>
      <c r="F7">
        <v>872</v>
      </c>
      <c r="G7">
        <v>391</v>
      </c>
      <c r="H7">
        <v>151</v>
      </c>
      <c r="I7">
        <v>542</v>
      </c>
      <c r="J7">
        <v>23894</v>
      </c>
      <c r="K7">
        <v>3.649</v>
      </c>
      <c r="L7">
        <v>2.2679999999999998</v>
      </c>
      <c r="M7">
        <v>22978</v>
      </c>
      <c r="N7">
        <v>3.7949999999999999</v>
      </c>
      <c r="O7">
        <v>2.359</v>
      </c>
    </row>
    <row r="8" spans="1:15" x14ac:dyDescent="0.25">
      <c r="A8" t="s">
        <v>192</v>
      </c>
      <c r="B8" t="s">
        <v>36</v>
      </c>
      <c r="C8" t="s">
        <v>267</v>
      </c>
      <c r="D8">
        <v>1064</v>
      </c>
      <c r="E8">
        <v>392</v>
      </c>
      <c r="F8">
        <v>1456</v>
      </c>
      <c r="G8">
        <v>882</v>
      </c>
      <c r="H8">
        <v>540</v>
      </c>
      <c r="I8">
        <v>1422</v>
      </c>
      <c r="J8">
        <v>73555</v>
      </c>
      <c r="K8">
        <v>1.9790000000000001</v>
      </c>
      <c r="L8">
        <v>1.9330000000000001</v>
      </c>
      <c r="M8">
        <v>68682</v>
      </c>
      <c r="N8">
        <v>2.12</v>
      </c>
      <c r="O8">
        <v>2.0699999999999998</v>
      </c>
    </row>
    <row r="9" spans="1:15" x14ac:dyDescent="0.25">
      <c r="A9" t="s">
        <v>192</v>
      </c>
      <c r="B9" t="s">
        <v>37</v>
      </c>
      <c r="C9" t="s">
        <v>293</v>
      </c>
      <c r="D9">
        <v>1038</v>
      </c>
      <c r="E9">
        <v>6335</v>
      </c>
      <c r="F9">
        <v>7373</v>
      </c>
      <c r="G9">
        <v>936</v>
      </c>
      <c r="H9">
        <v>496</v>
      </c>
      <c r="I9">
        <v>1432</v>
      </c>
      <c r="J9">
        <v>73560</v>
      </c>
      <c r="K9">
        <v>10.023</v>
      </c>
      <c r="L9">
        <v>1.9470000000000001</v>
      </c>
      <c r="M9">
        <v>69500</v>
      </c>
      <c r="N9">
        <v>10.609</v>
      </c>
      <c r="O9">
        <v>2.06</v>
      </c>
    </row>
    <row r="10" spans="1:15" x14ac:dyDescent="0.25">
      <c r="A10" t="s">
        <v>192</v>
      </c>
      <c r="B10" t="s">
        <v>38</v>
      </c>
      <c r="C10" t="s">
        <v>268</v>
      </c>
      <c r="D10">
        <v>582</v>
      </c>
      <c r="E10">
        <v>1242</v>
      </c>
      <c r="F10">
        <v>1824</v>
      </c>
      <c r="G10">
        <v>662</v>
      </c>
      <c r="H10">
        <v>298</v>
      </c>
      <c r="I10">
        <v>960</v>
      </c>
      <c r="J10">
        <v>57172</v>
      </c>
      <c r="K10">
        <v>3.19</v>
      </c>
      <c r="L10">
        <v>1.679</v>
      </c>
      <c r="M10">
        <v>54453</v>
      </c>
      <c r="N10">
        <v>3.35</v>
      </c>
      <c r="O10">
        <v>1.7629999999999999</v>
      </c>
    </row>
    <row r="11" spans="1:15" x14ac:dyDescent="0.25">
      <c r="A11" t="s">
        <v>192</v>
      </c>
      <c r="B11" t="s">
        <v>39</v>
      </c>
      <c r="C11" t="s">
        <v>295</v>
      </c>
      <c r="D11">
        <v>554</v>
      </c>
      <c r="E11">
        <v>307</v>
      </c>
      <c r="F11">
        <v>861</v>
      </c>
      <c r="G11">
        <v>757</v>
      </c>
      <c r="H11">
        <v>209</v>
      </c>
      <c r="I11">
        <v>966</v>
      </c>
      <c r="J11">
        <v>44864</v>
      </c>
      <c r="K11">
        <v>1.919</v>
      </c>
      <c r="L11">
        <v>2.153</v>
      </c>
      <c r="M11">
        <v>44102</v>
      </c>
      <c r="N11">
        <v>1.952</v>
      </c>
      <c r="O11">
        <v>2.19</v>
      </c>
    </row>
    <row r="12" spans="1:15" x14ac:dyDescent="0.25">
      <c r="A12" t="s">
        <v>192</v>
      </c>
      <c r="B12" t="s">
        <v>40</v>
      </c>
      <c r="C12" t="s">
        <v>269</v>
      </c>
      <c r="D12">
        <v>649</v>
      </c>
      <c r="E12">
        <v>366</v>
      </c>
      <c r="F12">
        <v>1015</v>
      </c>
      <c r="G12">
        <v>611</v>
      </c>
      <c r="H12">
        <v>496</v>
      </c>
      <c r="I12">
        <v>1107</v>
      </c>
      <c r="J12">
        <v>45613</v>
      </c>
      <c r="K12">
        <v>2.2250000000000001</v>
      </c>
      <c r="L12">
        <v>2.427</v>
      </c>
      <c r="M12">
        <v>43682</v>
      </c>
      <c r="N12">
        <v>2.3239999999999998</v>
      </c>
      <c r="O12">
        <v>2.5339999999999998</v>
      </c>
    </row>
    <row r="13" spans="1:15" x14ac:dyDescent="0.25">
      <c r="A13" t="s">
        <v>192</v>
      </c>
      <c r="B13" t="s">
        <v>41</v>
      </c>
      <c r="C13" t="s">
        <v>270</v>
      </c>
      <c r="D13">
        <v>492</v>
      </c>
      <c r="E13">
        <v>448</v>
      </c>
      <c r="F13">
        <v>940</v>
      </c>
      <c r="G13">
        <v>603</v>
      </c>
      <c r="H13">
        <v>198</v>
      </c>
      <c r="I13">
        <v>801</v>
      </c>
      <c r="J13">
        <v>37639</v>
      </c>
      <c r="K13">
        <v>2.4969999999999999</v>
      </c>
      <c r="L13">
        <v>2.1280000000000001</v>
      </c>
      <c r="M13">
        <v>37804</v>
      </c>
      <c r="N13">
        <v>2.4870000000000001</v>
      </c>
      <c r="O13">
        <v>2.1189999999999998</v>
      </c>
    </row>
    <row r="14" spans="1:15" x14ac:dyDescent="0.25">
      <c r="A14" t="s">
        <v>192</v>
      </c>
      <c r="B14" t="s">
        <v>42</v>
      </c>
      <c r="C14" t="s">
        <v>272</v>
      </c>
      <c r="D14">
        <v>552</v>
      </c>
      <c r="E14">
        <v>1169</v>
      </c>
      <c r="F14">
        <v>1721</v>
      </c>
      <c r="G14">
        <v>614</v>
      </c>
      <c r="H14">
        <v>186</v>
      </c>
      <c r="I14">
        <v>800</v>
      </c>
      <c r="J14">
        <v>72128</v>
      </c>
      <c r="K14">
        <v>2.3860000000000001</v>
      </c>
      <c r="L14">
        <v>1.109</v>
      </c>
      <c r="M14">
        <v>69443</v>
      </c>
      <c r="N14">
        <v>2.4779999999999998</v>
      </c>
      <c r="O14">
        <v>1.1519999999999999</v>
      </c>
    </row>
    <row r="15" spans="1:15" x14ac:dyDescent="0.25">
      <c r="A15" t="s">
        <v>192</v>
      </c>
      <c r="B15" t="s">
        <v>43</v>
      </c>
      <c r="C15" t="s">
        <v>388</v>
      </c>
      <c r="D15">
        <v>3531</v>
      </c>
      <c r="E15">
        <v>3068</v>
      </c>
      <c r="F15">
        <v>6599</v>
      </c>
      <c r="G15">
        <v>3943</v>
      </c>
      <c r="H15">
        <v>1691</v>
      </c>
      <c r="I15">
        <v>5634</v>
      </c>
      <c r="J15">
        <v>171560</v>
      </c>
      <c r="K15">
        <v>3.8460000000000001</v>
      </c>
      <c r="L15">
        <v>3.2839999999999998</v>
      </c>
      <c r="M15">
        <v>162200</v>
      </c>
      <c r="N15">
        <v>4.0679999999999996</v>
      </c>
      <c r="O15">
        <v>3.4729999999999999</v>
      </c>
    </row>
    <row r="16" spans="1:15" x14ac:dyDescent="0.25">
      <c r="A16" t="s">
        <v>192</v>
      </c>
      <c r="B16" t="s">
        <v>117</v>
      </c>
      <c r="C16" t="s">
        <v>296</v>
      </c>
      <c r="D16">
        <v>2763</v>
      </c>
      <c r="E16">
        <v>3336</v>
      </c>
      <c r="F16">
        <v>6099</v>
      </c>
      <c r="G16">
        <v>3186</v>
      </c>
      <c r="H16">
        <v>954</v>
      </c>
      <c r="I16">
        <v>4140</v>
      </c>
      <c r="J16">
        <v>301633</v>
      </c>
      <c r="K16">
        <v>2.0219999999999998</v>
      </c>
      <c r="L16">
        <v>1.373</v>
      </c>
      <c r="M16">
        <v>285346</v>
      </c>
      <c r="N16">
        <v>2.137</v>
      </c>
      <c r="O16">
        <v>1.4510000000000001</v>
      </c>
    </row>
    <row r="17" spans="1:15" x14ac:dyDescent="0.25">
      <c r="A17" t="s">
        <v>192</v>
      </c>
      <c r="B17" t="s">
        <v>44</v>
      </c>
      <c r="C17" t="s">
        <v>273</v>
      </c>
      <c r="D17">
        <v>1287</v>
      </c>
      <c r="E17">
        <v>2547</v>
      </c>
      <c r="F17">
        <v>3834</v>
      </c>
      <c r="G17">
        <v>1317</v>
      </c>
      <c r="H17">
        <v>724</v>
      </c>
      <c r="I17">
        <v>2041</v>
      </c>
      <c r="J17">
        <v>113703</v>
      </c>
      <c r="K17">
        <v>3.3719999999999999</v>
      </c>
      <c r="L17">
        <v>1.7949999999999999</v>
      </c>
      <c r="M17">
        <v>104445</v>
      </c>
      <c r="N17">
        <v>3.6710000000000003</v>
      </c>
      <c r="O17">
        <v>1.954</v>
      </c>
    </row>
    <row r="18" spans="1:15" x14ac:dyDescent="0.25">
      <c r="A18" t="s">
        <v>192</v>
      </c>
      <c r="B18" t="s">
        <v>45</v>
      </c>
      <c r="C18" t="s">
        <v>274</v>
      </c>
      <c r="D18">
        <v>649</v>
      </c>
      <c r="E18">
        <v>595</v>
      </c>
      <c r="F18">
        <v>1244</v>
      </c>
      <c r="G18">
        <v>626</v>
      </c>
      <c r="H18">
        <v>354</v>
      </c>
      <c r="I18">
        <v>980</v>
      </c>
      <c r="J18">
        <v>38791</v>
      </c>
      <c r="K18">
        <v>3.2069999999999999</v>
      </c>
      <c r="L18">
        <v>2.5259999999999998</v>
      </c>
      <c r="M18">
        <v>37337</v>
      </c>
      <c r="N18">
        <v>3.3319999999999999</v>
      </c>
      <c r="O18">
        <v>2.625</v>
      </c>
    </row>
    <row r="19" spans="1:15" x14ac:dyDescent="0.25">
      <c r="A19" t="s">
        <v>192</v>
      </c>
      <c r="B19" t="s">
        <v>46</v>
      </c>
      <c r="C19" t="s">
        <v>275</v>
      </c>
      <c r="D19">
        <v>569</v>
      </c>
      <c r="E19">
        <v>411</v>
      </c>
      <c r="F19">
        <v>980</v>
      </c>
      <c r="G19">
        <v>405</v>
      </c>
      <c r="H19">
        <v>452</v>
      </c>
      <c r="I19">
        <v>857</v>
      </c>
      <c r="J19">
        <v>37503</v>
      </c>
      <c r="K19">
        <v>2.613</v>
      </c>
      <c r="L19">
        <v>2.2850000000000001</v>
      </c>
      <c r="M19">
        <v>36009</v>
      </c>
      <c r="N19">
        <v>2.722</v>
      </c>
      <c r="O19">
        <v>2.38</v>
      </c>
    </row>
    <row r="20" spans="1:15" x14ac:dyDescent="0.25">
      <c r="A20" t="s">
        <v>192</v>
      </c>
      <c r="B20" t="s">
        <v>47</v>
      </c>
      <c r="C20" t="s">
        <v>276</v>
      </c>
      <c r="D20">
        <v>332</v>
      </c>
      <c r="E20">
        <v>299</v>
      </c>
      <c r="F20">
        <v>631</v>
      </c>
      <c r="G20">
        <v>317</v>
      </c>
      <c r="H20">
        <v>264</v>
      </c>
      <c r="I20">
        <v>581</v>
      </c>
      <c r="J20">
        <v>43495</v>
      </c>
      <c r="K20">
        <v>1.4510000000000001</v>
      </c>
      <c r="L20">
        <v>1.3360000000000001</v>
      </c>
      <c r="M20">
        <v>40839</v>
      </c>
      <c r="N20">
        <v>1.5449999999999999</v>
      </c>
      <c r="O20">
        <v>1.423</v>
      </c>
    </row>
    <row r="21" spans="1:15" x14ac:dyDescent="0.25">
      <c r="A21" t="s">
        <v>192</v>
      </c>
      <c r="B21" t="s">
        <v>48</v>
      </c>
      <c r="C21" t="s">
        <v>271</v>
      </c>
      <c r="D21">
        <v>123</v>
      </c>
      <c r="E21">
        <v>226</v>
      </c>
      <c r="F21">
        <v>349</v>
      </c>
      <c r="G21">
        <v>181</v>
      </c>
      <c r="H21">
        <v>15</v>
      </c>
      <c r="I21">
        <v>196</v>
      </c>
      <c r="J21">
        <v>14490</v>
      </c>
      <c r="K21">
        <v>2.4089999999999998</v>
      </c>
      <c r="L21">
        <v>1.353</v>
      </c>
      <c r="M21">
        <v>12924</v>
      </c>
      <c r="N21">
        <v>2.7</v>
      </c>
      <c r="O21">
        <v>1.5169999999999999</v>
      </c>
    </row>
    <row r="22" spans="1:15" x14ac:dyDescent="0.25">
      <c r="A22" t="s">
        <v>192</v>
      </c>
      <c r="B22" t="s">
        <v>49</v>
      </c>
      <c r="C22" t="s">
        <v>277</v>
      </c>
      <c r="D22">
        <v>958</v>
      </c>
      <c r="E22">
        <v>660</v>
      </c>
      <c r="F22">
        <v>1618</v>
      </c>
      <c r="G22">
        <v>972</v>
      </c>
      <c r="H22">
        <v>661</v>
      </c>
      <c r="I22">
        <v>1633</v>
      </c>
      <c r="J22">
        <v>67082</v>
      </c>
      <c r="K22">
        <v>2.4119999999999999</v>
      </c>
      <c r="L22">
        <v>2.4340000000000002</v>
      </c>
      <c r="M22">
        <v>62613</v>
      </c>
      <c r="N22">
        <v>2.5840000000000001</v>
      </c>
      <c r="O22">
        <v>2.6080000000000001</v>
      </c>
    </row>
    <row r="23" spans="1:15" x14ac:dyDescent="0.25">
      <c r="A23" t="s">
        <v>192</v>
      </c>
      <c r="B23" t="s">
        <v>50</v>
      </c>
      <c r="C23" t="s">
        <v>294</v>
      </c>
      <c r="D23">
        <v>1381</v>
      </c>
      <c r="E23">
        <v>1452</v>
      </c>
      <c r="F23">
        <v>2833</v>
      </c>
      <c r="G23">
        <v>1819</v>
      </c>
      <c r="H23">
        <v>538</v>
      </c>
      <c r="I23">
        <v>2357</v>
      </c>
      <c r="J23">
        <v>150541</v>
      </c>
      <c r="K23">
        <v>1.8820000000000001</v>
      </c>
      <c r="L23">
        <v>1.5659999999999998</v>
      </c>
      <c r="M23">
        <v>147554</v>
      </c>
      <c r="N23">
        <v>1.92</v>
      </c>
      <c r="O23">
        <v>1.597</v>
      </c>
    </row>
    <row r="24" spans="1:15" x14ac:dyDescent="0.25">
      <c r="A24" t="s">
        <v>192</v>
      </c>
      <c r="B24" t="s">
        <v>51</v>
      </c>
      <c r="C24" t="s">
        <v>278</v>
      </c>
      <c r="D24">
        <v>115</v>
      </c>
      <c r="E24">
        <v>150</v>
      </c>
      <c r="F24">
        <v>265</v>
      </c>
      <c r="G24">
        <v>183</v>
      </c>
      <c r="H24">
        <v>64</v>
      </c>
      <c r="I24">
        <v>247</v>
      </c>
      <c r="J24">
        <v>10717</v>
      </c>
      <c r="K24">
        <v>2.4729999999999999</v>
      </c>
      <c r="L24">
        <v>2.3050000000000002</v>
      </c>
      <c r="M24">
        <v>9945</v>
      </c>
      <c r="N24">
        <v>2.665</v>
      </c>
      <c r="O24">
        <v>2.484</v>
      </c>
    </row>
    <row r="25" spans="1:15" x14ac:dyDescent="0.25">
      <c r="A25" t="s">
        <v>192</v>
      </c>
      <c r="B25" t="s">
        <v>52</v>
      </c>
      <c r="C25" t="s">
        <v>279</v>
      </c>
      <c r="D25">
        <v>922</v>
      </c>
      <c r="E25">
        <v>3441</v>
      </c>
      <c r="F25">
        <v>4363</v>
      </c>
      <c r="G25">
        <v>890</v>
      </c>
      <c r="H25">
        <v>524</v>
      </c>
      <c r="I25">
        <v>1414</v>
      </c>
      <c r="J25">
        <v>69923</v>
      </c>
      <c r="K25">
        <v>6.24</v>
      </c>
      <c r="L25">
        <v>2.0219999999999998</v>
      </c>
      <c r="M25">
        <v>65616</v>
      </c>
      <c r="N25">
        <v>6.649</v>
      </c>
      <c r="O25">
        <v>2.1549999999999998</v>
      </c>
    </row>
    <row r="26" spans="1:15" x14ac:dyDescent="0.25">
      <c r="A26" t="s">
        <v>192</v>
      </c>
      <c r="B26" t="s">
        <v>53</v>
      </c>
      <c r="C26" t="s">
        <v>289</v>
      </c>
      <c r="D26">
        <v>1045</v>
      </c>
      <c r="E26">
        <v>832</v>
      </c>
      <c r="F26">
        <v>1877</v>
      </c>
      <c r="G26">
        <v>1240</v>
      </c>
      <c r="H26">
        <v>486</v>
      </c>
      <c r="I26">
        <v>1726</v>
      </c>
      <c r="J26">
        <v>83933</v>
      </c>
      <c r="K26">
        <v>2.2359999999999998</v>
      </c>
      <c r="L26">
        <v>2.056</v>
      </c>
      <c r="M26">
        <v>81787</v>
      </c>
      <c r="N26">
        <v>2.2949999999999999</v>
      </c>
      <c r="O26">
        <v>2.11</v>
      </c>
    </row>
    <row r="27" spans="1:15" x14ac:dyDescent="0.25">
      <c r="A27" t="s">
        <v>192</v>
      </c>
      <c r="B27" t="s">
        <v>54</v>
      </c>
      <c r="C27" t="s">
        <v>280</v>
      </c>
      <c r="D27">
        <v>1252</v>
      </c>
      <c r="E27">
        <v>1347</v>
      </c>
      <c r="F27">
        <v>2599</v>
      </c>
      <c r="G27">
        <v>948</v>
      </c>
      <c r="H27">
        <v>1046</v>
      </c>
      <c r="I27">
        <v>1994</v>
      </c>
      <c r="J27">
        <v>57097</v>
      </c>
      <c r="K27">
        <v>4.5519999999999996</v>
      </c>
      <c r="L27">
        <v>3.492</v>
      </c>
      <c r="M27">
        <v>52934</v>
      </c>
      <c r="N27">
        <v>4.91</v>
      </c>
      <c r="O27">
        <v>3.7669999999999999</v>
      </c>
    </row>
    <row r="28" spans="1:15" x14ac:dyDescent="0.25">
      <c r="A28" t="s">
        <v>192</v>
      </c>
      <c r="B28" t="s">
        <v>55</v>
      </c>
      <c r="C28" t="s">
        <v>281</v>
      </c>
      <c r="D28">
        <v>73</v>
      </c>
      <c r="E28">
        <v>218</v>
      </c>
      <c r="F28">
        <v>291</v>
      </c>
      <c r="G28">
        <v>69</v>
      </c>
      <c r="H28">
        <v>56</v>
      </c>
      <c r="I28">
        <v>125</v>
      </c>
      <c r="J28">
        <v>10852</v>
      </c>
      <c r="K28">
        <v>2.6819999999999999</v>
      </c>
      <c r="L28">
        <v>1.1519999999999999</v>
      </c>
      <c r="M28">
        <v>10135</v>
      </c>
      <c r="N28">
        <v>2.871</v>
      </c>
      <c r="O28">
        <v>1.2330000000000001</v>
      </c>
    </row>
    <row r="29" spans="1:15" x14ac:dyDescent="0.25">
      <c r="A29" t="s">
        <v>192</v>
      </c>
      <c r="B29" t="s">
        <v>56</v>
      </c>
      <c r="C29" t="s">
        <v>282</v>
      </c>
      <c r="D29">
        <v>601</v>
      </c>
      <c r="E29">
        <v>462</v>
      </c>
      <c r="F29">
        <v>1063</v>
      </c>
      <c r="G29">
        <v>577</v>
      </c>
      <c r="H29">
        <v>430</v>
      </c>
      <c r="I29">
        <v>1007</v>
      </c>
      <c r="J29">
        <v>54385</v>
      </c>
      <c r="K29">
        <v>1.9550000000000001</v>
      </c>
      <c r="L29">
        <v>1.8519999999999999</v>
      </c>
      <c r="M29">
        <v>51654</v>
      </c>
      <c r="N29">
        <v>2.0579999999999998</v>
      </c>
      <c r="O29">
        <v>1.95</v>
      </c>
    </row>
    <row r="30" spans="1:15" x14ac:dyDescent="0.25">
      <c r="A30" t="s">
        <v>192</v>
      </c>
      <c r="B30" t="s">
        <v>57</v>
      </c>
      <c r="C30" t="s">
        <v>283</v>
      </c>
      <c r="D30">
        <v>1230</v>
      </c>
      <c r="E30">
        <v>1647</v>
      </c>
      <c r="F30">
        <v>2877</v>
      </c>
      <c r="G30">
        <v>1474</v>
      </c>
      <c r="H30">
        <v>585</v>
      </c>
      <c r="I30">
        <v>2059</v>
      </c>
      <c r="J30">
        <v>146110</v>
      </c>
      <c r="K30">
        <v>1.9689999999999999</v>
      </c>
      <c r="L30">
        <v>1.409</v>
      </c>
      <c r="M30">
        <v>141129</v>
      </c>
      <c r="N30">
        <v>2.0390000000000001</v>
      </c>
      <c r="O30">
        <v>1.4590000000000001</v>
      </c>
    </row>
    <row r="31" spans="1:15" x14ac:dyDescent="0.25">
      <c r="A31" t="s">
        <v>192</v>
      </c>
      <c r="B31" t="s">
        <v>58</v>
      </c>
      <c r="C31" t="s">
        <v>284</v>
      </c>
      <c r="D31">
        <v>265</v>
      </c>
      <c r="E31">
        <v>607</v>
      </c>
      <c r="F31">
        <v>872</v>
      </c>
      <c r="G31">
        <v>297</v>
      </c>
      <c r="H31">
        <v>113</v>
      </c>
      <c r="I31">
        <v>410</v>
      </c>
      <c r="J31">
        <v>39965</v>
      </c>
      <c r="K31">
        <v>2.1819999999999999</v>
      </c>
      <c r="L31">
        <v>1.026</v>
      </c>
      <c r="M31">
        <v>38056</v>
      </c>
      <c r="N31">
        <v>2.2909999999999999</v>
      </c>
      <c r="O31">
        <v>1.077</v>
      </c>
    </row>
    <row r="32" spans="1:15" x14ac:dyDescent="0.25">
      <c r="A32" t="s">
        <v>192</v>
      </c>
      <c r="B32" t="s">
        <v>59</v>
      </c>
      <c r="C32" t="s">
        <v>290</v>
      </c>
      <c r="D32">
        <v>436</v>
      </c>
      <c r="E32">
        <v>496</v>
      </c>
      <c r="F32">
        <v>932</v>
      </c>
      <c r="G32">
        <v>473</v>
      </c>
      <c r="H32">
        <v>195</v>
      </c>
      <c r="I32">
        <v>668</v>
      </c>
      <c r="J32">
        <v>44880</v>
      </c>
      <c r="K32">
        <v>2.077</v>
      </c>
      <c r="L32">
        <v>1.488</v>
      </c>
      <c r="M32">
        <v>42097</v>
      </c>
      <c r="N32">
        <v>2.214</v>
      </c>
      <c r="O32">
        <v>1.587</v>
      </c>
    </row>
    <row r="33" spans="1:15" x14ac:dyDescent="0.25">
      <c r="A33" t="s">
        <v>192</v>
      </c>
      <c r="B33" t="s">
        <v>60</v>
      </c>
      <c r="C33" t="s">
        <v>291</v>
      </c>
      <c r="D33">
        <v>1381</v>
      </c>
      <c r="E33">
        <v>546</v>
      </c>
      <c r="F33">
        <v>1927</v>
      </c>
      <c r="G33">
        <v>1141</v>
      </c>
      <c r="H33">
        <v>1121</v>
      </c>
      <c r="I33">
        <v>2262</v>
      </c>
      <c r="J33">
        <v>76473</v>
      </c>
      <c r="K33">
        <v>2.52</v>
      </c>
      <c r="L33">
        <v>2.9580000000000002</v>
      </c>
      <c r="M33">
        <v>74335</v>
      </c>
      <c r="N33">
        <v>2.5920000000000001</v>
      </c>
      <c r="O33">
        <v>3.0430000000000001</v>
      </c>
    </row>
    <row r="34" spans="1:15" x14ac:dyDescent="0.25">
      <c r="A34" t="s">
        <v>191</v>
      </c>
      <c r="B34" t="s">
        <v>31</v>
      </c>
      <c r="C34" t="s">
        <v>285</v>
      </c>
      <c r="D34">
        <v>524</v>
      </c>
      <c r="E34">
        <v>1951</v>
      </c>
      <c r="F34">
        <v>2475</v>
      </c>
      <c r="G34">
        <v>469</v>
      </c>
      <c r="H34">
        <v>283</v>
      </c>
      <c r="I34">
        <v>752</v>
      </c>
      <c r="J34">
        <v>113508</v>
      </c>
      <c r="K34">
        <v>2.1800000000000002</v>
      </c>
      <c r="L34">
        <v>0.66300000000000003</v>
      </c>
      <c r="M34">
        <v>105287</v>
      </c>
      <c r="N34">
        <v>2.351</v>
      </c>
      <c r="O34">
        <v>0.71399999999999997</v>
      </c>
    </row>
    <row r="35" spans="1:15" x14ac:dyDescent="0.25">
      <c r="A35" t="s">
        <v>191</v>
      </c>
      <c r="B35" t="s">
        <v>32</v>
      </c>
      <c r="C35" t="s">
        <v>286</v>
      </c>
      <c r="D35">
        <v>617</v>
      </c>
      <c r="E35">
        <v>831</v>
      </c>
      <c r="F35">
        <v>1448</v>
      </c>
      <c r="G35">
        <v>609</v>
      </c>
      <c r="H35">
        <v>394</v>
      </c>
      <c r="I35">
        <v>1003</v>
      </c>
      <c r="J35">
        <v>114086</v>
      </c>
      <c r="K35">
        <v>1.2690000000000001</v>
      </c>
      <c r="L35">
        <v>0.879</v>
      </c>
      <c r="M35">
        <v>108381</v>
      </c>
      <c r="N35">
        <v>1.3360000000000001</v>
      </c>
      <c r="O35">
        <v>0.92500000000000004</v>
      </c>
    </row>
    <row r="36" spans="1:15" x14ac:dyDescent="0.25">
      <c r="A36" t="s">
        <v>191</v>
      </c>
      <c r="B36" t="s">
        <v>33</v>
      </c>
      <c r="C36" t="s">
        <v>292</v>
      </c>
      <c r="D36">
        <v>486</v>
      </c>
      <c r="E36">
        <v>1357</v>
      </c>
      <c r="F36">
        <v>1843</v>
      </c>
      <c r="G36">
        <v>498</v>
      </c>
      <c r="H36">
        <v>226</v>
      </c>
      <c r="I36">
        <v>724</v>
      </c>
      <c r="J36">
        <v>55267</v>
      </c>
      <c r="K36">
        <v>3.335</v>
      </c>
      <c r="L36">
        <v>1.31</v>
      </c>
      <c r="M36">
        <v>52692</v>
      </c>
      <c r="N36">
        <v>3.4980000000000002</v>
      </c>
      <c r="O36">
        <v>1.3740000000000001</v>
      </c>
    </row>
    <row r="37" spans="1:15" x14ac:dyDescent="0.25">
      <c r="A37" t="s">
        <v>191</v>
      </c>
      <c r="B37" t="s">
        <v>34</v>
      </c>
      <c r="C37" t="s">
        <v>287</v>
      </c>
      <c r="D37">
        <v>498</v>
      </c>
      <c r="E37">
        <v>680</v>
      </c>
      <c r="F37">
        <v>1178</v>
      </c>
      <c r="G37">
        <v>412</v>
      </c>
      <c r="H37">
        <v>414</v>
      </c>
      <c r="I37">
        <v>826</v>
      </c>
      <c r="J37">
        <v>47500</v>
      </c>
      <c r="K37">
        <v>2.48</v>
      </c>
      <c r="L37">
        <v>1.7389999999999999</v>
      </c>
      <c r="M37">
        <v>40857</v>
      </c>
      <c r="N37">
        <v>2.883</v>
      </c>
      <c r="O37">
        <v>2.0219999999999998</v>
      </c>
    </row>
    <row r="38" spans="1:15" x14ac:dyDescent="0.25">
      <c r="A38" t="s">
        <v>191</v>
      </c>
      <c r="B38" t="s">
        <v>243</v>
      </c>
      <c r="C38" t="s">
        <v>288</v>
      </c>
      <c r="D38">
        <v>2833</v>
      </c>
      <c r="E38">
        <v>2754</v>
      </c>
      <c r="F38">
        <v>5587</v>
      </c>
      <c r="G38">
        <v>2716</v>
      </c>
      <c r="H38">
        <v>1169</v>
      </c>
      <c r="I38">
        <v>3885</v>
      </c>
      <c r="J38">
        <v>239525</v>
      </c>
      <c r="K38">
        <v>2.3330000000000002</v>
      </c>
      <c r="L38">
        <v>1.6219999999999999</v>
      </c>
      <c r="M38">
        <v>229231</v>
      </c>
      <c r="N38">
        <v>2.4369999999999998</v>
      </c>
      <c r="O38">
        <v>1.6949999999999998</v>
      </c>
    </row>
    <row r="39" spans="1:15" x14ac:dyDescent="0.25">
      <c r="A39" t="s">
        <v>191</v>
      </c>
      <c r="B39" t="s">
        <v>35</v>
      </c>
      <c r="C39" t="s">
        <v>266</v>
      </c>
      <c r="D39">
        <v>273</v>
      </c>
      <c r="E39">
        <v>511</v>
      </c>
      <c r="F39">
        <v>784</v>
      </c>
      <c r="G39">
        <v>314</v>
      </c>
      <c r="H39">
        <v>87</v>
      </c>
      <c r="I39">
        <v>401</v>
      </c>
      <c r="J39">
        <v>23995</v>
      </c>
      <c r="K39">
        <v>3.2669999999999999</v>
      </c>
      <c r="L39">
        <v>1.671</v>
      </c>
      <c r="M39">
        <v>23217</v>
      </c>
      <c r="N39">
        <v>3.3769999999999998</v>
      </c>
      <c r="O39">
        <v>1.7269999999999999</v>
      </c>
    </row>
    <row r="40" spans="1:15" x14ac:dyDescent="0.25">
      <c r="A40" t="s">
        <v>191</v>
      </c>
      <c r="B40" t="s">
        <v>36</v>
      </c>
      <c r="C40" t="s">
        <v>267</v>
      </c>
      <c r="D40">
        <v>897</v>
      </c>
      <c r="E40">
        <v>629</v>
      </c>
      <c r="F40">
        <v>1526</v>
      </c>
      <c r="G40">
        <v>765</v>
      </c>
      <c r="H40">
        <v>450</v>
      </c>
      <c r="I40">
        <v>1215</v>
      </c>
      <c r="J40">
        <v>73895</v>
      </c>
      <c r="K40">
        <v>2.0649999999999999</v>
      </c>
      <c r="L40">
        <v>1.6440000000000001</v>
      </c>
      <c r="M40">
        <v>68818</v>
      </c>
      <c r="N40">
        <v>2.2170000000000001</v>
      </c>
      <c r="O40">
        <v>1.766</v>
      </c>
    </row>
    <row r="41" spans="1:15" x14ac:dyDescent="0.25">
      <c r="A41" t="s">
        <v>191</v>
      </c>
      <c r="B41" t="s">
        <v>37</v>
      </c>
      <c r="C41" t="s">
        <v>293</v>
      </c>
      <c r="D41">
        <v>698</v>
      </c>
      <c r="E41">
        <v>3024</v>
      </c>
      <c r="F41">
        <v>3722</v>
      </c>
      <c r="G41">
        <v>677</v>
      </c>
      <c r="H41">
        <v>308</v>
      </c>
      <c r="I41">
        <v>985</v>
      </c>
      <c r="J41">
        <v>73575</v>
      </c>
      <c r="K41">
        <v>5.0590000000000002</v>
      </c>
      <c r="L41">
        <v>1.339</v>
      </c>
      <c r="M41">
        <v>69610</v>
      </c>
      <c r="N41">
        <v>5.3469999999999995</v>
      </c>
      <c r="O41">
        <v>1.415</v>
      </c>
    </row>
    <row r="42" spans="1:15" x14ac:dyDescent="0.25">
      <c r="A42" t="s">
        <v>191</v>
      </c>
      <c r="B42" t="s">
        <v>38</v>
      </c>
      <c r="C42" t="s">
        <v>268</v>
      </c>
      <c r="D42">
        <v>467</v>
      </c>
      <c r="E42">
        <v>836</v>
      </c>
      <c r="F42">
        <v>1303</v>
      </c>
      <c r="G42">
        <v>506</v>
      </c>
      <c r="H42">
        <v>256</v>
      </c>
      <c r="I42">
        <v>762</v>
      </c>
      <c r="J42">
        <v>57324</v>
      </c>
      <c r="K42">
        <v>2.2730000000000001</v>
      </c>
      <c r="L42">
        <v>1.329</v>
      </c>
      <c r="M42">
        <v>54401</v>
      </c>
      <c r="N42">
        <v>2.395</v>
      </c>
      <c r="O42">
        <v>1.401</v>
      </c>
    </row>
    <row r="43" spans="1:15" x14ac:dyDescent="0.25">
      <c r="A43" t="s">
        <v>191</v>
      </c>
      <c r="B43" t="s">
        <v>39</v>
      </c>
      <c r="C43" t="s">
        <v>295</v>
      </c>
      <c r="D43">
        <v>562</v>
      </c>
      <c r="E43">
        <v>539</v>
      </c>
      <c r="F43">
        <v>1101</v>
      </c>
      <c r="G43">
        <v>734</v>
      </c>
      <c r="H43">
        <v>214</v>
      </c>
      <c r="I43">
        <v>948</v>
      </c>
      <c r="J43">
        <v>45281</v>
      </c>
      <c r="K43">
        <v>2.431</v>
      </c>
      <c r="L43">
        <v>2.0939999999999999</v>
      </c>
      <c r="M43">
        <v>44504</v>
      </c>
      <c r="N43">
        <v>2.4740000000000002</v>
      </c>
      <c r="O43">
        <v>2.13</v>
      </c>
    </row>
    <row r="44" spans="1:15" x14ac:dyDescent="0.25">
      <c r="A44" t="s">
        <v>191</v>
      </c>
      <c r="B44" t="s">
        <v>40</v>
      </c>
      <c r="C44" t="s">
        <v>269</v>
      </c>
      <c r="D44">
        <v>737</v>
      </c>
      <c r="E44">
        <v>511</v>
      </c>
      <c r="F44">
        <v>1248</v>
      </c>
      <c r="G44">
        <v>708</v>
      </c>
      <c r="H44">
        <v>526</v>
      </c>
      <c r="I44">
        <v>1234</v>
      </c>
      <c r="J44">
        <v>45968</v>
      </c>
      <c r="K44">
        <v>2.7149999999999999</v>
      </c>
      <c r="L44">
        <v>2.6840000000000002</v>
      </c>
      <c r="M44">
        <v>43981</v>
      </c>
      <c r="N44">
        <v>2.8380000000000001</v>
      </c>
      <c r="O44">
        <v>2.806</v>
      </c>
    </row>
    <row r="45" spans="1:15" x14ac:dyDescent="0.25">
      <c r="A45" t="s">
        <v>191</v>
      </c>
      <c r="B45" t="s">
        <v>41</v>
      </c>
      <c r="C45" t="s">
        <v>270</v>
      </c>
      <c r="D45">
        <v>546</v>
      </c>
      <c r="E45">
        <v>689</v>
      </c>
      <c r="F45">
        <v>1235</v>
      </c>
      <c r="G45">
        <v>549</v>
      </c>
      <c r="H45">
        <v>267</v>
      </c>
      <c r="I45">
        <v>816</v>
      </c>
      <c r="J45">
        <v>37852</v>
      </c>
      <c r="K45">
        <v>3.2629999999999999</v>
      </c>
      <c r="L45">
        <v>2.1560000000000001</v>
      </c>
      <c r="M45">
        <v>38048</v>
      </c>
      <c r="N45">
        <v>3.246</v>
      </c>
      <c r="O45">
        <v>2.145</v>
      </c>
    </row>
    <row r="46" spans="1:15" x14ac:dyDescent="0.25">
      <c r="A46" t="s">
        <v>191</v>
      </c>
      <c r="B46" t="s">
        <v>42</v>
      </c>
      <c r="C46" t="s">
        <v>272</v>
      </c>
      <c r="D46">
        <v>533</v>
      </c>
      <c r="E46">
        <v>1084</v>
      </c>
      <c r="F46">
        <v>1617</v>
      </c>
      <c r="G46">
        <v>573</v>
      </c>
      <c r="H46">
        <v>201</v>
      </c>
      <c r="I46">
        <v>774</v>
      </c>
      <c r="J46">
        <v>72624</v>
      </c>
      <c r="K46">
        <v>2.2269999999999999</v>
      </c>
      <c r="L46">
        <v>1.0660000000000001</v>
      </c>
      <c r="M46">
        <v>69693</v>
      </c>
      <c r="N46">
        <v>2.3199999999999998</v>
      </c>
      <c r="O46">
        <v>1.111</v>
      </c>
    </row>
    <row r="47" spans="1:15" x14ac:dyDescent="0.25">
      <c r="A47" t="s">
        <v>191</v>
      </c>
      <c r="B47" t="s">
        <v>43</v>
      </c>
      <c r="C47" t="s">
        <v>388</v>
      </c>
      <c r="D47">
        <v>3404</v>
      </c>
      <c r="E47">
        <v>3462</v>
      </c>
      <c r="F47">
        <v>6866</v>
      </c>
      <c r="G47">
        <v>3640</v>
      </c>
      <c r="H47">
        <v>1737</v>
      </c>
      <c r="I47">
        <v>5377</v>
      </c>
      <c r="J47">
        <v>172425</v>
      </c>
      <c r="K47">
        <v>3.9820000000000002</v>
      </c>
      <c r="L47">
        <v>3.1179999999999999</v>
      </c>
      <c r="M47">
        <v>163958</v>
      </c>
      <c r="N47">
        <v>4.1879999999999997</v>
      </c>
      <c r="O47">
        <v>3.2789999999999999</v>
      </c>
    </row>
    <row r="48" spans="1:15" x14ac:dyDescent="0.25">
      <c r="A48" t="s">
        <v>191</v>
      </c>
      <c r="B48" t="s">
        <v>117</v>
      </c>
      <c r="C48" t="s">
        <v>296</v>
      </c>
      <c r="D48">
        <v>2493</v>
      </c>
      <c r="E48">
        <v>3638</v>
      </c>
      <c r="F48">
        <v>6131</v>
      </c>
      <c r="G48">
        <v>2836</v>
      </c>
      <c r="H48">
        <v>867</v>
      </c>
      <c r="I48">
        <v>3703</v>
      </c>
      <c r="J48">
        <v>301891</v>
      </c>
      <c r="K48">
        <v>2.0310000000000001</v>
      </c>
      <c r="L48">
        <v>1.2270000000000001</v>
      </c>
      <c r="M48">
        <v>286377</v>
      </c>
      <c r="N48">
        <v>2.141</v>
      </c>
      <c r="O48">
        <v>1.2929999999999999</v>
      </c>
    </row>
    <row r="49" spans="1:15" x14ac:dyDescent="0.25">
      <c r="A49" t="s">
        <v>191</v>
      </c>
      <c r="B49" t="s">
        <v>44</v>
      </c>
      <c r="C49" t="s">
        <v>273</v>
      </c>
      <c r="D49">
        <v>962</v>
      </c>
      <c r="E49">
        <v>2623</v>
      </c>
      <c r="F49">
        <v>3585</v>
      </c>
      <c r="G49">
        <v>1042</v>
      </c>
      <c r="H49">
        <v>500</v>
      </c>
      <c r="I49">
        <v>1542</v>
      </c>
      <c r="J49">
        <v>114603</v>
      </c>
      <c r="K49">
        <v>3.1280000000000001</v>
      </c>
      <c r="L49">
        <v>1.3460000000000001</v>
      </c>
      <c r="M49">
        <v>105711</v>
      </c>
      <c r="N49">
        <v>3.391</v>
      </c>
      <c r="O49">
        <v>1.4590000000000001</v>
      </c>
    </row>
    <row r="50" spans="1:15" x14ac:dyDescent="0.25">
      <c r="A50" t="s">
        <v>191</v>
      </c>
      <c r="B50" t="s">
        <v>45</v>
      </c>
      <c r="C50" t="s">
        <v>274</v>
      </c>
      <c r="D50">
        <v>673</v>
      </c>
      <c r="E50">
        <v>631</v>
      </c>
      <c r="F50">
        <v>1304</v>
      </c>
      <c r="G50">
        <v>636</v>
      </c>
      <c r="H50">
        <v>386</v>
      </c>
      <c r="I50">
        <v>1022</v>
      </c>
      <c r="J50">
        <v>38699</v>
      </c>
      <c r="K50">
        <v>3.37</v>
      </c>
      <c r="L50">
        <v>2.641</v>
      </c>
      <c r="M50">
        <v>37384</v>
      </c>
      <c r="N50">
        <v>3.488</v>
      </c>
      <c r="O50">
        <v>2.734</v>
      </c>
    </row>
    <row r="51" spans="1:15" x14ac:dyDescent="0.25">
      <c r="A51" t="s">
        <v>191</v>
      </c>
      <c r="B51" t="s">
        <v>46</v>
      </c>
      <c r="C51" t="s">
        <v>275</v>
      </c>
      <c r="D51">
        <v>479</v>
      </c>
      <c r="E51">
        <v>491</v>
      </c>
      <c r="F51">
        <v>970</v>
      </c>
      <c r="G51">
        <v>465</v>
      </c>
      <c r="H51">
        <v>272</v>
      </c>
      <c r="I51">
        <v>737</v>
      </c>
      <c r="J51">
        <v>38159</v>
      </c>
      <c r="K51">
        <v>2.5419999999999998</v>
      </c>
      <c r="L51">
        <v>1.931</v>
      </c>
      <c r="M51">
        <v>36602</v>
      </c>
      <c r="N51">
        <v>2.65</v>
      </c>
      <c r="O51">
        <v>2.0139999999999998</v>
      </c>
    </row>
    <row r="52" spans="1:15" x14ac:dyDescent="0.25">
      <c r="A52" t="s">
        <v>191</v>
      </c>
      <c r="B52" t="s">
        <v>47</v>
      </c>
      <c r="C52" t="s">
        <v>276</v>
      </c>
      <c r="D52">
        <v>372</v>
      </c>
      <c r="E52">
        <v>356</v>
      </c>
      <c r="F52">
        <v>728</v>
      </c>
      <c r="G52">
        <v>336</v>
      </c>
      <c r="H52">
        <v>293</v>
      </c>
      <c r="I52">
        <v>629</v>
      </c>
      <c r="J52">
        <v>43788</v>
      </c>
      <c r="K52">
        <v>1.663</v>
      </c>
      <c r="L52">
        <v>1.4359999999999999</v>
      </c>
      <c r="M52">
        <v>41288</v>
      </c>
      <c r="N52">
        <v>1.7629999999999999</v>
      </c>
      <c r="O52">
        <v>1.5230000000000001</v>
      </c>
    </row>
    <row r="53" spans="1:15" x14ac:dyDescent="0.25">
      <c r="A53" t="s">
        <v>191</v>
      </c>
      <c r="B53" t="s">
        <v>48</v>
      </c>
      <c r="C53" t="s">
        <v>271</v>
      </c>
      <c r="D53">
        <v>93</v>
      </c>
      <c r="E53">
        <v>199</v>
      </c>
      <c r="F53">
        <v>292</v>
      </c>
      <c r="G53">
        <v>116</v>
      </c>
      <c r="H53">
        <v>30</v>
      </c>
      <c r="I53">
        <v>146</v>
      </c>
      <c r="J53">
        <v>14520</v>
      </c>
      <c r="K53">
        <v>2.0110000000000001</v>
      </c>
      <c r="L53">
        <v>1.006</v>
      </c>
      <c r="M53">
        <v>12920</v>
      </c>
      <c r="N53">
        <v>2.2599999999999998</v>
      </c>
      <c r="O53">
        <v>1.1299999999999999</v>
      </c>
    </row>
    <row r="54" spans="1:15" x14ac:dyDescent="0.25">
      <c r="A54" t="s">
        <v>191</v>
      </c>
      <c r="B54" t="s">
        <v>49</v>
      </c>
      <c r="C54" t="s">
        <v>277</v>
      </c>
      <c r="D54">
        <v>901</v>
      </c>
      <c r="E54">
        <v>964</v>
      </c>
      <c r="F54">
        <v>1865</v>
      </c>
      <c r="G54">
        <v>932</v>
      </c>
      <c r="H54">
        <v>551</v>
      </c>
      <c r="I54">
        <v>1483</v>
      </c>
      <c r="J54">
        <v>67204</v>
      </c>
      <c r="K54">
        <v>2.7749999999999999</v>
      </c>
      <c r="L54">
        <v>2.2069999999999999</v>
      </c>
      <c r="M54">
        <v>62802</v>
      </c>
      <c r="N54">
        <v>2.9699999999999998</v>
      </c>
      <c r="O54">
        <v>2.3609999999999998</v>
      </c>
    </row>
    <row r="55" spans="1:15" x14ac:dyDescent="0.25">
      <c r="A55" t="s">
        <v>191</v>
      </c>
      <c r="B55" t="s">
        <v>50</v>
      </c>
      <c r="C55" t="s">
        <v>294</v>
      </c>
      <c r="D55">
        <v>1427</v>
      </c>
      <c r="E55">
        <v>2067</v>
      </c>
      <c r="F55">
        <v>3494</v>
      </c>
      <c r="G55">
        <v>1929</v>
      </c>
      <c r="H55">
        <v>499</v>
      </c>
      <c r="I55">
        <v>2428</v>
      </c>
      <c r="J55">
        <v>151424</v>
      </c>
      <c r="K55">
        <v>2.3069999999999999</v>
      </c>
      <c r="L55">
        <v>1.603</v>
      </c>
      <c r="M55">
        <v>148610</v>
      </c>
      <c r="N55">
        <v>2.351</v>
      </c>
      <c r="O55">
        <v>1.6339999999999999</v>
      </c>
    </row>
    <row r="56" spans="1:15" x14ac:dyDescent="0.25">
      <c r="A56" t="s">
        <v>191</v>
      </c>
      <c r="B56" t="s">
        <v>51</v>
      </c>
      <c r="C56" t="s">
        <v>278</v>
      </c>
      <c r="D56">
        <v>87</v>
      </c>
      <c r="E56">
        <v>161</v>
      </c>
      <c r="F56">
        <v>248</v>
      </c>
      <c r="G56">
        <v>64</v>
      </c>
      <c r="H56">
        <v>81</v>
      </c>
      <c r="I56">
        <v>145</v>
      </c>
      <c r="J56">
        <v>10816</v>
      </c>
      <c r="K56">
        <v>2.2930000000000001</v>
      </c>
      <c r="L56">
        <v>1.341</v>
      </c>
      <c r="M56">
        <v>10042</v>
      </c>
      <c r="N56">
        <v>2.4699999999999998</v>
      </c>
      <c r="O56">
        <v>1.444</v>
      </c>
    </row>
    <row r="57" spans="1:15" x14ac:dyDescent="0.25">
      <c r="A57" t="s">
        <v>191</v>
      </c>
      <c r="B57" t="s">
        <v>52</v>
      </c>
      <c r="C57" t="s">
        <v>279</v>
      </c>
      <c r="D57">
        <v>635</v>
      </c>
      <c r="E57">
        <v>1787</v>
      </c>
      <c r="F57">
        <v>2422</v>
      </c>
      <c r="G57">
        <v>628</v>
      </c>
      <c r="H57">
        <v>319</v>
      </c>
      <c r="I57">
        <v>947</v>
      </c>
      <c r="J57">
        <v>70312</v>
      </c>
      <c r="K57">
        <v>3.4449999999999998</v>
      </c>
      <c r="L57">
        <v>1.347</v>
      </c>
      <c r="M57">
        <v>66035</v>
      </c>
      <c r="N57">
        <v>3.6680000000000001</v>
      </c>
      <c r="O57">
        <v>1.4339999999999999</v>
      </c>
    </row>
    <row r="58" spans="1:15" x14ac:dyDescent="0.25">
      <c r="A58" t="s">
        <v>191</v>
      </c>
      <c r="B58" t="s">
        <v>53</v>
      </c>
      <c r="C58" t="s">
        <v>289</v>
      </c>
      <c r="D58">
        <v>884</v>
      </c>
      <c r="E58">
        <v>1268</v>
      </c>
      <c r="F58">
        <v>2152</v>
      </c>
      <c r="G58">
        <v>1019</v>
      </c>
      <c r="H58">
        <v>425</v>
      </c>
      <c r="I58">
        <v>1444</v>
      </c>
      <c r="J58">
        <v>84442</v>
      </c>
      <c r="K58">
        <v>2.548</v>
      </c>
      <c r="L58">
        <v>1.71</v>
      </c>
      <c r="M58">
        <v>82385</v>
      </c>
      <c r="N58">
        <v>2.6120000000000001</v>
      </c>
      <c r="O58">
        <v>1.7530000000000001</v>
      </c>
    </row>
    <row r="59" spans="1:15" x14ac:dyDescent="0.25">
      <c r="A59" t="s">
        <v>191</v>
      </c>
      <c r="B59" t="s">
        <v>54</v>
      </c>
      <c r="C59" t="s">
        <v>280</v>
      </c>
      <c r="D59">
        <v>1229</v>
      </c>
      <c r="E59">
        <v>1194</v>
      </c>
      <c r="F59">
        <v>2423</v>
      </c>
      <c r="G59">
        <v>844</v>
      </c>
      <c r="H59">
        <v>1072</v>
      </c>
      <c r="I59">
        <v>1916</v>
      </c>
      <c r="J59">
        <v>57274</v>
      </c>
      <c r="K59">
        <v>4.2309999999999999</v>
      </c>
      <c r="L59">
        <v>3.3449999999999998</v>
      </c>
      <c r="M59">
        <v>53157</v>
      </c>
      <c r="N59">
        <v>4.5579999999999998</v>
      </c>
      <c r="O59">
        <v>3.6040000000000001</v>
      </c>
    </row>
    <row r="60" spans="1:15" x14ac:dyDescent="0.25">
      <c r="A60" t="s">
        <v>191</v>
      </c>
      <c r="B60" t="s">
        <v>55</v>
      </c>
      <c r="C60" t="s">
        <v>281</v>
      </c>
      <c r="D60">
        <v>55</v>
      </c>
      <c r="E60">
        <v>168</v>
      </c>
      <c r="F60">
        <v>223</v>
      </c>
      <c r="G60">
        <v>60</v>
      </c>
      <c r="H60">
        <v>42</v>
      </c>
      <c r="I60">
        <v>102</v>
      </c>
      <c r="J60">
        <v>10950</v>
      </c>
      <c r="K60">
        <v>2.0369999999999999</v>
      </c>
      <c r="L60">
        <v>0.93200000000000005</v>
      </c>
      <c r="M60">
        <v>10166</v>
      </c>
      <c r="N60">
        <v>2.194</v>
      </c>
      <c r="O60">
        <v>1.0029999999999999</v>
      </c>
    </row>
    <row r="61" spans="1:15" x14ac:dyDescent="0.25">
      <c r="A61" t="s">
        <v>191</v>
      </c>
      <c r="B61" t="s">
        <v>56</v>
      </c>
      <c r="C61" t="s">
        <v>282</v>
      </c>
      <c r="D61">
        <v>608</v>
      </c>
      <c r="E61">
        <v>517</v>
      </c>
      <c r="F61">
        <v>1125</v>
      </c>
      <c r="G61">
        <v>715</v>
      </c>
      <c r="H61">
        <v>318</v>
      </c>
      <c r="I61">
        <v>1033</v>
      </c>
      <c r="J61">
        <v>54489</v>
      </c>
      <c r="K61">
        <v>2.0649999999999999</v>
      </c>
      <c r="L61">
        <v>1.8959999999999999</v>
      </c>
      <c r="M61">
        <v>51874</v>
      </c>
      <c r="N61">
        <v>2.169</v>
      </c>
      <c r="O61">
        <v>1.9910000000000001</v>
      </c>
    </row>
    <row r="62" spans="1:15" x14ac:dyDescent="0.25">
      <c r="A62" t="s">
        <v>191</v>
      </c>
      <c r="B62" t="s">
        <v>57</v>
      </c>
      <c r="C62" t="s">
        <v>283</v>
      </c>
      <c r="D62">
        <v>1155</v>
      </c>
      <c r="E62">
        <v>1979</v>
      </c>
      <c r="F62">
        <v>3134</v>
      </c>
      <c r="G62">
        <v>1410</v>
      </c>
      <c r="H62">
        <v>474</v>
      </c>
      <c r="I62">
        <v>1884</v>
      </c>
      <c r="J62">
        <v>146925</v>
      </c>
      <c r="K62">
        <v>2.133</v>
      </c>
      <c r="L62">
        <v>1.282</v>
      </c>
      <c r="M62">
        <v>142286</v>
      </c>
      <c r="N62">
        <v>2.2029999999999998</v>
      </c>
      <c r="O62">
        <v>1.3240000000000001</v>
      </c>
    </row>
    <row r="63" spans="1:15" x14ac:dyDescent="0.25">
      <c r="A63" t="s">
        <v>191</v>
      </c>
      <c r="B63" t="s">
        <v>58</v>
      </c>
      <c r="C63" t="s">
        <v>284</v>
      </c>
      <c r="D63">
        <v>352</v>
      </c>
      <c r="E63">
        <v>667</v>
      </c>
      <c r="F63">
        <v>1019</v>
      </c>
      <c r="G63">
        <v>391</v>
      </c>
      <c r="H63">
        <v>166</v>
      </c>
      <c r="I63">
        <v>557</v>
      </c>
      <c r="J63">
        <v>40320</v>
      </c>
      <c r="K63">
        <v>2.5270000000000001</v>
      </c>
      <c r="L63">
        <v>1.381</v>
      </c>
      <c r="M63">
        <v>38310</v>
      </c>
      <c r="N63">
        <v>2.66</v>
      </c>
      <c r="O63">
        <v>1.454</v>
      </c>
    </row>
    <row r="64" spans="1:15" x14ac:dyDescent="0.25">
      <c r="A64" t="s">
        <v>191</v>
      </c>
      <c r="B64" t="s">
        <v>59</v>
      </c>
      <c r="C64" t="s">
        <v>290</v>
      </c>
      <c r="D64">
        <v>402</v>
      </c>
      <c r="E64">
        <v>519</v>
      </c>
      <c r="F64">
        <v>921</v>
      </c>
      <c r="G64">
        <v>471</v>
      </c>
      <c r="H64">
        <v>160</v>
      </c>
      <c r="I64">
        <v>631</v>
      </c>
      <c r="J64">
        <v>44734</v>
      </c>
      <c r="K64">
        <v>2.0590000000000002</v>
      </c>
      <c r="L64">
        <v>1.411</v>
      </c>
      <c r="M64">
        <v>42353</v>
      </c>
      <c r="N64">
        <v>2.1749999999999998</v>
      </c>
      <c r="O64">
        <v>1.49</v>
      </c>
    </row>
    <row r="65" spans="1:15" x14ac:dyDescent="0.25">
      <c r="A65" t="s">
        <v>191</v>
      </c>
      <c r="B65" t="s">
        <v>60</v>
      </c>
      <c r="C65" t="s">
        <v>291</v>
      </c>
      <c r="D65">
        <v>1103</v>
      </c>
      <c r="E65">
        <v>638</v>
      </c>
      <c r="F65">
        <v>1741</v>
      </c>
      <c r="G65">
        <v>967</v>
      </c>
      <c r="H65">
        <v>813</v>
      </c>
      <c r="I65">
        <v>1780</v>
      </c>
      <c r="J65">
        <v>77186</v>
      </c>
      <c r="K65">
        <v>2.2560000000000002</v>
      </c>
      <c r="L65">
        <v>2.306</v>
      </c>
      <c r="M65">
        <v>75035</v>
      </c>
      <c r="N65">
        <v>2.3199999999999998</v>
      </c>
      <c r="O65">
        <v>2.3719999999999999</v>
      </c>
    </row>
    <row r="66" spans="1:15" x14ac:dyDescent="0.25">
      <c r="A66" t="s">
        <v>190</v>
      </c>
      <c r="B66" t="s">
        <v>31</v>
      </c>
      <c r="C66" t="s">
        <v>285</v>
      </c>
      <c r="D66">
        <v>572</v>
      </c>
      <c r="E66">
        <v>2074</v>
      </c>
      <c r="F66">
        <v>2646</v>
      </c>
      <c r="G66">
        <v>538</v>
      </c>
      <c r="H66">
        <v>281</v>
      </c>
      <c r="I66">
        <v>819</v>
      </c>
      <c r="J66">
        <v>114234</v>
      </c>
      <c r="K66">
        <v>2.3159999999999998</v>
      </c>
      <c r="L66">
        <v>0.71699999999999997</v>
      </c>
      <c r="M66">
        <v>105311</v>
      </c>
      <c r="N66">
        <v>2.5129999999999999</v>
      </c>
      <c r="O66">
        <v>0.77800000000000002</v>
      </c>
    </row>
    <row r="67" spans="1:15" x14ac:dyDescent="0.25">
      <c r="A67" t="s">
        <v>190</v>
      </c>
      <c r="B67" t="s">
        <v>32</v>
      </c>
      <c r="C67" t="s">
        <v>286</v>
      </c>
      <c r="D67">
        <v>683</v>
      </c>
      <c r="E67">
        <v>1249</v>
      </c>
      <c r="F67">
        <v>1932</v>
      </c>
      <c r="G67">
        <v>648</v>
      </c>
      <c r="H67">
        <v>431</v>
      </c>
      <c r="I67">
        <v>1079</v>
      </c>
      <c r="J67">
        <v>115223</v>
      </c>
      <c r="K67">
        <v>1.677</v>
      </c>
      <c r="L67">
        <v>0.93600000000000005</v>
      </c>
      <c r="M67">
        <v>109631</v>
      </c>
      <c r="N67">
        <v>1.762</v>
      </c>
      <c r="O67">
        <v>0.98399999999999999</v>
      </c>
    </row>
    <row r="68" spans="1:15" x14ac:dyDescent="0.25">
      <c r="A68" t="s">
        <v>190</v>
      </c>
      <c r="B68" t="s">
        <v>33</v>
      </c>
      <c r="C68" t="s">
        <v>292</v>
      </c>
      <c r="D68">
        <v>485</v>
      </c>
      <c r="E68">
        <v>1685</v>
      </c>
      <c r="F68">
        <v>2170</v>
      </c>
      <c r="G68">
        <v>462</v>
      </c>
      <c r="H68">
        <v>262</v>
      </c>
      <c r="I68">
        <v>724</v>
      </c>
      <c r="J68">
        <v>55619</v>
      </c>
      <c r="K68">
        <v>3.9020000000000001</v>
      </c>
      <c r="L68">
        <v>1.302</v>
      </c>
      <c r="M68">
        <v>53142</v>
      </c>
      <c r="N68">
        <v>4.0830000000000002</v>
      </c>
      <c r="O68">
        <v>1.3620000000000001</v>
      </c>
    </row>
    <row r="69" spans="1:15" x14ac:dyDescent="0.25">
      <c r="A69" t="s">
        <v>190</v>
      </c>
      <c r="B69" t="s">
        <v>34</v>
      </c>
      <c r="C69" t="s">
        <v>287</v>
      </c>
      <c r="D69">
        <v>667</v>
      </c>
      <c r="E69">
        <v>980</v>
      </c>
      <c r="F69">
        <v>1647</v>
      </c>
      <c r="G69">
        <v>562</v>
      </c>
      <c r="H69">
        <v>512</v>
      </c>
      <c r="I69">
        <v>1074</v>
      </c>
      <c r="J69">
        <v>47712</v>
      </c>
      <c r="K69">
        <v>3.452</v>
      </c>
      <c r="L69">
        <v>2.2509999999999999</v>
      </c>
      <c r="M69">
        <v>40938</v>
      </c>
      <c r="N69">
        <v>4.0229999999999997</v>
      </c>
      <c r="O69">
        <v>2.6230000000000002</v>
      </c>
    </row>
    <row r="70" spans="1:15" x14ac:dyDescent="0.25">
      <c r="A70" t="s">
        <v>190</v>
      </c>
      <c r="B70" t="s">
        <v>243</v>
      </c>
      <c r="C70" t="s">
        <v>288</v>
      </c>
      <c r="D70">
        <v>2759</v>
      </c>
      <c r="E70">
        <v>2546</v>
      </c>
      <c r="F70">
        <v>5305</v>
      </c>
      <c r="G70">
        <v>2752</v>
      </c>
      <c r="H70">
        <v>1091</v>
      </c>
      <c r="I70">
        <v>3843</v>
      </c>
      <c r="J70">
        <v>241433</v>
      </c>
      <c r="K70">
        <v>2.1970000000000001</v>
      </c>
      <c r="L70">
        <v>1.5920000000000001</v>
      </c>
      <c r="M70">
        <v>229650</v>
      </c>
      <c r="N70">
        <v>2.31</v>
      </c>
      <c r="O70">
        <v>1.673</v>
      </c>
    </row>
    <row r="71" spans="1:15" x14ac:dyDescent="0.25">
      <c r="A71" t="s">
        <v>190</v>
      </c>
      <c r="B71" t="s">
        <v>35</v>
      </c>
      <c r="C71" t="s">
        <v>266</v>
      </c>
      <c r="D71">
        <v>243</v>
      </c>
      <c r="E71">
        <v>382</v>
      </c>
      <c r="F71">
        <v>625</v>
      </c>
      <c r="G71">
        <v>229</v>
      </c>
      <c r="H71">
        <v>130</v>
      </c>
      <c r="I71">
        <v>359</v>
      </c>
      <c r="J71">
        <v>24114</v>
      </c>
      <c r="K71">
        <v>2.5920000000000001</v>
      </c>
      <c r="L71">
        <v>1.4889999999999999</v>
      </c>
      <c r="M71">
        <v>23333</v>
      </c>
      <c r="N71">
        <v>2.6790000000000003</v>
      </c>
      <c r="O71">
        <v>1.5390000000000001</v>
      </c>
    </row>
    <row r="72" spans="1:15" x14ac:dyDescent="0.25">
      <c r="A72" t="s">
        <v>190</v>
      </c>
      <c r="B72" t="s">
        <v>36</v>
      </c>
      <c r="C72" t="s">
        <v>267</v>
      </c>
      <c r="D72">
        <v>1086</v>
      </c>
      <c r="E72">
        <v>1068</v>
      </c>
      <c r="F72">
        <v>2154</v>
      </c>
      <c r="G72">
        <v>923</v>
      </c>
      <c r="H72">
        <v>558</v>
      </c>
      <c r="I72">
        <v>1481</v>
      </c>
      <c r="J72">
        <v>74190</v>
      </c>
      <c r="K72">
        <v>2.903</v>
      </c>
      <c r="L72">
        <v>1.996</v>
      </c>
      <c r="M72">
        <v>68999</v>
      </c>
      <c r="N72">
        <v>3.1219999999999999</v>
      </c>
      <c r="O72">
        <v>2.1459999999999999</v>
      </c>
    </row>
    <row r="73" spans="1:15" x14ac:dyDescent="0.25">
      <c r="A73" t="s">
        <v>190</v>
      </c>
      <c r="B73" t="s">
        <v>37</v>
      </c>
      <c r="C73" t="s">
        <v>293</v>
      </c>
      <c r="D73">
        <v>849</v>
      </c>
      <c r="E73">
        <v>3502</v>
      </c>
      <c r="F73">
        <v>4351</v>
      </c>
      <c r="G73">
        <v>818</v>
      </c>
      <c r="H73">
        <v>370</v>
      </c>
      <c r="I73">
        <v>1188</v>
      </c>
      <c r="J73">
        <v>73689</v>
      </c>
      <c r="K73">
        <v>5.9050000000000002</v>
      </c>
      <c r="L73">
        <v>1.6120000000000001</v>
      </c>
      <c r="M73">
        <v>69534</v>
      </c>
      <c r="N73">
        <v>6.2569999999999997</v>
      </c>
      <c r="O73">
        <v>1.7090000000000001</v>
      </c>
    </row>
    <row r="74" spans="1:15" x14ac:dyDescent="0.25">
      <c r="A74" t="s">
        <v>190</v>
      </c>
      <c r="B74" t="s">
        <v>38</v>
      </c>
      <c r="C74" t="s">
        <v>268</v>
      </c>
      <c r="D74">
        <v>509</v>
      </c>
      <c r="E74">
        <v>828</v>
      </c>
      <c r="F74">
        <v>1337</v>
      </c>
      <c r="G74">
        <v>543</v>
      </c>
      <c r="H74">
        <v>320</v>
      </c>
      <c r="I74">
        <v>863</v>
      </c>
      <c r="J74">
        <v>57654</v>
      </c>
      <c r="K74">
        <v>2.319</v>
      </c>
      <c r="L74">
        <v>1.4969999999999999</v>
      </c>
      <c r="M74">
        <v>54570</v>
      </c>
      <c r="N74">
        <v>2.4500000000000002</v>
      </c>
      <c r="O74">
        <v>1.581</v>
      </c>
    </row>
    <row r="75" spans="1:15" x14ac:dyDescent="0.25">
      <c r="A75" t="s">
        <v>190</v>
      </c>
      <c r="B75" t="s">
        <v>39</v>
      </c>
      <c r="C75" t="s">
        <v>295</v>
      </c>
      <c r="D75">
        <v>662</v>
      </c>
      <c r="E75">
        <v>793</v>
      </c>
      <c r="F75">
        <v>1455</v>
      </c>
      <c r="G75">
        <v>844</v>
      </c>
      <c r="H75">
        <v>248</v>
      </c>
      <c r="I75">
        <v>1092</v>
      </c>
      <c r="J75">
        <v>45678</v>
      </c>
      <c r="K75">
        <v>3.1850000000000001</v>
      </c>
      <c r="L75">
        <v>2.391</v>
      </c>
      <c r="M75">
        <v>45008</v>
      </c>
      <c r="N75">
        <v>3.2330000000000001</v>
      </c>
      <c r="O75">
        <v>2.4260000000000002</v>
      </c>
    </row>
    <row r="76" spans="1:15" x14ac:dyDescent="0.25">
      <c r="A76" t="s">
        <v>190</v>
      </c>
      <c r="B76" t="s">
        <v>40</v>
      </c>
      <c r="C76" t="s">
        <v>269</v>
      </c>
      <c r="D76">
        <v>716</v>
      </c>
      <c r="E76">
        <v>704</v>
      </c>
      <c r="F76">
        <v>1420</v>
      </c>
      <c r="G76">
        <v>715</v>
      </c>
      <c r="H76">
        <v>505</v>
      </c>
      <c r="I76">
        <v>1220</v>
      </c>
      <c r="J76">
        <v>46332</v>
      </c>
      <c r="K76">
        <v>3.0649999999999999</v>
      </c>
      <c r="L76">
        <v>2.633</v>
      </c>
      <c r="M76">
        <v>44384</v>
      </c>
      <c r="N76">
        <v>3.1989999999999998</v>
      </c>
      <c r="O76">
        <v>2.7490000000000001</v>
      </c>
    </row>
    <row r="77" spans="1:15" x14ac:dyDescent="0.25">
      <c r="A77" t="s">
        <v>190</v>
      </c>
      <c r="B77" t="s">
        <v>41</v>
      </c>
      <c r="C77" t="s">
        <v>270</v>
      </c>
      <c r="D77">
        <v>587</v>
      </c>
      <c r="E77">
        <v>1106</v>
      </c>
      <c r="F77">
        <v>1693</v>
      </c>
      <c r="G77">
        <v>640</v>
      </c>
      <c r="H77">
        <v>250</v>
      </c>
      <c r="I77">
        <v>890</v>
      </c>
      <c r="J77">
        <v>38061</v>
      </c>
      <c r="K77">
        <v>4.4480000000000004</v>
      </c>
      <c r="L77">
        <v>2.3380000000000001</v>
      </c>
      <c r="M77">
        <v>38270</v>
      </c>
      <c r="N77">
        <v>4.4240000000000004</v>
      </c>
      <c r="O77">
        <v>2.3260000000000001</v>
      </c>
    </row>
    <row r="78" spans="1:15" x14ac:dyDescent="0.25">
      <c r="A78" t="s">
        <v>190</v>
      </c>
      <c r="B78" t="s">
        <v>42</v>
      </c>
      <c r="C78" t="s">
        <v>272</v>
      </c>
      <c r="D78">
        <v>552</v>
      </c>
      <c r="E78">
        <v>1153</v>
      </c>
      <c r="F78">
        <v>1705</v>
      </c>
      <c r="G78">
        <v>631</v>
      </c>
      <c r="H78">
        <v>207</v>
      </c>
      <c r="I78">
        <v>838</v>
      </c>
      <c r="J78">
        <v>73290</v>
      </c>
      <c r="K78">
        <v>2.3260000000000001</v>
      </c>
      <c r="L78">
        <v>1.143</v>
      </c>
      <c r="M78">
        <v>70431</v>
      </c>
      <c r="N78">
        <v>2.4209999999999998</v>
      </c>
      <c r="O78">
        <v>1.19</v>
      </c>
    </row>
    <row r="79" spans="1:15" x14ac:dyDescent="0.25">
      <c r="A79" t="s">
        <v>190</v>
      </c>
      <c r="B79" t="s">
        <v>43</v>
      </c>
      <c r="C79" t="s">
        <v>388</v>
      </c>
      <c r="D79">
        <v>3204</v>
      </c>
      <c r="E79">
        <v>3874</v>
      </c>
      <c r="F79">
        <v>7078</v>
      </c>
      <c r="G79">
        <v>3231</v>
      </c>
      <c r="H79">
        <v>1803</v>
      </c>
      <c r="I79">
        <v>5034</v>
      </c>
      <c r="J79">
        <v>173366</v>
      </c>
      <c r="K79">
        <v>4.0830000000000002</v>
      </c>
      <c r="L79">
        <v>2.9039999999999999</v>
      </c>
      <c r="M79">
        <v>164705</v>
      </c>
      <c r="N79">
        <v>4.2969999999999997</v>
      </c>
      <c r="O79">
        <v>3.056</v>
      </c>
    </row>
    <row r="80" spans="1:15" x14ac:dyDescent="0.25">
      <c r="A80" t="s">
        <v>190</v>
      </c>
      <c r="B80" t="s">
        <v>117</v>
      </c>
      <c r="C80" t="s">
        <v>296</v>
      </c>
      <c r="D80">
        <v>2649</v>
      </c>
      <c r="E80">
        <v>3737</v>
      </c>
      <c r="F80">
        <v>6386</v>
      </c>
      <c r="G80">
        <v>2864</v>
      </c>
      <c r="H80">
        <v>956</v>
      </c>
      <c r="I80">
        <v>3820</v>
      </c>
      <c r="J80">
        <v>304013</v>
      </c>
      <c r="K80">
        <v>2.101</v>
      </c>
      <c r="L80">
        <v>1.2570000000000001</v>
      </c>
      <c r="M80">
        <v>287862</v>
      </c>
      <c r="N80">
        <v>2.218</v>
      </c>
      <c r="O80">
        <v>1.327</v>
      </c>
    </row>
    <row r="81" spans="1:15" x14ac:dyDescent="0.25">
      <c r="A81" t="s">
        <v>190</v>
      </c>
      <c r="B81" t="s">
        <v>44</v>
      </c>
      <c r="C81" t="s">
        <v>273</v>
      </c>
      <c r="D81">
        <v>1073</v>
      </c>
      <c r="E81">
        <v>2605</v>
      </c>
      <c r="F81">
        <v>3678</v>
      </c>
      <c r="G81">
        <v>1225</v>
      </c>
      <c r="H81">
        <v>526</v>
      </c>
      <c r="I81">
        <v>1751</v>
      </c>
      <c r="J81">
        <v>115538</v>
      </c>
      <c r="K81">
        <v>3.1829999999999998</v>
      </c>
      <c r="L81">
        <v>1.516</v>
      </c>
      <c r="M81">
        <v>106834</v>
      </c>
      <c r="N81">
        <v>3.4430000000000001</v>
      </c>
      <c r="O81">
        <v>1.639</v>
      </c>
    </row>
    <row r="82" spans="1:15" x14ac:dyDescent="0.25">
      <c r="A82" t="s">
        <v>190</v>
      </c>
      <c r="B82" t="s">
        <v>45</v>
      </c>
      <c r="C82" t="s">
        <v>274</v>
      </c>
      <c r="D82">
        <v>758</v>
      </c>
      <c r="E82">
        <v>936</v>
      </c>
      <c r="F82">
        <v>1694</v>
      </c>
      <c r="G82">
        <v>685</v>
      </c>
      <c r="H82">
        <v>396</v>
      </c>
      <c r="I82">
        <v>1081</v>
      </c>
      <c r="J82">
        <v>38787</v>
      </c>
      <c r="K82">
        <v>4.367</v>
      </c>
      <c r="L82">
        <v>2.7869999999999999</v>
      </c>
      <c r="M82">
        <v>37426</v>
      </c>
      <c r="N82">
        <v>4.5259999999999998</v>
      </c>
      <c r="O82">
        <v>2.8879999999999999</v>
      </c>
    </row>
    <row r="83" spans="1:15" x14ac:dyDescent="0.25">
      <c r="A83" t="s">
        <v>190</v>
      </c>
      <c r="B83" t="s">
        <v>46</v>
      </c>
      <c r="C83" t="s">
        <v>275</v>
      </c>
      <c r="D83">
        <v>574</v>
      </c>
      <c r="E83">
        <v>527</v>
      </c>
      <c r="F83">
        <v>1101</v>
      </c>
      <c r="G83">
        <v>474</v>
      </c>
      <c r="H83">
        <v>435</v>
      </c>
      <c r="I83">
        <v>909</v>
      </c>
      <c r="J83">
        <v>38675</v>
      </c>
      <c r="K83">
        <v>2.847</v>
      </c>
      <c r="L83">
        <v>2.35</v>
      </c>
      <c r="M83">
        <v>37069</v>
      </c>
      <c r="N83">
        <v>2.9699999999999998</v>
      </c>
      <c r="O83">
        <v>2.452</v>
      </c>
    </row>
    <row r="84" spans="1:15" x14ac:dyDescent="0.25">
      <c r="A84" t="s">
        <v>190</v>
      </c>
      <c r="B84" t="s">
        <v>47</v>
      </c>
      <c r="C84" t="s">
        <v>276</v>
      </c>
      <c r="D84">
        <v>426</v>
      </c>
      <c r="E84">
        <v>479</v>
      </c>
      <c r="F84">
        <v>905</v>
      </c>
      <c r="G84">
        <v>383</v>
      </c>
      <c r="H84">
        <v>384</v>
      </c>
      <c r="I84">
        <v>767</v>
      </c>
      <c r="J84">
        <v>44096</v>
      </c>
      <c r="K84">
        <v>2.052</v>
      </c>
      <c r="L84">
        <v>1.7389999999999999</v>
      </c>
      <c r="M84">
        <v>41641</v>
      </c>
      <c r="N84">
        <v>2.173</v>
      </c>
      <c r="O84">
        <v>1.8420000000000001</v>
      </c>
    </row>
    <row r="85" spans="1:15" x14ac:dyDescent="0.25">
      <c r="A85" t="s">
        <v>190</v>
      </c>
      <c r="B85" t="s">
        <v>48</v>
      </c>
      <c r="C85" t="s">
        <v>271</v>
      </c>
      <c r="D85">
        <v>114</v>
      </c>
      <c r="E85">
        <v>205</v>
      </c>
      <c r="F85">
        <v>319</v>
      </c>
      <c r="G85">
        <v>144</v>
      </c>
      <c r="H85">
        <v>41</v>
      </c>
      <c r="I85">
        <v>185</v>
      </c>
      <c r="J85">
        <v>14577</v>
      </c>
      <c r="K85">
        <v>2.1880000000000002</v>
      </c>
      <c r="L85">
        <v>1.2690000000000001</v>
      </c>
      <c r="M85">
        <v>12968</v>
      </c>
      <c r="N85">
        <v>2.46</v>
      </c>
      <c r="O85">
        <v>1.427</v>
      </c>
    </row>
    <row r="86" spans="1:15" x14ac:dyDescent="0.25">
      <c r="A86" t="s">
        <v>190</v>
      </c>
      <c r="B86" t="s">
        <v>49</v>
      </c>
      <c r="C86" t="s">
        <v>277</v>
      </c>
      <c r="D86">
        <v>932</v>
      </c>
      <c r="E86">
        <v>1137</v>
      </c>
      <c r="F86">
        <v>2069</v>
      </c>
      <c r="G86">
        <v>954</v>
      </c>
      <c r="H86">
        <v>531</v>
      </c>
      <c r="I86">
        <v>1485</v>
      </c>
      <c r="J86">
        <v>67590</v>
      </c>
      <c r="K86">
        <v>3.0609999999999999</v>
      </c>
      <c r="L86">
        <v>2.1970000000000001</v>
      </c>
      <c r="M86">
        <v>63189</v>
      </c>
      <c r="N86">
        <v>3.274</v>
      </c>
      <c r="O86">
        <v>2.35</v>
      </c>
    </row>
    <row r="87" spans="1:15" x14ac:dyDescent="0.25">
      <c r="A87" t="s">
        <v>190</v>
      </c>
      <c r="B87" t="s">
        <v>50</v>
      </c>
      <c r="C87" t="s">
        <v>294</v>
      </c>
      <c r="D87">
        <v>1654</v>
      </c>
      <c r="E87">
        <v>2505</v>
      </c>
      <c r="F87">
        <v>4159</v>
      </c>
      <c r="G87">
        <v>2213</v>
      </c>
      <c r="H87">
        <v>542</v>
      </c>
      <c r="I87">
        <v>2755</v>
      </c>
      <c r="J87">
        <v>152293</v>
      </c>
      <c r="K87">
        <v>2.7309999999999999</v>
      </c>
      <c r="L87">
        <v>1.8090000000000002</v>
      </c>
      <c r="M87">
        <v>149282</v>
      </c>
      <c r="N87">
        <v>2.786</v>
      </c>
      <c r="O87">
        <v>1.8460000000000001</v>
      </c>
    </row>
    <row r="88" spans="1:15" x14ac:dyDescent="0.25">
      <c r="A88" t="s">
        <v>190</v>
      </c>
      <c r="B88" t="s">
        <v>51</v>
      </c>
      <c r="C88" t="s">
        <v>278</v>
      </c>
      <c r="D88">
        <v>134</v>
      </c>
      <c r="E88">
        <v>192</v>
      </c>
      <c r="F88">
        <v>326</v>
      </c>
      <c r="G88">
        <v>109</v>
      </c>
      <c r="H88">
        <v>92</v>
      </c>
      <c r="I88">
        <v>201</v>
      </c>
      <c r="J88">
        <v>10924</v>
      </c>
      <c r="K88">
        <v>2.984</v>
      </c>
      <c r="L88">
        <v>1.8399999999999999</v>
      </c>
      <c r="M88">
        <v>10146</v>
      </c>
      <c r="N88">
        <v>3.2130000000000001</v>
      </c>
      <c r="O88">
        <v>1.9809999999999999</v>
      </c>
    </row>
    <row r="89" spans="1:15" x14ac:dyDescent="0.25">
      <c r="A89" t="s">
        <v>190</v>
      </c>
      <c r="B89" t="s">
        <v>52</v>
      </c>
      <c r="C89" t="s">
        <v>279</v>
      </c>
      <c r="D89">
        <v>443</v>
      </c>
      <c r="E89">
        <v>1554</v>
      </c>
      <c r="F89">
        <v>1997</v>
      </c>
      <c r="G89">
        <v>437</v>
      </c>
      <c r="H89">
        <v>234</v>
      </c>
      <c r="I89">
        <v>671</v>
      </c>
      <c r="J89">
        <v>70828</v>
      </c>
      <c r="K89">
        <v>2.82</v>
      </c>
      <c r="L89">
        <v>0.94699999999999995</v>
      </c>
      <c r="M89">
        <v>66545</v>
      </c>
      <c r="N89">
        <v>3.0009999999999999</v>
      </c>
      <c r="O89">
        <v>1.008</v>
      </c>
    </row>
    <row r="90" spans="1:15" x14ac:dyDescent="0.25">
      <c r="A90" t="s">
        <v>190</v>
      </c>
      <c r="B90" t="s">
        <v>53</v>
      </c>
      <c r="C90" t="s">
        <v>289</v>
      </c>
      <c r="D90">
        <v>794</v>
      </c>
      <c r="E90">
        <v>944</v>
      </c>
      <c r="F90">
        <v>1738</v>
      </c>
      <c r="G90">
        <v>865</v>
      </c>
      <c r="H90">
        <v>399</v>
      </c>
      <c r="I90">
        <v>1264</v>
      </c>
      <c r="J90">
        <v>84997</v>
      </c>
      <c r="K90">
        <v>2.0449999999999999</v>
      </c>
      <c r="L90">
        <v>1.4870000000000001</v>
      </c>
      <c r="M90">
        <v>83245</v>
      </c>
      <c r="N90">
        <v>2.0880000000000001</v>
      </c>
      <c r="O90">
        <v>1.518</v>
      </c>
    </row>
    <row r="91" spans="1:15" x14ac:dyDescent="0.25">
      <c r="A91" t="s">
        <v>190</v>
      </c>
      <c r="B91" t="s">
        <v>54</v>
      </c>
      <c r="C91" t="s">
        <v>280</v>
      </c>
      <c r="D91">
        <v>1347</v>
      </c>
      <c r="E91">
        <v>1196</v>
      </c>
      <c r="F91">
        <v>2543</v>
      </c>
      <c r="G91">
        <v>802</v>
      </c>
      <c r="H91">
        <v>1330</v>
      </c>
      <c r="I91">
        <v>2132</v>
      </c>
      <c r="J91">
        <v>57628</v>
      </c>
      <c r="K91">
        <v>4.4130000000000003</v>
      </c>
      <c r="L91">
        <v>3.7</v>
      </c>
      <c r="M91">
        <v>53351</v>
      </c>
      <c r="N91">
        <v>4.7670000000000003</v>
      </c>
      <c r="O91">
        <v>3.996</v>
      </c>
    </row>
    <row r="92" spans="1:15" x14ac:dyDescent="0.25">
      <c r="A92" t="s">
        <v>190</v>
      </c>
      <c r="B92" t="s">
        <v>55</v>
      </c>
      <c r="C92" t="s">
        <v>281</v>
      </c>
      <c r="D92">
        <v>100</v>
      </c>
      <c r="E92">
        <v>177</v>
      </c>
      <c r="F92">
        <v>277</v>
      </c>
      <c r="G92">
        <v>101</v>
      </c>
      <c r="H92">
        <v>94</v>
      </c>
      <c r="I92">
        <v>195</v>
      </c>
      <c r="J92">
        <v>11021</v>
      </c>
      <c r="K92">
        <v>2.5129999999999999</v>
      </c>
      <c r="L92">
        <v>1.7690000000000001</v>
      </c>
      <c r="M92">
        <v>10235</v>
      </c>
      <c r="N92">
        <v>2.706</v>
      </c>
      <c r="O92">
        <v>1.905</v>
      </c>
    </row>
    <row r="93" spans="1:15" x14ac:dyDescent="0.25">
      <c r="A93" t="s">
        <v>190</v>
      </c>
      <c r="B93" t="s">
        <v>56</v>
      </c>
      <c r="C93" t="s">
        <v>282</v>
      </c>
      <c r="D93">
        <v>657</v>
      </c>
      <c r="E93">
        <v>731</v>
      </c>
      <c r="F93">
        <v>1388</v>
      </c>
      <c r="G93">
        <v>688</v>
      </c>
      <c r="H93">
        <v>380</v>
      </c>
      <c r="I93">
        <v>1068</v>
      </c>
      <c r="J93">
        <v>54635</v>
      </c>
      <c r="K93">
        <v>2.54</v>
      </c>
      <c r="L93">
        <v>1.9550000000000001</v>
      </c>
      <c r="M93">
        <v>51912</v>
      </c>
      <c r="N93">
        <v>2.6739999999999999</v>
      </c>
      <c r="O93">
        <v>2.0569999999999999</v>
      </c>
    </row>
    <row r="94" spans="1:15" x14ac:dyDescent="0.25">
      <c r="A94" t="s">
        <v>190</v>
      </c>
      <c r="B94" t="s">
        <v>57</v>
      </c>
      <c r="C94" t="s">
        <v>283</v>
      </c>
      <c r="D94">
        <v>1189</v>
      </c>
      <c r="E94">
        <v>2143</v>
      </c>
      <c r="F94">
        <v>3332</v>
      </c>
      <c r="G94">
        <v>1396</v>
      </c>
      <c r="H94">
        <v>511</v>
      </c>
      <c r="I94">
        <v>1907</v>
      </c>
      <c r="J94">
        <v>147849</v>
      </c>
      <c r="K94">
        <v>2.254</v>
      </c>
      <c r="L94">
        <v>1.29</v>
      </c>
      <c r="M94">
        <v>143313</v>
      </c>
      <c r="N94">
        <v>2.3250000000000002</v>
      </c>
      <c r="O94">
        <v>1.331</v>
      </c>
    </row>
    <row r="95" spans="1:15" x14ac:dyDescent="0.25">
      <c r="A95" t="s">
        <v>190</v>
      </c>
      <c r="B95" t="s">
        <v>58</v>
      </c>
      <c r="C95" t="s">
        <v>284</v>
      </c>
      <c r="D95">
        <v>358</v>
      </c>
      <c r="E95">
        <v>653</v>
      </c>
      <c r="F95">
        <v>1011</v>
      </c>
      <c r="G95">
        <v>384</v>
      </c>
      <c r="H95">
        <v>181</v>
      </c>
      <c r="I95">
        <v>565</v>
      </c>
      <c r="J95">
        <v>40646</v>
      </c>
      <c r="K95">
        <v>2.4870000000000001</v>
      </c>
      <c r="L95">
        <v>1.3900000000000001</v>
      </c>
      <c r="M95">
        <v>38665</v>
      </c>
      <c r="N95">
        <v>2.6150000000000002</v>
      </c>
      <c r="O95">
        <v>1.4610000000000001</v>
      </c>
    </row>
    <row r="96" spans="1:15" x14ac:dyDescent="0.25">
      <c r="A96" t="s">
        <v>190</v>
      </c>
      <c r="B96" t="s">
        <v>59</v>
      </c>
      <c r="C96" t="s">
        <v>290</v>
      </c>
      <c r="D96">
        <v>470</v>
      </c>
      <c r="E96">
        <v>934</v>
      </c>
      <c r="F96">
        <v>1404</v>
      </c>
      <c r="G96">
        <v>586</v>
      </c>
      <c r="H96">
        <v>154</v>
      </c>
      <c r="I96">
        <v>740</v>
      </c>
      <c r="J96">
        <v>45056</v>
      </c>
      <c r="K96">
        <v>3.1160000000000001</v>
      </c>
      <c r="L96">
        <v>1.6419999999999999</v>
      </c>
      <c r="M96">
        <v>42571</v>
      </c>
      <c r="N96">
        <v>3.298</v>
      </c>
      <c r="O96">
        <v>1.738</v>
      </c>
    </row>
    <row r="97" spans="1:15" x14ac:dyDescent="0.25">
      <c r="A97" t="s">
        <v>190</v>
      </c>
      <c r="B97" t="s">
        <v>60</v>
      </c>
      <c r="C97" t="s">
        <v>291</v>
      </c>
      <c r="D97">
        <v>1092</v>
      </c>
      <c r="E97">
        <v>779</v>
      </c>
      <c r="F97">
        <v>1871</v>
      </c>
      <c r="G97">
        <v>1051</v>
      </c>
      <c r="H97">
        <v>659</v>
      </c>
      <c r="I97">
        <v>1710</v>
      </c>
      <c r="J97">
        <v>77834</v>
      </c>
      <c r="K97">
        <v>2.4039999999999999</v>
      </c>
      <c r="L97">
        <v>2.1970000000000001</v>
      </c>
      <c r="M97">
        <v>75782</v>
      </c>
      <c r="N97">
        <v>2.4689999999999999</v>
      </c>
      <c r="O97">
        <v>2.2560000000000002</v>
      </c>
    </row>
    <row r="98" spans="1:15" x14ac:dyDescent="0.25">
      <c r="A98" t="s">
        <v>257</v>
      </c>
      <c r="B98" t="s">
        <v>31</v>
      </c>
      <c r="C98" t="s">
        <v>285</v>
      </c>
      <c r="D98">
        <v>466</v>
      </c>
      <c r="E98">
        <v>1427</v>
      </c>
      <c r="F98">
        <v>1893</v>
      </c>
      <c r="G98">
        <v>374</v>
      </c>
      <c r="H98">
        <v>299</v>
      </c>
      <c r="I98">
        <v>673</v>
      </c>
      <c r="J98">
        <v>115080</v>
      </c>
      <c r="K98">
        <v>1.645</v>
      </c>
      <c r="L98">
        <v>0.58499999999999996</v>
      </c>
      <c r="M98">
        <v>106749</v>
      </c>
      <c r="N98">
        <v>1.7730000000000001</v>
      </c>
      <c r="O98">
        <v>0.63</v>
      </c>
    </row>
    <row r="99" spans="1:15" x14ac:dyDescent="0.25">
      <c r="A99" t="s">
        <v>257</v>
      </c>
      <c r="B99" t="s">
        <v>32</v>
      </c>
      <c r="C99" t="s">
        <v>286</v>
      </c>
      <c r="D99">
        <v>739</v>
      </c>
      <c r="E99">
        <v>1595</v>
      </c>
      <c r="F99">
        <v>2334</v>
      </c>
      <c r="G99">
        <v>712</v>
      </c>
      <c r="H99">
        <v>510</v>
      </c>
      <c r="I99">
        <v>1222</v>
      </c>
      <c r="J99">
        <v>116421</v>
      </c>
      <c r="K99">
        <v>2.0049999999999999</v>
      </c>
      <c r="L99">
        <v>1.05</v>
      </c>
      <c r="M99">
        <v>110296</v>
      </c>
      <c r="N99">
        <v>2.1160000000000001</v>
      </c>
      <c r="O99">
        <v>1.1080000000000001</v>
      </c>
    </row>
    <row r="100" spans="1:15" x14ac:dyDescent="0.25">
      <c r="A100" t="s">
        <v>257</v>
      </c>
      <c r="B100" t="s">
        <v>33</v>
      </c>
      <c r="C100" t="s">
        <v>292</v>
      </c>
      <c r="D100">
        <v>499</v>
      </c>
      <c r="E100">
        <v>1528</v>
      </c>
      <c r="F100">
        <v>2027</v>
      </c>
      <c r="G100">
        <v>450</v>
      </c>
      <c r="H100">
        <v>277</v>
      </c>
      <c r="I100">
        <v>727</v>
      </c>
      <c r="J100">
        <v>55872</v>
      </c>
      <c r="K100">
        <v>3.6280000000000001</v>
      </c>
      <c r="L100">
        <v>1.3009999999999999</v>
      </c>
      <c r="M100">
        <v>53333</v>
      </c>
      <c r="N100">
        <v>3.8010000000000002</v>
      </c>
      <c r="O100">
        <v>1.363</v>
      </c>
    </row>
    <row r="101" spans="1:15" x14ac:dyDescent="0.25">
      <c r="A101" t="s">
        <v>257</v>
      </c>
      <c r="B101" t="s">
        <v>34</v>
      </c>
      <c r="C101" t="s">
        <v>287</v>
      </c>
      <c r="D101">
        <v>630</v>
      </c>
      <c r="E101">
        <v>925</v>
      </c>
      <c r="F101">
        <v>1555</v>
      </c>
      <c r="G101">
        <v>481</v>
      </c>
      <c r="H101">
        <v>497</v>
      </c>
      <c r="I101">
        <v>978</v>
      </c>
      <c r="J101">
        <v>47780</v>
      </c>
      <c r="K101">
        <v>3.254</v>
      </c>
      <c r="L101">
        <v>2.0470000000000002</v>
      </c>
      <c r="M101">
        <v>41040</v>
      </c>
      <c r="N101">
        <v>3.7890000000000001</v>
      </c>
      <c r="O101">
        <v>2.383</v>
      </c>
    </row>
    <row r="102" spans="1:15" x14ac:dyDescent="0.25">
      <c r="A102" t="s">
        <v>257</v>
      </c>
      <c r="B102" t="s">
        <v>243</v>
      </c>
      <c r="C102" t="s">
        <v>288</v>
      </c>
      <c r="D102">
        <v>2671</v>
      </c>
      <c r="E102">
        <v>2368</v>
      </c>
      <c r="F102">
        <v>5039</v>
      </c>
      <c r="G102">
        <v>2446</v>
      </c>
      <c r="H102">
        <v>1264</v>
      </c>
      <c r="I102">
        <v>3710</v>
      </c>
      <c r="J102">
        <v>244131</v>
      </c>
      <c r="K102">
        <v>2.0640000000000001</v>
      </c>
      <c r="L102">
        <v>1.52</v>
      </c>
      <c r="M102">
        <v>231383</v>
      </c>
      <c r="N102">
        <v>2.1779999999999999</v>
      </c>
      <c r="O102">
        <v>1.603</v>
      </c>
    </row>
    <row r="103" spans="1:15" x14ac:dyDescent="0.25">
      <c r="A103" t="s">
        <v>257</v>
      </c>
      <c r="B103" t="s">
        <v>35</v>
      </c>
      <c r="C103" t="s">
        <v>266</v>
      </c>
      <c r="D103">
        <v>270</v>
      </c>
      <c r="E103">
        <v>361</v>
      </c>
      <c r="F103">
        <v>631</v>
      </c>
      <c r="G103">
        <v>281</v>
      </c>
      <c r="H103">
        <v>120</v>
      </c>
      <c r="I103">
        <v>401</v>
      </c>
      <c r="J103">
        <v>24221</v>
      </c>
      <c r="K103">
        <v>2.605</v>
      </c>
      <c r="L103">
        <v>1.6560000000000001</v>
      </c>
      <c r="M103">
        <v>23401</v>
      </c>
      <c r="N103">
        <v>2.6959999999999997</v>
      </c>
      <c r="O103">
        <v>1.714</v>
      </c>
    </row>
    <row r="104" spans="1:15" x14ac:dyDescent="0.25">
      <c r="A104" t="s">
        <v>257</v>
      </c>
      <c r="B104" t="s">
        <v>36</v>
      </c>
      <c r="C104" t="s">
        <v>267</v>
      </c>
      <c r="D104">
        <v>1262</v>
      </c>
      <c r="E104">
        <v>848</v>
      </c>
      <c r="F104">
        <v>2110</v>
      </c>
      <c r="G104">
        <v>1150</v>
      </c>
      <c r="H104">
        <v>642</v>
      </c>
      <c r="I104">
        <v>1792</v>
      </c>
      <c r="J104">
        <v>74453</v>
      </c>
      <c r="K104">
        <v>2.8340000000000001</v>
      </c>
      <c r="L104">
        <v>2.407</v>
      </c>
      <c r="M104">
        <v>69202</v>
      </c>
      <c r="N104">
        <v>3.0489999999999999</v>
      </c>
      <c r="O104">
        <v>2.59</v>
      </c>
    </row>
    <row r="105" spans="1:15" x14ac:dyDescent="0.25">
      <c r="A105" t="s">
        <v>257</v>
      </c>
      <c r="B105" t="s">
        <v>37</v>
      </c>
      <c r="C105" t="s">
        <v>293</v>
      </c>
      <c r="D105">
        <v>870</v>
      </c>
      <c r="E105">
        <v>3053</v>
      </c>
      <c r="F105">
        <v>3923</v>
      </c>
      <c r="G105">
        <v>823</v>
      </c>
      <c r="H105">
        <v>377</v>
      </c>
      <c r="I105">
        <v>1200</v>
      </c>
      <c r="J105">
        <v>74026</v>
      </c>
      <c r="K105">
        <v>5.2990000000000004</v>
      </c>
      <c r="L105">
        <v>1.621</v>
      </c>
      <c r="M105">
        <v>69635</v>
      </c>
      <c r="N105">
        <v>5.6340000000000003</v>
      </c>
      <c r="O105">
        <v>1.7229999999999999</v>
      </c>
    </row>
    <row r="106" spans="1:15" x14ac:dyDescent="0.25">
      <c r="A106" t="s">
        <v>257</v>
      </c>
      <c r="B106" t="s">
        <v>38</v>
      </c>
      <c r="C106" t="s">
        <v>268</v>
      </c>
      <c r="D106">
        <v>574</v>
      </c>
      <c r="E106">
        <v>681</v>
      </c>
      <c r="F106">
        <v>1255</v>
      </c>
      <c r="G106">
        <v>584</v>
      </c>
      <c r="H106">
        <v>364</v>
      </c>
      <c r="I106">
        <v>948</v>
      </c>
      <c r="J106">
        <v>57873</v>
      </c>
      <c r="K106">
        <v>2.169</v>
      </c>
      <c r="L106">
        <v>1.6379999999999999</v>
      </c>
      <c r="M106">
        <v>54748</v>
      </c>
      <c r="N106">
        <v>2.2919999999999998</v>
      </c>
      <c r="O106">
        <v>1.732</v>
      </c>
    </row>
    <row r="107" spans="1:15" x14ac:dyDescent="0.25">
      <c r="A107" t="s">
        <v>257</v>
      </c>
      <c r="B107" t="s">
        <v>39</v>
      </c>
      <c r="C107" t="s">
        <v>295</v>
      </c>
      <c r="D107">
        <v>720</v>
      </c>
      <c r="E107">
        <v>659</v>
      </c>
      <c r="F107">
        <v>1379</v>
      </c>
      <c r="G107">
        <v>857</v>
      </c>
      <c r="H107">
        <v>291</v>
      </c>
      <c r="I107">
        <v>1148</v>
      </c>
      <c r="J107">
        <v>46026</v>
      </c>
      <c r="K107">
        <v>2.996</v>
      </c>
      <c r="L107">
        <v>2.4939999999999998</v>
      </c>
      <c r="M107">
        <v>45350</v>
      </c>
      <c r="N107">
        <v>3.0409999999999999</v>
      </c>
      <c r="O107">
        <v>2.5310000000000001</v>
      </c>
    </row>
    <row r="108" spans="1:15" x14ac:dyDescent="0.25">
      <c r="A108" t="s">
        <v>257</v>
      </c>
      <c r="B108" t="s">
        <v>40</v>
      </c>
      <c r="C108" t="s">
        <v>269</v>
      </c>
      <c r="D108">
        <v>596</v>
      </c>
      <c r="E108">
        <v>578</v>
      </c>
      <c r="F108">
        <v>1174</v>
      </c>
      <c r="G108">
        <v>608</v>
      </c>
      <c r="H108">
        <v>364</v>
      </c>
      <c r="I108">
        <v>972</v>
      </c>
      <c r="J108">
        <v>46672</v>
      </c>
      <c r="K108">
        <v>2.5150000000000001</v>
      </c>
      <c r="L108">
        <v>2.0830000000000002</v>
      </c>
      <c r="M108">
        <v>44749</v>
      </c>
      <c r="N108">
        <v>2.6240000000000001</v>
      </c>
      <c r="O108">
        <v>2.1720000000000002</v>
      </c>
    </row>
    <row r="109" spans="1:15" x14ac:dyDescent="0.25">
      <c r="A109" t="s">
        <v>257</v>
      </c>
      <c r="B109" t="s">
        <v>41</v>
      </c>
      <c r="C109" t="s">
        <v>270</v>
      </c>
      <c r="D109">
        <v>644</v>
      </c>
      <c r="E109">
        <v>916</v>
      </c>
      <c r="F109">
        <v>1560</v>
      </c>
      <c r="G109">
        <v>686</v>
      </c>
      <c r="H109">
        <v>274</v>
      </c>
      <c r="I109">
        <v>960</v>
      </c>
      <c r="J109">
        <v>38389</v>
      </c>
      <c r="K109">
        <v>4.0640000000000001</v>
      </c>
      <c r="L109">
        <v>2.5009999999999999</v>
      </c>
      <c r="M109">
        <v>38581</v>
      </c>
      <c r="N109">
        <v>4.0430000000000001</v>
      </c>
      <c r="O109">
        <v>2.488</v>
      </c>
    </row>
    <row r="110" spans="1:15" x14ac:dyDescent="0.25">
      <c r="A110" t="s">
        <v>257</v>
      </c>
      <c r="B110" t="s">
        <v>42</v>
      </c>
      <c r="C110" t="s">
        <v>272</v>
      </c>
      <c r="D110">
        <v>570</v>
      </c>
      <c r="E110">
        <v>980</v>
      </c>
      <c r="F110">
        <v>1550</v>
      </c>
      <c r="G110">
        <v>612</v>
      </c>
      <c r="H110">
        <v>266</v>
      </c>
      <c r="I110">
        <v>878</v>
      </c>
      <c r="J110">
        <v>73767</v>
      </c>
      <c r="K110">
        <v>2.101</v>
      </c>
      <c r="L110">
        <v>1.19</v>
      </c>
      <c r="M110">
        <v>71072</v>
      </c>
      <c r="N110">
        <v>2.181</v>
      </c>
      <c r="O110">
        <v>1.2349999999999999</v>
      </c>
    </row>
    <row r="111" spans="1:15" x14ac:dyDescent="0.25">
      <c r="A111" t="s">
        <v>257</v>
      </c>
      <c r="B111" t="s">
        <v>43</v>
      </c>
      <c r="C111" t="s">
        <v>388</v>
      </c>
      <c r="D111">
        <v>3392</v>
      </c>
      <c r="E111">
        <v>3061</v>
      </c>
      <c r="F111">
        <v>6453</v>
      </c>
      <c r="G111">
        <v>3462</v>
      </c>
      <c r="H111">
        <v>1853</v>
      </c>
      <c r="I111">
        <v>5315</v>
      </c>
      <c r="J111">
        <v>174528</v>
      </c>
      <c r="K111">
        <v>3.6970000000000001</v>
      </c>
      <c r="L111">
        <v>3.0449999999999999</v>
      </c>
      <c r="M111">
        <v>165833</v>
      </c>
      <c r="N111">
        <v>3.891</v>
      </c>
      <c r="O111">
        <v>3.2050000000000001</v>
      </c>
    </row>
    <row r="112" spans="1:15" x14ac:dyDescent="0.25">
      <c r="A112" t="s">
        <v>257</v>
      </c>
      <c r="B112" t="s">
        <v>117</v>
      </c>
      <c r="C112" t="s">
        <v>296</v>
      </c>
      <c r="D112">
        <v>2485</v>
      </c>
      <c r="E112">
        <v>3499</v>
      </c>
      <c r="F112">
        <v>5984</v>
      </c>
      <c r="G112">
        <v>2530</v>
      </c>
      <c r="H112">
        <v>949</v>
      </c>
      <c r="I112">
        <v>3479</v>
      </c>
      <c r="J112">
        <v>306000</v>
      </c>
      <c r="K112">
        <v>1.956</v>
      </c>
      <c r="L112">
        <v>1.137</v>
      </c>
      <c r="M112">
        <v>289399</v>
      </c>
      <c r="N112">
        <v>2.0680000000000001</v>
      </c>
      <c r="O112">
        <v>1.202</v>
      </c>
    </row>
    <row r="113" spans="1:15" x14ac:dyDescent="0.25">
      <c r="A113" t="s">
        <v>257</v>
      </c>
      <c r="B113" t="s">
        <v>44</v>
      </c>
      <c r="C113" t="s">
        <v>273</v>
      </c>
      <c r="D113">
        <v>1215</v>
      </c>
      <c r="E113">
        <v>3439</v>
      </c>
      <c r="F113">
        <v>4654</v>
      </c>
      <c r="G113">
        <v>1204</v>
      </c>
      <c r="H113">
        <v>702</v>
      </c>
      <c r="I113">
        <v>1906</v>
      </c>
      <c r="J113">
        <v>116453</v>
      </c>
      <c r="K113">
        <v>3.996</v>
      </c>
      <c r="L113">
        <v>1.637</v>
      </c>
      <c r="M113">
        <v>107573</v>
      </c>
      <c r="N113">
        <v>4.3259999999999996</v>
      </c>
      <c r="O113">
        <v>1.772</v>
      </c>
    </row>
    <row r="114" spans="1:15" x14ac:dyDescent="0.25">
      <c r="A114" t="s">
        <v>257</v>
      </c>
      <c r="B114" t="s">
        <v>45</v>
      </c>
      <c r="C114" t="s">
        <v>274</v>
      </c>
      <c r="D114">
        <v>797</v>
      </c>
      <c r="E114">
        <v>1003</v>
      </c>
      <c r="F114">
        <v>1800</v>
      </c>
      <c r="G114">
        <v>621</v>
      </c>
      <c r="H114">
        <v>567</v>
      </c>
      <c r="I114">
        <v>1188</v>
      </c>
      <c r="J114">
        <v>38835</v>
      </c>
      <c r="K114">
        <v>4.6349999999999998</v>
      </c>
      <c r="L114">
        <v>3.0590000000000002</v>
      </c>
      <c r="M114">
        <v>37586</v>
      </c>
      <c r="N114">
        <v>4.7889999999999997</v>
      </c>
      <c r="O114">
        <v>3.161</v>
      </c>
    </row>
    <row r="115" spans="1:15" x14ac:dyDescent="0.25">
      <c r="A115" t="s">
        <v>257</v>
      </c>
      <c r="B115" t="s">
        <v>46</v>
      </c>
      <c r="C115" t="s">
        <v>275</v>
      </c>
      <c r="D115">
        <v>528</v>
      </c>
      <c r="E115">
        <v>438</v>
      </c>
      <c r="F115">
        <v>966</v>
      </c>
      <c r="G115">
        <v>416</v>
      </c>
      <c r="H115">
        <v>424</v>
      </c>
      <c r="I115">
        <v>840</v>
      </c>
      <c r="J115">
        <v>39297</v>
      </c>
      <c r="K115">
        <v>2.4580000000000002</v>
      </c>
      <c r="L115">
        <v>2.1379999999999999</v>
      </c>
      <c r="M115">
        <v>37766</v>
      </c>
      <c r="N115">
        <v>2.5579999999999998</v>
      </c>
      <c r="O115">
        <v>2.2240000000000002</v>
      </c>
    </row>
    <row r="116" spans="1:15" x14ac:dyDescent="0.25">
      <c r="A116" t="s">
        <v>257</v>
      </c>
      <c r="B116" t="s">
        <v>47</v>
      </c>
      <c r="C116" t="s">
        <v>276</v>
      </c>
      <c r="D116">
        <v>768</v>
      </c>
      <c r="E116">
        <v>1016</v>
      </c>
      <c r="F116">
        <v>1784</v>
      </c>
      <c r="G116">
        <v>709</v>
      </c>
      <c r="H116">
        <v>647</v>
      </c>
      <c r="I116">
        <v>1356</v>
      </c>
      <c r="J116">
        <v>44454</v>
      </c>
      <c r="K116">
        <v>4.0129999999999999</v>
      </c>
      <c r="L116">
        <v>3.05</v>
      </c>
      <c r="M116">
        <v>41961</v>
      </c>
      <c r="N116">
        <v>4.2519999999999998</v>
      </c>
      <c r="O116">
        <v>3.2320000000000002</v>
      </c>
    </row>
    <row r="117" spans="1:15" x14ac:dyDescent="0.25">
      <c r="A117" t="s">
        <v>257</v>
      </c>
      <c r="B117" t="s">
        <v>48</v>
      </c>
      <c r="C117" t="s">
        <v>271</v>
      </c>
      <c r="D117">
        <v>94</v>
      </c>
      <c r="E117">
        <v>249</v>
      </c>
      <c r="F117">
        <v>343</v>
      </c>
      <c r="G117">
        <v>95</v>
      </c>
      <c r="H117">
        <v>46</v>
      </c>
      <c r="I117">
        <v>141</v>
      </c>
      <c r="J117">
        <v>14599</v>
      </c>
      <c r="K117">
        <v>2.3490000000000002</v>
      </c>
      <c r="L117">
        <v>0.96599999999999997</v>
      </c>
      <c r="M117">
        <v>12951</v>
      </c>
      <c r="N117">
        <v>2.6480000000000001</v>
      </c>
      <c r="O117">
        <v>1.089</v>
      </c>
    </row>
    <row r="118" spans="1:15" x14ac:dyDescent="0.25">
      <c r="A118" t="s">
        <v>257</v>
      </c>
      <c r="B118" t="s">
        <v>49</v>
      </c>
      <c r="C118" t="s">
        <v>277</v>
      </c>
      <c r="D118">
        <v>905</v>
      </c>
      <c r="E118">
        <v>1053</v>
      </c>
      <c r="F118">
        <v>1958</v>
      </c>
      <c r="G118">
        <v>831</v>
      </c>
      <c r="H118">
        <v>575</v>
      </c>
      <c r="I118">
        <v>1406</v>
      </c>
      <c r="J118">
        <v>67800</v>
      </c>
      <c r="K118">
        <v>2.8879999999999999</v>
      </c>
      <c r="L118">
        <v>2.0739999999999998</v>
      </c>
      <c r="M118">
        <v>63440</v>
      </c>
      <c r="N118">
        <v>3.0859999999999999</v>
      </c>
      <c r="O118">
        <v>2.2160000000000002</v>
      </c>
    </row>
    <row r="119" spans="1:15" x14ac:dyDescent="0.25">
      <c r="A119" t="s">
        <v>257</v>
      </c>
      <c r="B119" t="s">
        <v>50</v>
      </c>
      <c r="C119" t="s">
        <v>294</v>
      </c>
      <c r="D119">
        <v>1400</v>
      </c>
      <c r="E119">
        <v>2084</v>
      </c>
      <c r="F119">
        <v>3484</v>
      </c>
      <c r="G119">
        <v>1722</v>
      </c>
      <c r="H119">
        <v>548</v>
      </c>
      <c r="I119">
        <v>2270</v>
      </c>
      <c r="J119">
        <v>153388</v>
      </c>
      <c r="K119">
        <v>2.2709999999999999</v>
      </c>
      <c r="L119">
        <v>1.48</v>
      </c>
      <c r="M119">
        <v>150364</v>
      </c>
      <c r="N119">
        <v>2.3170000000000002</v>
      </c>
      <c r="O119">
        <v>1.51</v>
      </c>
    </row>
    <row r="120" spans="1:15" x14ac:dyDescent="0.25">
      <c r="A120" t="s">
        <v>257</v>
      </c>
      <c r="B120" t="s">
        <v>51</v>
      </c>
      <c r="C120" t="s">
        <v>278</v>
      </c>
      <c r="D120">
        <v>116</v>
      </c>
      <c r="E120">
        <v>272</v>
      </c>
      <c r="F120">
        <v>388</v>
      </c>
      <c r="G120">
        <v>90</v>
      </c>
      <c r="H120">
        <v>90</v>
      </c>
      <c r="I120">
        <v>180</v>
      </c>
      <c r="J120">
        <v>11063</v>
      </c>
      <c r="K120">
        <v>3.5070000000000001</v>
      </c>
      <c r="L120">
        <v>1.627</v>
      </c>
      <c r="M120">
        <v>10256</v>
      </c>
      <c r="N120">
        <v>3.7829999999999999</v>
      </c>
      <c r="O120">
        <v>1.7549999999999999</v>
      </c>
    </row>
    <row r="121" spans="1:15" x14ac:dyDescent="0.25">
      <c r="A121" t="s">
        <v>257</v>
      </c>
      <c r="B121" t="s">
        <v>52</v>
      </c>
      <c r="C121" t="s">
        <v>279</v>
      </c>
      <c r="D121">
        <v>466</v>
      </c>
      <c r="E121">
        <v>1489</v>
      </c>
      <c r="F121">
        <v>1955</v>
      </c>
      <c r="G121">
        <v>375</v>
      </c>
      <c r="H121">
        <v>285</v>
      </c>
      <c r="I121">
        <v>660</v>
      </c>
      <c r="J121">
        <v>71347</v>
      </c>
      <c r="K121">
        <v>2.74</v>
      </c>
      <c r="L121">
        <v>0.92500000000000004</v>
      </c>
      <c r="M121">
        <v>67101</v>
      </c>
      <c r="N121">
        <v>2.9140000000000001</v>
      </c>
      <c r="O121">
        <v>0.98399999999999999</v>
      </c>
    </row>
    <row r="122" spans="1:15" x14ac:dyDescent="0.25">
      <c r="A122" t="s">
        <v>257</v>
      </c>
      <c r="B122" t="s">
        <v>53</v>
      </c>
      <c r="C122" t="s">
        <v>289</v>
      </c>
      <c r="D122">
        <v>1030</v>
      </c>
      <c r="E122">
        <v>1105</v>
      </c>
      <c r="F122">
        <v>2135</v>
      </c>
      <c r="G122">
        <v>905</v>
      </c>
      <c r="H122">
        <v>674</v>
      </c>
      <c r="I122">
        <v>1579</v>
      </c>
      <c r="J122">
        <v>85724</v>
      </c>
      <c r="K122">
        <v>2.4910000000000001</v>
      </c>
      <c r="L122">
        <v>1.8420000000000001</v>
      </c>
      <c r="M122">
        <v>84025</v>
      </c>
      <c r="N122">
        <v>2.5409999999999999</v>
      </c>
      <c r="O122">
        <v>1.879</v>
      </c>
    </row>
    <row r="123" spans="1:15" x14ac:dyDescent="0.25">
      <c r="A123" t="s">
        <v>257</v>
      </c>
      <c r="B123" t="s">
        <v>54</v>
      </c>
      <c r="C123" t="s">
        <v>280</v>
      </c>
      <c r="D123">
        <v>1359</v>
      </c>
      <c r="E123">
        <v>1477</v>
      </c>
      <c r="F123">
        <v>2836</v>
      </c>
      <c r="G123">
        <v>832</v>
      </c>
      <c r="H123">
        <v>1288</v>
      </c>
      <c r="I123">
        <v>2120</v>
      </c>
      <c r="J123">
        <v>57940</v>
      </c>
      <c r="K123">
        <v>4.8949999999999996</v>
      </c>
      <c r="L123">
        <v>3.6589999999999998</v>
      </c>
      <c r="M123">
        <v>53787</v>
      </c>
      <c r="N123">
        <v>5.2729999999999997</v>
      </c>
      <c r="O123">
        <v>3.9409999999999998</v>
      </c>
    </row>
    <row r="124" spans="1:15" x14ac:dyDescent="0.25">
      <c r="A124" t="s">
        <v>257</v>
      </c>
      <c r="B124" t="s">
        <v>55</v>
      </c>
      <c r="C124" t="s">
        <v>281</v>
      </c>
      <c r="D124">
        <v>86</v>
      </c>
      <c r="E124">
        <v>283</v>
      </c>
      <c r="F124">
        <v>369</v>
      </c>
      <c r="G124">
        <v>90</v>
      </c>
      <c r="H124">
        <v>70</v>
      </c>
      <c r="I124">
        <v>160</v>
      </c>
      <c r="J124">
        <v>11109</v>
      </c>
      <c r="K124">
        <v>3.3220000000000001</v>
      </c>
      <c r="L124">
        <v>1.44</v>
      </c>
      <c r="M124">
        <v>10283</v>
      </c>
      <c r="N124">
        <v>3.5880000000000001</v>
      </c>
      <c r="O124">
        <v>1.556</v>
      </c>
    </row>
    <row r="125" spans="1:15" x14ac:dyDescent="0.25">
      <c r="A125" t="s">
        <v>257</v>
      </c>
      <c r="B125" t="s">
        <v>56</v>
      </c>
      <c r="C125" t="s">
        <v>282</v>
      </c>
      <c r="D125">
        <v>691</v>
      </c>
      <c r="E125">
        <v>784</v>
      </c>
      <c r="F125">
        <v>1475</v>
      </c>
      <c r="G125">
        <v>697</v>
      </c>
      <c r="H125">
        <v>405</v>
      </c>
      <c r="I125">
        <v>1102</v>
      </c>
      <c r="J125">
        <v>54942</v>
      </c>
      <c r="K125">
        <v>2.6850000000000001</v>
      </c>
      <c r="L125">
        <v>2.0059999999999998</v>
      </c>
      <c r="M125">
        <v>51923</v>
      </c>
      <c r="N125">
        <v>2.8410000000000002</v>
      </c>
      <c r="O125">
        <v>2.1219999999999999</v>
      </c>
    </row>
    <row r="126" spans="1:15" x14ac:dyDescent="0.25">
      <c r="A126" t="s">
        <v>257</v>
      </c>
      <c r="B126" t="s">
        <v>57</v>
      </c>
      <c r="C126" t="s">
        <v>283</v>
      </c>
      <c r="D126">
        <v>1304</v>
      </c>
      <c r="E126">
        <v>2091</v>
      </c>
      <c r="F126">
        <v>3395</v>
      </c>
      <c r="G126">
        <v>1516</v>
      </c>
      <c r="H126">
        <v>593</v>
      </c>
      <c r="I126">
        <v>2109</v>
      </c>
      <c r="J126">
        <v>148771</v>
      </c>
      <c r="K126">
        <v>2.282</v>
      </c>
      <c r="L126">
        <v>1.4179999999999999</v>
      </c>
      <c r="M126">
        <v>144148</v>
      </c>
      <c r="N126">
        <v>2.355</v>
      </c>
      <c r="O126">
        <v>1.4630000000000001</v>
      </c>
    </row>
    <row r="127" spans="1:15" x14ac:dyDescent="0.25">
      <c r="A127" t="s">
        <v>257</v>
      </c>
      <c r="B127" t="s">
        <v>58</v>
      </c>
      <c r="C127" t="s">
        <v>284</v>
      </c>
      <c r="D127">
        <v>336</v>
      </c>
      <c r="E127">
        <v>720</v>
      </c>
      <c r="F127">
        <v>1056</v>
      </c>
      <c r="G127">
        <v>334</v>
      </c>
      <c r="H127">
        <v>201</v>
      </c>
      <c r="I127">
        <v>535</v>
      </c>
      <c r="J127">
        <v>40998</v>
      </c>
      <c r="K127">
        <v>2.5760000000000001</v>
      </c>
      <c r="L127">
        <v>1.3049999999999999</v>
      </c>
      <c r="M127">
        <v>38951</v>
      </c>
      <c r="N127">
        <v>2.7109999999999999</v>
      </c>
      <c r="O127">
        <v>1.3740000000000001</v>
      </c>
    </row>
    <row r="128" spans="1:15" x14ac:dyDescent="0.25">
      <c r="A128" t="s">
        <v>257</v>
      </c>
      <c r="B128" t="s">
        <v>59</v>
      </c>
      <c r="C128" t="s">
        <v>290</v>
      </c>
      <c r="D128">
        <v>558</v>
      </c>
      <c r="E128">
        <v>1036</v>
      </c>
      <c r="F128">
        <v>1594</v>
      </c>
      <c r="G128">
        <v>620</v>
      </c>
      <c r="H128">
        <v>238</v>
      </c>
      <c r="I128">
        <v>858</v>
      </c>
      <c r="J128">
        <v>45104</v>
      </c>
      <c r="K128">
        <v>3.5339999999999998</v>
      </c>
      <c r="L128">
        <v>1.9020000000000001</v>
      </c>
      <c r="M128">
        <v>42657</v>
      </c>
      <c r="N128">
        <v>3.7370000000000001</v>
      </c>
      <c r="O128">
        <v>2.0110000000000001</v>
      </c>
    </row>
    <row r="129" spans="1:15" x14ac:dyDescent="0.25">
      <c r="A129" t="s">
        <v>257</v>
      </c>
      <c r="B129" t="s">
        <v>60</v>
      </c>
      <c r="C129" t="s">
        <v>291</v>
      </c>
      <c r="D129">
        <v>972</v>
      </c>
      <c r="E129">
        <v>766</v>
      </c>
      <c r="F129">
        <v>1738</v>
      </c>
      <c r="G129">
        <v>837</v>
      </c>
      <c r="H129">
        <v>665</v>
      </c>
      <c r="I129">
        <v>1502</v>
      </c>
      <c r="J129">
        <v>78604</v>
      </c>
      <c r="K129">
        <v>2.2109999999999999</v>
      </c>
      <c r="L129">
        <v>1.911</v>
      </c>
      <c r="M129">
        <v>76630</v>
      </c>
      <c r="N129">
        <v>2.2679999999999998</v>
      </c>
      <c r="O129">
        <v>1.96</v>
      </c>
    </row>
    <row r="130" spans="1:15" x14ac:dyDescent="0.25">
      <c r="A130" t="s">
        <v>240</v>
      </c>
      <c r="B130" t="s">
        <v>31</v>
      </c>
      <c r="C130" t="s">
        <v>285</v>
      </c>
      <c r="D130">
        <v>478</v>
      </c>
      <c r="E130">
        <v>1669</v>
      </c>
      <c r="F130">
        <v>2147</v>
      </c>
      <c r="G130">
        <v>432</v>
      </c>
      <c r="H130">
        <v>260</v>
      </c>
      <c r="I130">
        <v>692</v>
      </c>
      <c r="J130">
        <v>116821</v>
      </c>
      <c r="K130">
        <v>1.8380000000000001</v>
      </c>
      <c r="L130">
        <v>0.59199999999999997</v>
      </c>
      <c r="M130">
        <v>106802</v>
      </c>
      <c r="N130">
        <v>2.0099999999999998</v>
      </c>
      <c r="O130">
        <v>0.64800000000000002</v>
      </c>
    </row>
    <row r="131" spans="1:15" x14ac:dyDescent="0.25">
      <c r="A131" t="s">
        <v>240</v>
      </c>
      <c r="B131" t="s">
        <v>32</v>
      </c>
      <c r="C131" t="s">
        <v>286</v>
      </c>
      <c r="D131">
        <v>735</v>
      </c>
      <c r="E131">
        <v>1405</v>
      </c>
      <c r="F131">
        <v>2140</v>
      </c>
      <c r="G131">
        <v>828</v>
      </c>
      <c r="H131">
        <v>451</v>
      </c>
      <c r="I131">
        <v>1279</v>
      </c>
      <c r="J131">
        <v>117363</v>
      </c>
      <c r="K131">
        <v>1.823</v>
      </c>
      <c r="L131">
        <v>1.0900000000000001</v>
      </c>
      <c r="M131">
        <v>110941</v>
      </c>
      <c r="N131">
        <v>1.929</v>
      </c>
      <c r="O131">
        <v>1.153</v>
      </c>
    </row>
    <row r="132" spans="1:15" x14ac:dyDescent="0.25">
      <c r="A132" t="s">
        <v>240</v>
      </c>
      <c r="B132" t="s">
        <v>33</v>
      </c>
      <c r="C132" t="s">
        <v>292</v>
      </c>
      <c r="D132">
        <v>469</v>
      </c>
      <c r="E132">
        <v>1121</v>
      </c>
      <c r="F132">
        <v>1590</v>
      </c>
      <c r="G132">
        <v>434</v>
      </c>
      <c r="H132">
        <v>216</v>
      </c>
      <c r="I132">
        <v>650</v>
      </c>
      <c r="J132">
        <v>56135</v>
      </c>
      <c r="K132">
        <v>2.8319999999999999</v>
      </c>
      <c r="L132">
        <v>1.1579999999999999</v>
      </c>
      <c r="M132">
        <v>53627</v>
      </c>
      <c r="N132">
        <v>2.9649999999999999</v>
      </c>
      <c r="O132">
        <v>1.212</v>
      </c>
    </row>
    <row r="133" spans="1:15" x14ac:dyDescent="0.25">
      <c r="A133" t="s">
        <v>240</v>
      </c>
      <c r="B133" t="s">
        <v>34</v>
      </c>
      <c r="C133" t="s">
        <v>287</v>
      </c>
      <c r="D133">
        <v>650</v>
      </c>
      <c r="E133">
        <v>1030</v>
      </c>
      <c r="F133">
        <v>1680</v>
      </c>
      <c r="G133">
        <v>503</v>
      </c>
      <c r="H133">
        <v>462</v>
      </c>
      <c r="I133">
        <v>965</v>
      </c>
      <c r="J133">
        <v>47884</v>
      </c>
      <c r="K133">
        <v>3.508</v>
      </c>
      <c r="L133">
        <v>2.0150000000000001</v>
      </c>
      <c r="M133">
        <v>41455</v>
      </c>
      <c r="N133">
        <v>4.0529999999999999</v>
      </c>
      <c r="O133">
        <v>2.3279999999999998</v>
      </c>
    </row>
    <row r="134" spans="1:15" x14ac:dyDescent="0.25">
      <c r="A134" t="s">
        <v>240</v>
      </c>
      <c r="B134" t="s">
        <v>243</v>
      </c>
      <c r="C134" t="s">
        <v>288</v>
      </c>
      <c r="D134">
        <v>2302</v>
      </c>
      <c r="E134">
        <v>2297</v>
      </c>
      <c r="F134">
        <v>4599</v>
      </c>
      <c r="G134">
        <v>2309</v>
      </c>
      <c r="H134">
        <v>888</v>
      </c>
      <c r="I134">
        <v>3197</v>
      </c>
      <c r="J134">
        <v>246818</v>
      </c>
      <c r="K134">
        <v>1.863</v>
      </c>
      <c r="L134">
        <v>1.2949999999999999</v>
      </c>
      <c r="M134">
        <v>233369</v>
      </c>
      <c r="N134">
        <v>1.9710000000000001</v>
      </c>
      <c r="O134">
        <v>1.37</v>
      </c>
    </row>
    <row r="135" spans="1:15" x14ac:dyDescent="0.25">
      <c r="A135" t="s">
        <v>240</v>
      </c>
      <c r="B135" t="s">
        <v>35</v>
      </c>
      <c r="C135" t="s">
        <v>266</v>
      </c>
      <c r="D135">
        <v>205</v>
      </c>
      <c r="E135">
        <v>360</v>
      </c>
      <c r="F135">
        <v>565</v>
      </c>
      <c r="G135">
        <v>233</v>
      </c>
      <c r="H135">
        <v>85</v>
      </c>
      <c r="I135">
        <v>318</v>
      </c>
      <c r="J135">
        <v>24377</v>
      </c>
      <c r="K135">
        <v>2.3180000000000001</v>
      </c>
      <c r="L135">
        <v>1.3049999999999999</v>
      </c>
      <c r="M135">
        <v>23563</v>
      </c>
      <c r="N135">
        <v>2.3980000000000001</v>
      </c>
      <c r="O135">
        <v>1.35</v>
      </c>
    </row>
    <row r="136" spans="1:15" x14ac:dyDescent="0.25">
      <c r="A136" t="s">
        <v>240</v>
      </c>
      <c r="B136" t="s">
        <v>36</v>
      </c>
      <c r="C136" t="s">
        <v>267</v>
      </c>
      <c r="D136">
        <v>1115</v>
      </c>
      <c r="E136">
        <v>835</v>
      </c>
      <c r="F136">
        <v>1950</v>
      </c>
      <c r="G136">
        <v>1083</v>
      </c>
      <c r="H136">
        <v>534</v>
      </c>
      <c r="I136">
        <v>1617</v>
      </c>
      <c r="J136">
        <v>74687</v>
      </c>
      <c r="K136">
        <v>2.6109999999999998</v>
      </c>
      <c r="L136">
        <v>2.165</v>
      </c>
      <c r="M136">
        <v>69503</v>
      </c>
      <c r="N136">
        <v>2.806</v>
      </c>
      <c r="O136">
        <v>2.327</v>
      </c>
    </row>
    <row r="137" spans="1:15" x14ac:dyDescent="0.25">
      <c r="A137" t="s">
        <v>240</v>
      </c>
      <c r="B137" t="s">
        <v>37</v>
      </c>
      <c r="C137" t="s">
        <v>293</v>
      </c>
      <c r="D137">
        <v>661</v>
      </c>
      <c r="E137">
        <v>2303</v>
      </c>
      <c r="F137">
        <v>2964</v>
      </c>
      <c r="G137">
        <v>624</v>
      </c>
      <c r="H137">
        <v>289</v>
      </c>
      <c r="I137">
        <v>913</v>
      </c>
      <c r="J137">
        <v>74354</v>
      </c>
      <c r="K137">
        <v>3.9859999999999998</v>
      </c>
      <c r="L137">
        <v>1.228</v>
      </c>
      <c r="M137">
        <v>70049</v>
      </c>
      <c r="N137">
        <v>4.2309999999999999</v>
      </c>
      <c r="O137">
        <v>1.3029999999999999</v>
      </c>
    </row>
    <row r="138" spans="1:15" x14ac:dyDescent="0.25">
      <c r="A138" t="s">
        <v>240</v>
      </c>
      <c r="B138" t="s">
        <v>38</v>
      </c>
      <c r="C138" t="s">
        <v>268</v>
      </c>
      <c r="D138">
        <v>485</v>
      </c>
      <c r="E138">
        <v>664</v>
      </c>
      <c r="F138">
        <v>1149</v>
      </c>
      <c r="G138">
        <v>538</v>
      </c>
      <c r="H138">
        <v>276</v>
      </c>
      <c r="I138">
        <v>814</v>
      </c>
      <c r="J138">
        <v>58158</v>
      </c>
      <c r="K138">
        <v>1.976</v>
      </c>
      <c r="L138">
        <v>1.4</v>
      </c>
      <c r="M138">
        <v>54873</v>
      </c>
      <c r="N138">
        <v>2.0939999999999999</v>
      </c>
      <c r="O138">
        <v>1.4830000000000001</v>
      </c>
    </row>
    <row r="139" spans="1:15" x14ac:dyDescent="0.25">
      <c r="A139" t="s">
        <v>240</v>
      </c>
      <c r="B139" t="s">
        <v>39</v>
      </c>
      <c r="C139" t="s">
        <v>295</v>
      </c>
      <c r="D139">
        <v>721</v>
      </c>
      <c r="E139">
        <v>684</v>
      </c>
      <c r="F139">
        <v>1405</v>
      </c>
      <c r="G139">
        <v>764</v>
      </c>
      <c r="H139">
        <v>348</v>
      </c>
      <c r="I139">
        <v>1112</v>
      </c>
      <c r="J139">
        <v>46430</v>
      </c>
      <c r="K139">
        <v>3.0259999999999998</v>
      </c>
      <c r="L139">
        <v>2.395</v>
      </c>
      <c r="M139">
        <v>45690</v>
      </c>
      <c r="N139">
        <v>3.0750000000000002</v>
      </c>
      <c r="O139">
        <v>2.4340000000000002</v>
      </c>
    </row>
    <row r="140" spans="1:15" x14ac:dyDescent="0.25">
      <c r="A140" t="s">
        <v>240</v>
      </c>
      <c r="B140" t="s">
        <v>40</v>
      </c>
      <c r="C140" t="s">
        <v>269</v>
      </c>
      <c r="D140">
        <v>540</v>
      </c>
      <c r="E140">
        <v>494</v>
      </c>
      <c r="F140">
        <v>1034</v>
      </c>
      <c r="G140">
        <v>544</v>
      </c>
      <c r="H140">
        <v>339</v>
      </c>
      <c r="I140">
        <v>883</v>
      </c>
      <c r="J140">
        <v>47407</v>
      </c>
      <c r="K140">
        <v>2.181</v>
      </c>
      <c r="L140">
        <v>1.863</v>
      </c>
      <c r="M140">
        <v>45301</v>
      </c>
      <c r="N140">
        <v>2.2829999999999999</v>
      </c>
      <c r="O140">
        <v>1.9489999999999998</v>
      </c>
    </row>
    <row r="141" spans="1:15" x14ac:dyDescent="0.25">
      <c r="A141" t="s">
        <v>240</v>
      </c>
      <c r="B141" t="s">
        <v>41</v>
      </c>
      <c r="C141" t="s">
        <v>270</v>
      </c>
      <c r="D141">
        <v>604</v>
      </c>
      <c r="E141">
        <v>662</v>
      </c>
      <c r="F141">
        <v>1266</v>
      </c>
      <c r="G141">
        <v>700</v>
      </c>
      <c r="H141">
        <v>194</v>
      </c>
      <c r="I141">
        <v>894</v>
      </c>
      <c r="J141">
        <v>38677</v>
      </c>
      <c r="K141">
        <v>3.2730000000000001</v>
      </c>
      <c r="L141">
        <v>2.3109999999999999</v>
      </c>
      <c r="M141">
        <v>38899</v>
      </c>
      <c r="N141">
        <v>3.2549999999999999</v>
      </c>
      <c r="O141">
        <v>2.298</v>
      </c>
    </row>
    <row r="142" spans="1:15" x14ac:dyDescent="0.25">
      <c r="A142" t="s">
        <v>240</v>
      </c>
      <c r="B142" t="s">
        <v>42</v>
      </c>
      <c r="C142" t="s">
        <v>272</v>
      </c>
      <c r="D142">
        <v>512</v>
      </c>
      <c r="E142">
        <v>1083</v>
      </c>
      <c r="F142">
        <v>1595</v>
      </c>
      <c r="G142">
        <v>530</v>
      </c>
      <c r="H142">
        <v>280</v>
      </c>
      <c r="I142">
        <v>810</v>
      </c>
      <c r="J142">
        <v>74361</v>
      </c>
      <c r="K142">
        <v>2.145</v>
      </c>
      <c r="L142">
        <v>1.089</v>
      </c>
      <c r="M142">
        <v>71800</v>
      </c>
      <c r="N142">
        <v>2.2210000000000001</v>
      </c>
      <c r="O142">
        <v>1.1280000000000001</v>
      </c>
    </row>
    <row r="143" spans="1:15" x14ac:dyDescent="0.25">
      <c r="A143" t="s">
        <v>240</v>
      </c>
      <c r="B143" t="s">
        <v>43</v>
      </c>
      <c r="C143" t="s">
        <v>388</v>
      </c>
      <c r="D143">
        <v>3137</v>
      </c>
      <c r="E143">
        <v>3401</v>
      </c>
      <c r="F143">
        <v>6538</v>
      </c>
      <c r="G143">
        <v>3292</v>
      </c>
      <c r="H143">
        <v>1655</v>
      </c>
      <c r="I143">
        <v>4947</v>
      </c>
      <c r="J143">
        <v>175915</v>
      </c>
      <c r="K143">
        <v>3.7170000000000001</v>
      </c>
      <c r="L143">
        <v>2.8120000000000003</v>
      </c>
      <c r="M143">
        <v>166960</v>
      </c>
      <c r="N143">
        <v>3.9159999999999999</v>
      </c>
      <c r="O143">
        <v>2.9630000000000001</v>
      </c>
    </row>
    <row r="144" spans="1:15" x14ac:dyDescent="0.25">
      <c r="A144" t="s">
        <v>240</v>
      </c>
      <c r="B144" t="s">
        <v>117</v>
      </c>
      <c r="C144" t="s">
        <v>296</v>
      </c>
      <c r="D144">
        <v>2973</v>
      </c>
      <c r="E144">
        <v>5059</v>
      </c>
      <c r="F144">
        <v>8032</v>
      </c>
      <c r="G144">
        <v>3089</v>
      </c>
      <c r="H144">
        <v>982</v>
      </c>
      <c r="I144">
        <v>4071</v>
      </c>
      <c r="J144">
        <v>308293</v>
      </c>
      <c r="K144">
        <v>2.605</v>
      </c>
      <c r="L144">
        <v>1.32</v>
      </c>
      <c r="M144">
        <v>291115</v>
      </c>
      <c r="N144">
        <v>2.7589999999999999</v>
      </c>
      <c r="O144">
        <v>1.3980000000000001</v>
      </c>
    </row>
    <row r="145" spans="1:15" x14ac:dyDescent="0.25">
      <c r="A145" t="s">
        <v>240</v>
      </c>
      <c r="B145" t="s">
        <v>44</v>
      </c>
      <c r="C145" t="s">
        <v>273</v>
      </c>
      <c r="D145">
        <v>1288</v>
      </c>
      <c r="E145">
        <v>3927</v>
      </c>
      <c r="F145">
        <v>5215</v>
      </c>
      <c r="G145">
        <v>1385</v>
      </c>
      <c r="H145">
        <v>742</v>
      </c>
      <c r="I145">
        <v>2127</v>
      </c>
      <c r="J145">
        <v>117291</v>
      </c>
      <c r="K145">
        <v>4.4459999999999997</v>
      </c>
      <c r="L145">
        <v>1.8129999999999999</v>
      </c>
      <c r="M145">
        <v>108319</v>
      </c>
      <c r="N145">
        <v>4.8140000000000001</v>
      </c>
      <c r="O145">
        <v>1.964</v>
      </c>
    </row>
    <row r="146" spans="1:15" x14ac:dyDescent="0.25">
      <c r="A146" t="s">
        <v>240</v>
      </c>
      <c r="B146" t="s">
        <v>45</v>
      </c>
      <c r="C146" t="s">
        <v>274</v>
      </c>
      <c r="D146">
        <v>712</v>
      </c>
      <c r="E146">
        <v>762</v>
      </c>
      <c r="F146">
        <v>1474</v>
      </c>
      <c r="G146">
        <v>621</v>
      </c>
      <c r="H146">
        <v>402</v>
      </c>
      <c r="I146">
        <v>1023</v>
      </c>
      <c r="J146">
        <v>38848</v>
      </c>
      <c r="K146">
        <v>3.794</v>
      </c>
      <c r="L146">
        <v>2.633</v>
      </c>
      <c r="M146">
        <v>37651</v>
      </c>
      <c r="N146">
        <v>3.915</v>
      </c>
      <c r="O146">
        <v>2.7170000000000001</v>
      </c>
    </row>
    <row r="147" spans="1:15" x14ac:dyDescent="0.25">
      <c r="A147" t="s">
        <v>240</v>
      </c>
      <c r="B147" t="s">
        <v>46</v>
      </c>
      <c r="C147" t="s">
        <v>275</v>
      </c>
      <c r="D147">
        <v>489</v>
      </c>
      <c r="E147">
        <v>509</v>
      </c>
      <c r="F147">
        <v>998</v>
      </c>
      <c r="G147">
        <v>349</v>
      </c>
      <c r="H147">
        <v>448</v>
      </c>
      <c r="I147">
        <v>797</v>
      </c>
      <c r="J147">
        <v>39937</v>
      </c>
      <c r="K147">
        <v>2.4990000000000001</v>
      </c>
      <c r="L147">
        <v>1.996</v>
      </c>
      <c r="M147">
        <v>38557</v>
      </c>
      <c r="N147">
        <v>2.5880000000000001</v>
      </c>
      <c r="O147">
        <v>2.0670000000000002</v>
      </c>
    </row>
    <row r="148" spans="1:15" x14ac:dyDescent="0.25">
      <c r="A148" t="s">
        <v>240</v>
      </c>
      <c r="B148" t="s">
        <v>47</v>
      </c>
      <c r="C148" t="s">
        <v>276</v>
      </c>
      <c r="D148">
        <v>609</v>
      </c>
      <c r="E148">
        <v>826</v>
      </c>
      <c r="F148">
        <v>1435</v>
      </c>
      <c r="G148">
        <v>554</v>
      </c>
      <c r="H148">
        <v>522</v>
      </c>
      <c r="I148">
        <v>1076</v>
      </c>
      <c r="J148">
        <v>44838</v>
      </c>
      <c r="K148">
        <v>3.2</v>
      </c>
      <c r="L148">
        <v>2.4</v>
      </c>
      <c r="M148">
        <v>42269</v>
      </c>
      <c r="N148">
        <v>3.395</v>
      </c>
      <c r="O148">
        <v>2.5460000000000003</v>
      </c>
    </row>
    <row r="149" spans="1:15" x14ac:dyDescent="0.25">
      <c r="A149" t="s">
        <v>240</v>
      </c>
      <c r="B149" t="s">
        <v>48</v>
      </c>
      <c r="C149" t="s">
        <v>271</v>
      </c>
      <c r="D149">
        <v>125</v>
      </c>
      <c r="E149">
        <v>223</v>
      </c>
      <c r="F149">
        <v>348</v>
      </c>
      <c r="G149">
        <v>171</v>
      </c>
      <c r="H149">
        <v>11</v>
      </c>
      <c r="I149">
        <v>182</v>
      </c>
      <c r="J149">
        <v>14714</v>
      </c>
      <c r="K149">
        <v>2.3650000000000002</v>
      </c>
      <c r="L149">
        <v>1.2370000000000001</v>
      </c>
      <c r="M149">
        <v>12805</v>
      </c>
      <c r="N149">
        <v>2.718</v>
      </c>
      <c r="O149">
        <v>1.421</v>
      </c>
    </row>
    <row r="150" spans="1:15" x14ac:dyDescent="0.25">
      <c r="A150" t="s">
        <v>240</v>
      </c>
      <c r="B150" t="s">
        <v>49</v>
      </c>
      <c r="C150" t="s">
        <v>277</v>
      </c>
      <c r="D150">
        <v>805</v>
      </c>
      <c r="E150">
        <v>932</v>
      </c>
      <c r="F150">
        <v>1737</v>
      </c>
      <c r="G150">
        <v>822</v>
      </c>
      <c r="H150">
        <v>457</v>
      </c>
      <c r="I150">
        <v>1279</v>
      </c>
      <c r="J150">
        <v>67960</v>
      </c>
      <c r="K150">
        <v>2.556</v>
      </c>
      <c r="L150">
        <v>1.8820000000000001</v>
      </c>
      <c r="M150">
        <v>63756</v>
      </c>
      <c r="N150">
        <v>2.7240000000000002</v>
      </c>
      <c r="O150">
        <v>2.0059999999999998</v>
      </c>
    </row>
    <row r="151" spans="1:15" x14ac:dyDescent="0.25">
      <c r="A151" t="s">
        <v>240</v>
      </c>
      <c r="B151" t="s">
        <v>50</v>
      </c>
      <c r="C151" t="s">
        <v>294</v>
      </c>
      <c r="D151">
        <v>1327</v>
      </c>
      <c r="E151">
        <v>1990</v>
      </c>
      <c r="F151">
        <v>3317</v>
      </c>
      <c r="G151">
        <v>1744</v>
      </c>
      <c r="H151">
        <v>446</v>
      </c>
      <c r="I151">
        <v>2190</v>
      </c>
      <c r="J151">
        <v>154286</v>
      </c>
      <c r="K151">
        <v>2.15</v>
      </c>
      <c r="L151">
        <v>1.419</v>
      </c>
      <c r="M151">
        <v>151155</v>
      </c>
      <c r="N151">
        <v>2.194</v>
      </c>
      <c r="O151">
        <v>1.4490000000000001</v>
      </c>
    </row>
    <row r="152" spans="1:15" x14ac:dyDescent="0.25">
      <c r="A152" t="s">
        <v>240</v>
      </c>
      <c r="B152" t="s">
        <v>51</v>
      </c>
      <c r="C152" t="s">
        <v>278</v>
      </c>
      <c r="D152">
        <v>126</v>
      </c>
      <c r="E152">
        <v>250</v>
      </c>
      <c r="F152">
        <v>376</v>
      </c>
      <c r="G152">
        <v>88</v>
      </c>
      <c r="H152">
        <v>105</v>
      </c>
      <c r="I152">
        <v>193</v>
      </c>
      <c r="J152">
        <v>11192</v>
      </c>
      <c r="K152">
        <v>3.36</v>
      </c>
      <c r="L152">
        <v>1.724</v>
      </c>
      <c r="M152">
        <v>10385</v>
      </c>
      <c r="N152">
        <v>3.621</v>
      </c>
      <c r="O152">
        <v>1.8580000000000001</v>
      </c>
    </row>
    <row r="153" spans="1:15" x14ac:dyDescent="0.25">
      <c r="A153" t="s">
        <v>240</v>
      </c>
      <c r="B153" t="s">
        <v>52</v>
      </c>
      <c r="C153" t="s">
        <v>279</v>
      </c>
      <c r="D153">
        <v>484</v>
      </c>
      <c r="E153">
        <v>1014</v>
      </c>
      <c r="F153">
        <v>1498</v>
      </c>
      <c r="G153">
        <v>451</v>
      </c>
      <c r="H153">
        <v>265</v>
      </c>
      <c r="I153">
        <v>716</v>
      </c>
      <c r="J153">
        <v>71810</v>
      </c>
      <c r="K153">
        <v>2.0859999999999999</v>
      </c>
      <c r="L153">
        <v>0.997</v>
      </c>
      <c r="M153">
        <v>67618</v>
      </c>
      <c r="N153">
        <v>2.2149999999999999</v>
      </c>
      <c r="O153">
        <v>1.0589999999999999</v>
      </c>
    </row>
    <row r="154" spans="1:15" x14ac:dyDescent="0.25">
      <c r="A154" t="s">
        <v>240</v>
      </c>
      <c r="B154" t="s">
        <v>53</v>
      </c>
      <c r="C154" t="s">
        <v>289</v>
      </c>
      <c r="D154">
        <v>1137</v>
      </c>
      <c r="E154">
        <v>1411</v>
      </c>
      <c r="F154">
        <v>2548</v>
      </c>
      <c r="G154">
        <v>1077</v>
      </c>
      <c r="H154">
        <v>656</v>
      </c>
      <c r="I154">
        <v>1733</v>
      </c>
      <c r="J154">
        <v>86449</v>
      </c>
      <c r="K154">
        <v>2.9470000000000001</v>
      </c>
      <c r="L154">
        <v>2.0049999999999999</v>
      </c>
      <c r="M154">
        <v>84938</v>
      </c>
      <c r="N154">
        <v>3</v>
      </c>
      <c r="O154">
        <v>2.04</v>
      </c>
    </row>
    <row r="155" spans="1:15" x14ac:dyDescent="0.25">
      <c r="A155" t="s">
        <v>240</v>
      </c>
      <c r="B155" t="s">
        <v>54</v>
      </c>
      <c r="C155" t="s">
        <v>280</v>
      </c>
      <c r="D155">
        <v>1121</v>
      </c>
      <c r="E155">
        <v>1263</v>
      </c>
      <c r="F155">
        <v>2384</v>
      </c>
      <c r="G155">
        <v>779</v>
      </c>
      <c r="H155">
        <v>941</v>
      </c>
      <c r="I155">
        <v>1720</v>
      </c>
      <c r="J155">
        <v>58167</v>
      </c>
      <c r="K155">
        <v>4.0990000000000002</v>
      </c>
      <c r="L155">
        <v>2.9569999999999999</v>
      </c>
      <c r="M155">
        <v>54306</v>
      </c>
      <c r="N155">
        <v>4.3899999999999997</v>
      </c>
      <c r="O155">
        <v>3.1669999999999998</v>
      </c>
    </row>
    <row r="156" spans="1:15" x14ac:dyDescent="0.25">
      <c r="A156" t="s">
        <v>240</v>
      </c>
      <c r="B156" t="s">
        <v>55</v>
      </c>
      <c r="C156" t="s">
        <v>281</v>
      </c>
      <c r="D156">
        <v>113</v>
      </c>
      <c r="E156">
        <v>212</v>
      </c>
      <c r="F156">
        <v>325</v>
      </c>
      <c r="G156">
        <v>128</v>
      </c>
      <c r="H156">
        <v>76</v>
      </c>
      <c r="I156">
        <v>204</v>
      </c>
      <c r="J156">
        <v>11180</v>
      </c>
      <c r="K156">
        <v>2.907</v>
      </c>
      <c r="L156">
        <v>1.825</v>
      </c>
      <c r="M156">
        <v>10341</v>
      </c>
      <c r="N156">
        <v>3.1429999999999998</v>
      </c>
      <c r="O156">
        <v>1.9729999999999999</v>
      </c>
    </row>
    <row r="157" spans="1:15" x14ac:dyDescent="0.25">
      <c r="A157" t="s">
        <v>240</v>
      </c>
      <c r="B157" t="s">
        <v>56</v>
      </c>
      <c r="C157" t="s">
        <v>282</v>
      </c>
      <c r="D157">
        <v>543</v>
      </c>
      <c r="E157">
        <v>765</v>
      </c>
      <c r="F157">
        <v>1308</v>
      </c>
      <c r="G157">
        <v>559</v>
      </c>
      <c r="H157">
        <v>334</v>
      </c>
      <c r="I157">
        <v>893</v>
      </c>
      <c r="J157">
        <v>55252</v>
      </c>
      <c r="K157">
        <v>2.367</v>
      </c>
      <c r="L157">
        <v>1.6160000000000001</v>
      </c>
      <c r="M157">
        <v>52104</v>
      </c>
      <c r="N157">
        <v>2.5099999999999998</v>
      </c>
      <c r="O157">
        <v>1.714</v>
      </c>
    </row>
    <row r="158" spans="1:15" x14ac:dyDescent="0.25">
      <c r="A158" t="s">
        <v>240</v>
      </c>
      <c r="B158" t="s">
        <v>57</v>
      </c>
      <c r="C158" t="s">
        <v>283</v>
      </c>
      <c r="D158">
        <v>1336</v>
      </c>
      <c r="E158">
        <v>2180</v>
      </c>
      <c r="F158">
        <v>3516</v>
      </c>
      <c r="G158">
        <v>1607</v>
      </c>
      <c r="H158">
        <v>503</v>
      </c>
      <c r="I158">
        <v>2110</v>
      </c>
      <c r="J158">
        <v>149972</v>
      </c>
      <c r="K158">
        <v>2.3439999999999999</v>
      </c>
      <c r="L158">
        <v>1.407</v>
      </c>
      <c r="M158">
        <v>145182</v>
      </c>
      <c r="N158">
        <v>2.4220000000000002</v>
      </c>
      <c r="O158">
        <v>1.4530000000000001</v>
      </c>
    </row>
    <row r="159" spans="1:15" x14ac:dyDescent="0.25">
      <c r="A159" t="s">
        <v>240</v>
      </c>
      <c r="B159" t="s">
        <v>58</v>
      </c>
      <c r="C159" t="s">
        <v>284</v>
      </c>
      <c r="D159">
        <v>335</v>
      </c>
      <c r="E159">
        <v>625</v>
      </c>
      <c r="F159">
        <v>960</v>
      </c>
      <c r="G159">
        <v>315</v>
      </c>
      <c r="H159">
        <v>213</v>
      </c>
      <c r="I159">
        <v>528</v>
      </c>
      <c r="J159">
        <v>41250</v>
      </c>
      <c r="K159">
        <v>2.327</v>
      </c>
      <c r="L159">
        <v>1.28</v>
      </c>
      <c r="M159">
        <v>39285</v>
      </c>
      <c r="N159">
        <v>2.444</v>
      </c>
      <c r="O159">
        <v>1.3439999999999999</v>
      </c>
    </row>
    <row r="160" spans="1:15" x14ac:dyDescent="0.25">
      <c r="A160" t="s">
        <v>240</v>
      </c>
      <c r="B160" t="s">
        <v>59</v>
      </c>
      <c r="C160" t="s">
        <v>290</v>
      </c>
      <c r="D160">
        <v>654</v>
      </c>
      <c r="E160">
        <v>1023</v>
      </c>
      <c r="F160">
        <v>1677</v>
      </c>
      <c r="G160">
        <v>714</v>
      </c>
      <c r="H160">
        <v>285</v>
      </c>
      <c r="I160">
        <v>999</v>
      </c>
      <c r="J160">
        <v>45093</v>
      </c>
      <c r="K160">
        <v>3.7189999999999999</v>
      </c>
      <c r="L160">
        <v>2.2149999999999999</v>
      </c>
      <c r="M160">
        <v>42746</v>
      </c>
      <c r="N160">
        <v>3.923</v>
      </c>
      <c r="O160">
        <v>2.3370000000000002</v>
      </c>
    </row>
    <row r="161" spans="1:15" x14ac:dyDescent="0.25">
      <c r="A161" t="s">
        <v>240</v>
      </c>
      <c r="B161" t="s">
        <v>60</v>
      </c>
      <c r="C161" t="s">
        <v>291</v>
      </c>
      <c r="D161">
        <v>963</v>
      </c>
      <c r="E161">
        <v>1092</v>
      </c>
      <c r="F161">
        <v>2055</v>
      </c>
      <c r="G161">
        <v>850</v>
      </c>
      <c r="H161">
        <v>604</v>
      </c>
      <c r="I161">
        <v>1454</v>
      </c>
      <c r="J161">
        <v>79112</v>
      </c>
      <c r="K161">
        <v>2.5979999999999999</v>
      </c>
      <c r="L161">
        <v>1.8380000000000001</v>
      </c>
      <c r="M161">
        <v>77369</v>
      </c>
      <c r="N161">
        <v>2.6560000000000001</v>
      </c>
      <c r="O161">
        <v>1.879</v>
      </c>
    </row>
    <row r="162" spans="1:15" x14ac:dyDescent="0.25">
      <c r="A162" t="s">
        <v>239</v>
      </c>
      <c r="B162" t="s">
        <v>31</v>
      </c>
      <c r="C162" t="s">
        <v>285</v>
      </c>
      <c r="D162">
        <v>569</v>
      </c>
      <c r="E162">
        <v>2176</v>
      </c>
      <c r="F162">
        <v>2745</v>
      </c>
      <c r="G162">
        <v>546</v>
      </c>
      <c r="H162">
        <v>278</v>
      </c>
      <c r="I162">
        <v>824</v>
      </c>
      <c r="J162">
        <v>118131</v>
      </c>
      <c r="K162">
        <v>2.3239999999999998</v>
      </c>
      <c r="L162">
        <v>0.69799999999999995</v>
      </c>
      <c r="M162">
        <v>107586</v>
      </c>
      <c r="N162">
        <v>2.5510000000000002</v>
      </c>
      <c r="O162">
        <v>0.76600000000000001</v>
      </c>
    </row>
    <row r="163" spans="1:15" x14ac:dyDescent="0.25">
      <c r="A163" t="s">
        <v>239</v>
      </c>
      <c r="B163" t="s">
        <v>32</v>
      </c>
      <c r="C163" t="s">
        <v>286</v>
      </c>
      <c r="D163">
        <v>564</v>
      </c>
      <c r="E163">
        <v>1206</v>
      </c>
      <c r="F163">
        <v>1770</v>
      </c>
      <c r="G163">
        <v>618</v>
      </c>
      <c r="H163">
        <v>336</v>
      </c>
      <c r="I163">
        <v>954</v>
      </c>
      <c r="J163">
        <v>118197</v>
      </c>
      <c r="K163">
        <v>1.4969999999999999</v>
      </c>
      <c r="L163">
        <v>0.80700000000000005</v>
      </c>
      <c r="M163">
        <v>111156</v>
      </c>
      <c r="N163">
        <v>1.5920000000000001</v>
      </c>
      <c r="O163">
        <v>0.85799999999999998</v>
      </c>
    </row>
    <row r="164" spans="1:15" x14ac:dyDescent="0.25">
      <c r="A164" t="s">
        <v>239</v>
      </c>
      <c r="B164" t="s">
        <v>33</v>
      </c>
      <c r="C164" t="s">
        <v>292</v>
      </c>
      <c r="D164">
        <v>429</v>
      </c>
      <c r="E164">
        <v>1339</v>
      </c>
      <c r="F164">
        <v>1768</v>
      </c>
      <c r="G164">
        <v>450</v>
      </c>
      <c r="H164">
        <v>177</v>
      </c>
      <c r="I164">
        <v>627</v>
      </c>
      <c r="J164">
        <v>56485</v>
      </c>
      <c r="K164">
        <v>3.13</v>
      </c>
      <c r="L164">
        <v>1.1100000000000001</v>
      </c>
      <c r="M164">
        <v>53888</v>
      </c>
      <c r="N164">
        <v>3.2810000000000001</v>
      </c>
      <c r="O164">
        <v>1.1639999999999999</v>
      </c>
    </row>
    <row r="165" spans="1:15" x14ac:dyDescent="0.25">
      <c r="A165" t="s">
        <v>239</v>
      </c>
      <c r="B165" t="s">
        <v>34</v>
      </c>
      <c r="C165" t="s">
        <v>287</v>
      </c>
      <c r="D165">
        <v>531</v>
      </c>
      <c r="E165">
        <v>939</v>
      </c>
      <c r="F165">
        <v>1470</v>
      </c>
      <c r="G165">
        <v>480</v>
      </c>
      <c r="H165">
        <v>351</v>
      </c>
      <c r="I165">
        <v>831</v>
      </c>
      <c r="J165">
        <v>48020</v>
      </c>
      <c r="K165">
        <v>3.0609999999999999</v>
      </c>
      <c r="L165">
        <v>1.7309999999999999</v>
      </c>
      <c r="M165">
        <v>41630</v>
      </c>
      <c r="N165">
        <v>3.5310000000000001</v>
      </c>
      <c r="O165">
        <v>1.996</v>
      </c>
    </row>
    <row r="166" spans="1:15" x14ac:dyDescent="0.25">
      <c r="A166" t="s">
        <v>239</v>
      </c>
      <c r="B166" t="s">
        <v>243</v>
      </c>
      <c r="C166" t="s">
        <v>288</v>
      </c>
      <c r="D166">
        <v>1893</v>
      </c>
      <c r="E166">
        <v>2567</v>
      </c>
      <c r="F166">
        <v>4460</v>
      </c>
      <c r="G166">
        <v>1882</v>
      </c>
      <c r="H166">
        <v>776</v>
      </c>
      <c r="I166">
        <v>2658</v>
      </c>
      <c r="J166">
        <v>249810</v>
      </c>
      <c r="K166">
        <v>1.7850000000000001</v>
      </c>
      <c r="L166">
        <v>1.0640000000000001</v>
      </c>
      <c r="M166">
        <v>235771</v>
      </c>
      <c r="N166">
        <v>1.8919999999999999</v>
      </c>
      <c r="O166">
        <v>1.127</v>
      </c>
    </row>
    <row r="167" spans="1:15" x14ac:dyDescent="0.25">
      <c r="A167" t="s">
        <v>239</v>
      </c>
      <c r="B167" t="s">
        <v>35</v>
      </c>
      <c r="C167" t="s">
        <v>266</v>
      </c>
      <c r="D167">
        <v>219</v>
      </c>
      <c r="E167">
        <v>372</v>
      </c>
      <c r="F167">
        <v>591</v>
      </c>
      <c r="G167">
        <v>235</v>
      </c>
      <c r="H167">
        <v>82</v>
      </c>
      <c r="I167">
        <v>317</v>
      </c>
      <c r="J167">
        <v>24524</v>
      </c>
      <c r="K167">
        <v>2.41</v>
      </c>
      <c r="L167">
        <v>1.2929999999999999</v>
      </c>
      <c r="M167">
        <v>23674</v>
      </c>
      <c r="N167">
        <v>2.496</v>
      </c>
      <c r="O167">
        <v>1.339</v>
      </c>
    </row>
    <row r="168" spans="1:15" x14ac:dyDescent="0.25">
      <c r="A168" t="s">
        <v>239</v>
      </c>
      <c r="B168" t="s">
        <v>36</v>
      </c>
      <c r="C168" t="s">
        <v>267</v>
      </c>
      <c r="D168">
        <v>1028</v>
      </c>
      <c r="E168">
        <v>721</v>
      </c>
      <c r="F168">
        <v>1749</v>
      </c>
      <c r="G168">
        <v>1107</v>
      </c>
      <c r="H168">
        <v>447</v>
      </c>
      <c r="I168">
        <v>1554</v>
      </c>
      <c r="J168">
        <v>74823</v>
      </c>
      <c r="K168">
        <v>2.3380000000000001</v>
      </c>
      <c r="L168">
        <v>2.077</v>
      </c>
      <c r="M168">
        <v>69586</v>
      </c>
      <c r="N168">
        <v>2.5129999999999999</v>
      </c>
      <c r="O168">
        <v>2.2330000000000001</v>
      </c>
    </row>
    <row r="169" spans="1:15" x14ac:dyDescent="0.25">
      <c r="A169" t="s">
        <v>239</v>
      </c>
      <c r="B169" t="s">
        <v>37</v>
      </c>
      <c r="C169" t="s">
        <v>293</v>
      </c>
      <c r="D169">
        <v>692</v>
      </c>
      <c r="E169">
        <v>2702</v>
      </c>
      <c r="F169">
        <v>3394</v>
      </c>
      <c r="G169">
        <v>680</v>
      </c>
      <c r="H169">
        <v>318</v>
      </c>
      <c r="I169">
        <v>998</v>
      </c>
      <c r="J169">
        <v>74531</v>
      </c>
      <c r="K169">
        <v>4.5540000000000003</v>
      </c>
      <c r="L169">
        <v>1.339</v>
      </c>
      <c r="M169">
        <v>70337</v>
      </c>
      <c r="N169">
        <v>4.8250000000000002</v>
      </c>
      <c r="O169">
        <v>1.419</v>
      </c>
    </row>
    <row r="170" spans="1:15" x14ac:dyDescent="0.25">
      <c r="A170" t="s">
        <v>239</v>
      </c>
      <c r="B170" t="s">
        <v>38</v>
      </c>
      <c r="C170" t="s">
        <v>268</v>
      </c>
      <c r="D170">
        <v>421</v>
      </c>
      <c r="E170">
        <v>656</v>
      </c>
      <c r="F170">
        <v>1077</v>
      </c>
      <c r="G170">
        <v>446</v>
      </c>
      <c r="H170">
        <v>251</v>
      </c>
      <c r="I170">
        <v>697</v>
      </c>
      <c r="J170">
        <v>58453</v>
      </c>
      <c r="K170">
        <v>1.843</v>
      </c>
      <c r="L170">
        <v>1.1919999999999999</v>
      </c>
      <c r="M170">
        <v>55107</v>
      </c>
      <c r="N170">
        <v>1.954</v>
      </c>
      <c r="O170">
        <v>1.2650000000000001</v>
      </c>
    </row>
    <row r="171" spans="1:15" x14ac:dyDescent="0.25">
      <c r="A171" t="s">
        <v>239</v>
      </c>
      <c r="B171" t="s">
        <v>39</v>
      </c>
      <c r="C171" t="s">
        <v>295</v>
      </c>
      <c r="D171">
        <v>653</v>
      </c>
      <c r="E171">
        <v>579</v>
      </c>
      <c r="F171">
        <v>1232</v>
      </c>
      <c r="G171">
        <v>755</v>
      </c>
      <c r="H171">
        <v>285</v>
      </c>
      <c r="I171">
        <v>1040</v>
      </c>
      <c r="J171">
        <v>46721</v>
      </c>
      <c r="K171">
        <v>2.637</v>
      </c>
      <c r="L171">
        <v>2.226</v>
      </c>
      <c r="M171">
        <v>46023</v>
      </c>
      <c r="N171">
        <v>2.677</v>
      </c>
      <c r="O171">
        <v>2.2599999999999998</v>
      </c>
    </row>
    <row r="172" spans="1:15" x14ac:dyDescent="0.25">
      <c r="A172" t="s">
        <v>239</v>
      </c>
      <c r="B172" t="s">
        <v>40</v>
      </c>
      <c r="C172" t="s">
        <v>269</v>
      </c>
      <c r="D172">
        <v>440</v>
      </c>
      <c r="E172">
        <v>524</v>
      </c>
      <c r="F172">
        <v>964</v>
      </c>
      <c r="G172">
        <v>530</v>
      </c>
      <c r="H172">
        <v>193</v>
      </c>
      <c r="I172">
        <v>723</v>
      </c>
      <c r="J172">
        <v>48055</v>
      </c>
      <c r="K172">
        <v>2.0059999999999998</v>
      </c>
      <c r="L172">
        <v>1.5049999999999999</v>
      </c>
      <c r="M172">
        <v>45975</v>
      </c>
      <c r="N172">
        <v>2.097</v>
      </c>
      <c r="O172">
        <v>1.573</v>
      </c>
    </row>
    <row r="173" spans="1:15" x14ac:dyDescent="0.25">
      <c r="A173" t="s">
        <v>239</v>
      </c>
      <c r="B173" t="s">
        <v>41</v>
      </c>
      <c r="C173" t="s">
        <v>270</v>
      </c>
      <c r="D173">
        <v>445</v>
      </c>
      <c r="E173">
        <v>651</v>
      </c>
      <c r="F173">
        <v>1096</v>
      </c>
      <c r="G173">
        <v>492</v>
      </c>
      <c r="H173">
        <v>194</v>
      </c>
      <c r="I173">
        <v>686</v>
      </c>
      <c r="J173">
        <v>38902</v>
      </c>
      <c r="K173">
        <v>2.8170000000000002</v>
      </c>
      <c r="L173">
        <v>1.7629999999999999</v>
      </c>
      <c r="M173">
        <v>39108</v>
      </c>
      <c r="N173">
        <v>2.802</v>
      </c>
      <c r="O173">
        <v>1.754</v>
      </c>
    </row>
    <row r="174" spans="1:15" x14ac:dyDescent="0.25">
      <c r="A174" t="s">
        <v>239</v>
      </c>
      <c r="B174" t="s">
        <v>42</v>
      </c>
      <c r="C174" t="s">
        <v>272</v>
      </c>
      <c r="D174">
        <v>533</v>
      </c>
      <c r="E174">
        <v>1326</v>
      </c>
      <c r="F174">
        <v>1859</v>
      </c>
      <c r="G174">
        <v>606</v>
      </c>
      <c r="H174">
        <v>192</v>
      </c>
      <c r="I174">
        <v>798</v>
      </c>
      <c r="J174">
        <v>74826</v>
      </c>
      <c r="K174">
        <v>2.484</v>
      </c>
      <c r="L174">
        <v>1.0660000000000001</v>
      </c>
      <c r="M174">
        <v>72267</v>
      </c>
      <c r="N174">
        <v>2.5720000000000001</v>
      </c>
      <c r="O174">
        <v>1.1040000000000001</v>
      </c>
    </row>
    <row r="175" spans="1:15" x14ac:dyDescent="0.25">
      <c r="A175" t="s">
        <v>239</v>
      </c>
      <c r="B175" t="s">
        <v>43</v>
      </c>
      <c r="C175" t="s">
        <v>388</v>
      </c>
      <c r="D175">
        <v>2778</v>
      </c>
      <c r="E175">
        <v>3429</v>
      </c>
      <c r="F175">
        <v>6207</v>
      </c>
      <c r="G175">
        <v>2925</v>
      </c>
      <c r="H175">
        <v>1478</v>
      </c>
      <c r="I175">
        <v>4403</v>
      </c>
      <c r="J175">
        <v>177084</v>
      </c>
      <c r="K175">
        <v>3.5049999999999999</v>
      </c>
      <c r="L175">
        <v>2.4859999999999998</v>
      </c>
      <c r="M175">
        <v>167944</v>
      </c>
      <c r="N175">
        <v>3.6959999999999997</v>
      </c>
      <c r="O175">
        <v>2.6219999999999999</v>
      </c>
    </row>
    <row r="176" spans="1:15" x14ac:dyDescent="0.25">
      <c r="A176" t="s">
        <v>239</v>
      </c>
      <c r="B176" t="s">
        <v>117</v>
      </c>
      <c r="C176" t="s">
        <v>296</v>
      </c>
      <c r="D176">
        <v>2993</v>
      </c>
      <c r="E176">
        <v>7060</v>
      </c>
      <c r="F176">
        <v>10053</v>
      </c>
      <c r="G176">
        <v>3265</v>
      </c>
      <c r="H176">
        <v>886</v>
      </c>
      <c r="I176">
        <v>4151</v>
      </c>
      <c r="J176">
        <v>311447</v>
      </c>
      <c r="K176">
        <v>3.2280000000000002</v>
      </c>
      <c r="L176">
        <v>1.333</v>
      </c>
      <c r="M176">
        <v>292619</v>
      </c>
      <c r="N176">
        <v>3.4359999999999999</v>
      </c>
      <c r="O176">
        <v>1.419</v>
      </c>
    </row>
    <row r="177" spans="1:15" x14ac:dyDescent="0.25">
      <c r="A177" t="s">
        <v>239</v>
      </c>
      <c r="B177" t="s">
        <v>44</v>
      </c>
      <c r="C177" t="s">
        <v>273</v>
      </c>
      <c r="D177">
        <v>813</v>
      </c>
      <c r="E177">
        <v>2969</v>
      </c>
      <c r="F177">
        <v>3782</v>
      </c>
      <c r="G177">
        <v>818</v>
      </c>
      <c r="H177">
        <v>537</v>
      </c>
      <c r="I177">
        <v>1355</v>
      </c>
      <c r="J177">
        <v>118117</v>
      </c>
      <c r="K177">
        <v>3.202</v>
      </c>
      <c r="L177">
        <v>1.147</v>
      </c>
      <c r="M177">
        <v>108878</v>
      </c>
      <c r="N177">
        <v>3.4740000000000002</v>
      </c>
      <c r="O177">
        <v>1.2450000000000001</v>
      </c>
    </row>
    <row r="178" spans="1:15" x14ac:dyDescent="0.25">
      <c r="A178" t="s">
        <v>239</v>
      </c>
      <c r="B178" t="s">
        <v>45</v>
      </c>
      <c r="C178" t="s">
        <v>274</v>
      </c>
      <c r="D178">
        <v>635</v>
      </c>
      <c r="E178">
        <v>894</v>
      </c>
      <c r="F178">
        <v>1529</v>
      </c>
      <c r="G178">
        <v>575</v>
      </c>
      <c r="H178">
        <v>360</v>
      </c>
      <c r="I178">
        <v>935</v>
      </c>
      <c r="J178">
        <v>38985</v>
      </c>
      <c r="K178">
        <v>3.9220000000000002</v>
      </c>
      <c r="L178">
        <v>2.3980000000000001</v>
      </c>
      <c r="M178">
        <v>37640</v>
      </c>
      <c r="N178">
        <v>4.0620000000000003</v>
      </c>
      <c r="O178">
        <v>2.484</v>
      </c>
    </row>
    <row r="179" spans="1:15" x14ac:dyDescent="0.25">
      <c r="A179" t="s">
        <v>239</v>
      </c>
      <c r="B179" t="s">
        <v>46</v>
      </c>
      <c r="C179" t="s">
        <v>275</v>
      </c>
      <c r="D179">
        <v>394</v>
      </c>
      <c r="E179">
        <v>606</v>
      </c>
      <c r="F179">
        <v>1000</v>
      </c>
      <c r="G179">
        <v>353</v>
      </c>
      <c r="H179">
        <v>267</v>
      </c>
      <c r="I179">
        <v>620</v>
      </c>
      <c r="J179">
        <v>40612</v>
      </c>
      <c r="K179">
        <v>2.4620000000000002</v>
      </c>
      <c r="L179">
        <v>1.5270000000000001</v>
      </c>
      <c r="M179">
        <v>39122</v>
      </c>
      <c r="N179">
        <v>2.556</v>
      </c>
      <c r="O179">
        <v>1.585</v>
      </c>
    </row>
    <row r="180" spans="1:15" x14ac:dyDescent="0.25">
      <c r="A180" t="s">
        <v>239</v>
      </c>
      <c r="B180" t="s">
        <v>47</v>
      </c>
      <c r="C180" t="s">
        <v>276</v>
      </c>
      <c r="D180">
        <v>516</v>
      </c>
      <c r="E180">
        <v>1149</v>
      </c>
      <c r="F180">
        <v>1665</v>
      </c>
      <c r="G180">
        <v>399</v>
      </c>
      <c r="H180">
        <v>473</v>
      </c>
      <c r="I180">
        <v>872</v>
      </c>
      <c r="J180">
        <v>45209</v>
      </c>
      <c r="K180">
        <v>3.6829999999999998</v>
      </c>
      <c r="L180">
        <v>1.929</v>
      </c>
      <c r="M180">
        <v>42554</v>
      </c>
      <c r="N180">
        <v>3.9130000000000003</v>
      </c>
      <c r="O180">
        <v>2.0489999999999999</v>
      </c>
    </row>
    <row r="181" spans="1:15" x14ac:dyDescent="0.25">
      <c r="A181" t="s">
        <v>239</v>
      </c>
      <c r="B181" t="s">
        <v>48</v>
      </c>
      <c r="C181" t="s">
        <v>271</v>
      </c>
      <c r="D181">
        <v>112</v>
      </c>
      <c r="E181">
        <v>274</v>
      </c>
      <c r="F181">
        <v>386</v>
      </c>
      <c r="G181">
        <v>132</v>
      </c>
      <c r="H181">
        <v>29</v>
      </c>
      <c r="I181">
        <v>161</v>
      </c>
      <c r="J181">
        <v>14706</v>
      </c>
      <c r="K181">
        <v>2.625</v>
      </c>
      <c r="L181">
        <v>1.095</v>
      </c>
      <c r="M181">
        <v>12773</v>
      </c>
      <c r="N181">
        <v>3.0219999999999998</v>
      </c>
      <c r="O181">
        <v>1.26</v>
      </c>
    </row>
    <row r="182" spans="1:15" x14ac:dyDescent="0.25">
      <c r="A182" t="s">
        <v>239</v>
      </c>
      <c r="B182" t="s">
        <v>49</v>
      </c>
      <c r="C182" t="s">
        <v>277</v>
      </c>
      <c r="D182">
        <v>701</v>
      </c>
      <c r="E182">
        <v>879</v>
      </c>
      <c r="F182">
        <v>1580</v>
      </c>
      <c r="G182">
        <v>725</v>
      </c>
      <c r="H182">
        <v>449</v>
      </c>
      <c r="I182">
        <v>1174</v>
      </c>
      <c r="J182">
        <v>68158</v>
      </c>
      <c r="K182">
        <v>2.3180000000000001</v>
      </c>
      <c r="L182">
        <v>1.722</v>
      </c>
      <c r="M182">
        <v>63935</v>
      </c>
      <c r="N182">
        <v>2.4710000000000001</v>
      </c>
      <c r="O182">
        <v>1.8359999999999999</v>
      </c>
    </row>
    <row r="183" spans="1:15" x14ac:dyDescent="0.25">
      <c r="A183" t="s">
        <v>239</v>
      </c>
      <c r="B183" t="s">
        <v>50</v>
      </c>
      <c r="C183" t="s">
        <v>294</v>
      </c>
      <c r="D183">
        <v>1248</v>
      </c>
      <c r="E183">
        <v>2019</v>
      </c>
      <c r="F183">
        <v>3267</v>
      </c>
      <c r="G183">
        <v>1614</v>
      </c>
      <c r="H183">
        <v>428</v>
      </c>
      <c r="I183">
        <v>2042</v>
      </c>
      <c r="J183">
        <v>155364</v>
      </c>
      <c r="K183">
        <v>2.1030000000000002</v>
      </c>
      <c r="L183">
        <v>1.3140000000000001</v>
      </c>
      <c r="M183">
        <v>151744</v>
      </c>
      <c r="N183">
        <v>2.153</v>
      </c>
      <c r="O183">
        <v>1.3460000000000001</v>
      </c>
    </row>
    <row r="184" spans="1:15" x14ac:dyDescent="0.25">
      <c r="A184" t="s">
        <v>239</v>
      </c>
      <c r="B184" t="s">
        <v>51</v>
      </c>
      <c r="C184" t="s">
        <v>278</v>
      </c>
      <c r="D184">
        <v>96</v>
      </c>
      <c r="E184">
        <v>194</v>
      </c>
      <c r="F184">
        <v>290</v>
      </c>
      <c r="G184">
        <v>82</v>
      </c>
      <c r="H184">
        <v>85</v>
      </c>
      <c r="I184">
        <v>167</v>
      </c>
      <c r="J184">
        <v>11261</v>
      </c>
      <c r="K184">
        <v>2.5750000000000002</v>
      </c>
      <c r="L184">
        <v>1.4830000000000001</v>
      </c>
      <c r="M184">
        <v>10506</v>
      </c>
      <c r="N184">
        <v>2.76</v>
      </c>
      <c r="O184">
        <v>1.5899999999999999</v>
      </c>
    </row>
    <row r="185" spans="1:15" x14ac:dyDescent="0.25">
      <c r="A185" t="s">
        <v>239</v>
      </c>
      <c r="B185" t="s">
        <v>52</v>
      </c>
      <c r="C185" t="s">
        <v>279</v>
      </c>
      <c r="D185">
        <v>385</v>
      </c>
      <c r="E185">
        <v>1084</v>
      </c>
      <c r="F185">
        <v>1469</v>
      </c>
      <c r="G185">
        <v>357</v>
      </c>
      <c r="H185">
        <v>249</v>
      </c>
      <c r="I185">
        <v>606</v>
      </c>
      <c r="J185">
        <v>72441</v>
      </c>
      <c r="K185">
        <v>2.028</v>
      </c>
      <c r="L185">
        <v>0.83699999999999997</v>
      </c>
      <c r="M185">
        <v>68196</v>
      </c>
      <c r="N185">
        <v>2.1539999999999999</v>
      </c>
      <c r="O185">
        <v>0.88900000000000001</v>
      </c>
    </row>
    <row r="186" spans="1:15" x14ac:dyDescent="0.25">
      <c r="A186" t="s">
        <v>239</v>
      </c>
      <c r="B186" t="s">
        <v>53</v>
      </c>
      <c r="C186" t="s">
        <v>289</v>
      </c>
      <c r="D186">
        <v>848</v>
      </c>
      <c r="E186">
        <v>1039</v>
      </c>
      <c r="F186">
        <v>1887</v>
      </c>
      <c r="G186">
        <v>803</v>
      </c>
      <c r="H186">
        <v>475</v>
      </c>
      <c r="I186">
        <v>1278</v>
      </c>
      <c r="J186">
        <v>87265</v>
      </c>
      <c r="K186">
        <v>2.1619999999999999</v>
      </c>
      <c r="L186">
        <v>1.4650000000000001</v>
      </c>
      <c r="M186">
        <v>85745</v>
      </c>
      <c r="N186">
        <v>2.2010000000000001</v>
      </c>
      <c r="O186">
        <v>1.49</v>
      </c>
    </row>
    <row r="187" spans="1:15" x14ac:dyDescent="0.25">
      <c r="A187" t="s">
        <v>239</v>
      </c>
      <c r="B187" t="s">
        <v>54</v>
      </c>
      <c r="C187" t="s">
        <v>280</v>
      </c>
      <c r="D187">
        <v>920</v>
      </c>
      <c r="E187">
        <v>1208</v>
      </c>
      <c r="F187">
        <v>2128</v>
      </c>
      <c r="G187">
        <v>740</v>
      </c>
      <c r="H187">
        <v>673</v>
      </c>
      <c r="I187">
        <v>1413</v>
      </c>
      <c r="J187">
        <v>58425</v>
      </c>
      <c r="K187">
        <v>3.6419999999999999</v>
      </c>
      <c r="L187">
        <v>2.4180000000000001</v>
      </c>
      <c r="M187">
        <v>54413</v>
      </c>
      <c r="N187">
        <v>3.911</v>
      </c>
      <c r="O187">
        <v>2.597</v>
      </c>
    </row>
    <row r="188" spans="1:15" x14ac:dyDescent="0.25">
      <c r="A188" t="s">
        <v>239</v>
      </c>
      <c r="B188" t="s">
        <v>55</v>
      </c>
      <c r="C188" t="s">
        <v>281</v>
      </c>
      <c r="D188">
        <v>87</v>
      </c>
      <c r="E188">
        <v>209</v>
      </c>
      <c r="F188">
        <v>296</v>
      </c>
      <c r="G188">
        <v>85</v>
      </c>
      <c r="H188">
        <v>74</v>
      </c>
      <c r="I188">
        <v>159</v>
      </c>
      <c r="J188">
        <v>11270</v>
      </c>
      <c r="K188">
        <v>2.6259999999999999</v>
      </c>
      <c r="L188">
        <v>1.411</v>
      </c>
      <c r="M188">
        <v>10384</v>
      </c>
      <c r="N188">
        <v>2.851</v>
      </c>
      <c r="O188">
        <v>1.5310000000000001</v>
      </c>
    </row>
    <row r="189" spans="1:15" x14ac:dyDescent="0.25">
      <c r="A189" t="s">
        <v>239</v>
      </c>
      <c r="B189" t="s">
        <v>56</v>
      </c>
      <c r="C189" t="s">
        <v>282</v>
      </c>
      <c r="D189">
        <v>437</v>
      </c>
      <c r="E189">
        <v>687</v>
      </c>
      <c r="F189">
        <v>1124</v>
      </c>
      <c r="G189">
        <v>531</v>
      </c>
      <c r="H189">
        <v>204</v>
      </c>
      <c r="I189">
        <v>735</v>
      </c>
      <c r="J189">
        <v>55486</v>
      </c>
      <c r="K189">
        <v>2.0259999999999998</v>
      </c>
      <c r="L189">
        <v>1.325</v>
      </c>
      <c r="M189">
        <v>52281</v>
      </c>
      <c r="N189">
        <v>2.15</v>
      </c>
      <c r="O189">
        <v>1.4060000000000001</v>
      </c>
    </row>
    <row r="190" spans="1:15" x14ac:dyDescent="0.25">
      <c r="A190" t="s">
        <v>239</v>
      </c>
      <c r="B190" t="s">
        <v>57</v>
      </c>
      <c r="C190" t="s">
        <v>283</v>
      </c>
      <c r="D190">
        <v>1352</v>
      </c>
      <c r="E190">
        <v>2193</v>
      </c>
      <c r="F190">
        <v>3545</v>
      </c>
      <c r="G190">
        <v>1663</v>
      </c>
      <c r="H190">
        <v>484</v>
      </c>
      <c r="I190">
        <v>2147</v>
      </c>
      <c r="J190">
        <v>151352</v>
      </c>
      <c r="K190">
        <v>2.3420000000000001</v>
      </c>
      <c r="L190">
        <v>1.419</v>
      </c>
      <c r="M190">
        <v>146173</v>
      </c>
      <c r="N190">
        <v>2.4249999999999998</v>
      </c>
      <c r="O190">
        <v>1.4689999999999999</v>
      </c>
    </row>
    <row r="191" spans="1:15" x14ac:dyDescent="0.25">
      <c r="A191" t="s">
        <v>239</v>
      </c>
      <c r="B191" t="s">
        <v>58</v>
      </c>
      <c r="C191" t="s">
        <v>284</v>
      </c>
      <c r="D191">
        <v>323</v>
      </c>
      <c r="E191">
        <v>611</v>
      </c>
      <c r="F191">
        <v>934</v>
      </c>
      <c r="G191">
        <v>329</v>
      </c>
      <c r="H191">
        <v>182</v>
      </c>
      <c r="I191">
        <v>511</v>
      </c>
      <c r="J191">
        <v>41443</v>
      </c>
      <c r="K191">
        <v>2.254</v>
      </c>
      <c r="L191">
        <v>1.2330000000000001</v>
      </c>
      <c r="M191">
        <v>39440</v>
      </c>
      <c r="N191">
        <v>2.3679999999999999</v>
      </c>
      <c r="O191">
        <v>1.296</v>
      </c>
    </row>
    <row r="192" spans="1:15" x14ac:dyDescent="0.25">
      <c r="A192" t="s">
        <v>239</v>
      </c>
      <c r="B192" t="s">
        <v>59</v>
      </c>
      <c r="C192" t="s">
        <v>290</v>
      </c>
      <c r="D192">
        <v>556</v>
      </c>
      <c r="E192">
        <v>1008</v>
      </c>
      <c r="F192">
        <v>1564</v>
      </c>
      <c r="G192">
        <v>642</v>
      </c>
      <c r="H192">
        <v>185</v>
      </c>
      <c r="I192">
        <v>827</v>
      </c>
      <c r="J192">
        <v>45228</v>
      </c>
      <c r="K192">
        <v>3.4580000000000002</v>
      </c>
      <c r="L192">
        <v>1.829</v>
      </c>
      <c r="M192">
        <v>42868</v>
      </c>
      <c r="N192">
        <v>3.6480000000000001</v>
      </c>
      <c r="O192">
        <v>1.929</v>
      </c>
    </row>
    <row r="193" spans="1:15" x14ac:dyDescent="0.25">
      <c r="A193" t="s">
        <v>239</v>
      </c>
      <c r="B193" t="s">
        <v>60</v>
      </c>
      <c r="C193" t="s">
        <v>291</v>
      </c>
      <c r="D193">
        <v>851</v>
      </c>
      <c r="E193">
        <v>1470</v>
      </c>
      <c r="F193">
        <v>2321</v>
      </c>
      <c r="G193">
        <v>780</v>
      </c>
      <c r="H193">
        <v>506</v>
      </c>
      <c r="I193">
        <v>1286</v>
      </c>
      <c r="J193">
        <v>79854</v>
      </c>
      <c r="K193">
        <v>2.907</v>
      </c>
      <c r="L193">
        <v>1.6099999999999999</v>
      </c>
      <c r="M193">
        <v>77953</v>
      </c>
      <c r="N193">
        <v>2.9769999999999999</v>
      </c>
      <c r="O193">
        <v>1.65</v>
      </c>
    </row>
    <row r="194" spans="1:15" x14ac:dyDescent="0.25">
      <c r="A194" t="s">
        <v>760</v>
      </c>
      <c r="B194" t="s">
        <v>31</v>
      </c>
      <c r="C194" t="s">
        <v>285</v>
      </c>
      <c r="D194">
        <v>392</v>
      </c>
      <c r="E194">
        <v>2273</v>
      </c>
      <c r="F194">
        <v>2665</v>
      </c>
      <c r="G194">
        <v>391</v>
      </c>
      <c r="H194">
        <v>199</v>
      </c>
      <c r="I194">
        <v>590</v>
      </c>
      <c r="J194">
        <v>119523</v>
      </c>
      <c r="K194">
        <v>2.23</v>
      </c>
      <c r="L194">
        <v>0.49399999999999999</v>
      </c>
      <c r="M194">
        <v>108381</v>
      </c>
      <c r="N194">
        <v>2.4590000000000001</v>
      </c>
      <c r="O194">
        <v>0.54400000000000004</v>
      </c>
    </row>
    <row r="195" spans="1:15" x14ac:dyDescent="0.25">
      <c r="A195" t="s">
        <v>760</v>
      </c>
      <c r="B195" t="s">
        <v>32</v>
      </c>
      <c r="C195" t="s">
        <v>286</v>
      </c>
      <c r="D195">
        <v>699</v>
      </c>
      <c r="E195">
        <v>1579</v>
      </c>
      <c r="F195">
        <v>2278</v>
      </c>
      <c r="G195">
        <v>731</v>
      </c>
      <c r="H195">
        <v>413</v>
      </c>
      <c r="I195">
        <v>1144</v>
      </c>
      <c r="J195">
        <v>119196</v>
      </c>
      <c r="K195">
        <v>1.911</v>
      </c>
      <c r="L195">
        <v>0.96</v>
      </c>
      <c r="M195">
        <v>112114</v>
      </c>
      <c r="N195">
        <v>2.032</v>
      </c>
      <c r="O195">
        <v>1.02</v>
      </c>
    </row>
    <row r="196" spans="1:15" x14ac:dyDescent="0.25">
      <c r="A196" t="s">
        <v>760</v>
      </c>
      <c r="B196" t="s">
        <v>33</v>
      </c>
      <c r="C196" t="s">
        <v>292</v>
      </c>
      <c r="D196">
        <v>440</v>
      </c>
      <c r="E196">
        <v>1358</v>
      </c>
      <c r="F196">
        <v>1798</v>
      </c>
      <c r="G196">
        <v>474</v>
      </c>
      <c r="H196">
        <v>203</v>
      </c>
      <c r="I196">
        <v>677</v>
      </c>
      <c r="J196">
        <v>56928</v>
      </c>
      <c r="K196">
        <v>3.1579999999999999</v>
      </c>
      <c r="L196">
        <v>1.1890000000000001</v>
      </c>
      <c r="M196">
        <v>54221</v>
      </c>
      <c r="N196">
        <v>3.3159999999999998</v>
      </c>
      <c r="O196">
        <v>1.2490000000000001</v>
      </c>
    </row>
    <row r="197" spans="1:15" x14ac:dyDescent="0.25">
      <c r="A197" t="s">
        <v>760</v>
      </c>
      <c r="B197" t="s">
        <v>34</v>
      </c>
      <c r="C197" t="s">
        <v>287</v>
      </c>
      <c r="D197">
        <v>451</v>
      </c>
      <c r="E197">
        <v>1072</v>
      </c>
      <c r="F197">
        <v>1523</v>
      </c>
      <c r="G197">
        <v>389</v>
      </c>
      <c r="H197">
        <v>332</v>
      </c>
      <c r="I197">
        <v>721</v>
      </c>
      <c r="J197">
        <v>48134</v>
      </c>
      <c r="K197">
        <v>3.1640000000000001</v>
      </c>
      <c r="L197">
        <v>1.498</v>
      </c>
      <c r="M197">
        <v>41789</v>
      </c>
      <c r="N197">
        <v>3.6440000000000001</v>
      </c>
      <c r="O197">
        <v>1.7250000000000001</v>
      </c>
    </row>
    <row r="198" spans="1:15" x14ac:dyDescent="0.25">
      <c r="A198" t="s">
        <v>760</v>
      </c>
      <c r="B198" t="s">
        <v>243</v>
      </c>
      <c r="C198" t="s">
        <v>288</v>
      </c>
      <c r="D198">
        <v>1502</v>
      </c>
      <c r="E198">
        <v>3441</v>
      </c>
      <c r="F198">
        <v>4943</v>
      </c>
      <c r="G198">
        <v>1592</v>
      </c>
      <c r="H198">
        <v>578</v>
      </c>
      <c r="I198">
        <v>2170</v>
      </c>
      <c r="J198">
        <v>252731</v>
      </c>
      <c r="K198">
        <v>1.956</v>
      </c>
      <c r="L198">
        <v>0.85899999999999999</v>
      </c>
      <c r="M198">
        <v>238269</v>
      </c>
      <c r="N198">
        <v>2.0750000000000002</v>
      </c>
      <c r="O198">
        <v>0.91100000000000003</v>
      </c>
    </row>
    <row r="199" spans="1:15" x14ac:dyDescent="0.25">
      <c r="A199" t="s">
        <v>760</v>
      </c>
      <c r="B199" t="s">
        <v>35</v>
      </c>
      <c r="C199" t="s">
        <v>266</v>
      </c>
      <c r="D199">
        <v>292</v>
      </c>
      <c r="E199">
        <v>379</v>
      </c>
      <c r="F199">
        <v>671</v>
      </c>
      <c r="G199">
        <v>445</v>
      </c>
      <c r="H199">
        <v>50</v>
      </c>
      <c r="I199">
        <v>495</v>
      </c>
      <c r="J199">
        <v>24716</v>
      </c>
      <c r="K199">
        <v>2.7149999999999999</v>
      </c>
      <c r="L199">
        <v>2.0030000000000001</v>
      </c>
      <c r="M199">
        <v>23890</v>
      </c>
      <c r="N199">
        <v>2.8090000000000002</v>
      </c>
      <c r="O199">
        <v>2.0720000000000001</v>
      </c>
    </row>
    <row r="200" spans="1:15" x14ac:dyDescent="0.25">
      <c r="A200" t="s">
        <v>760</v>
      </c>
      <c r="B200" t="s">
        <v>36</v>
      </c>
      <c r="C200" t="s">
        <v>267</v>
      </c>
      <c r="D200">
        <v>870</v>
      </c>
      <c r="E200">
        <v>839</v>
      </c>
      <c r="F200">
        <v>1709</v>
      </c>
      <c r="G200">
        <v>824</v>
      </c>
      <c r="H200">
        <v>438</v>
      </c>
      <c r="I200">
        <v>1262</v>
      </c>
      <c r="J200">
        <v>75089</v>
      </c>
      <c r="K200">
        <v>2.2759999999999998</v>
      </c>
      <c r="L200">
        <v>1.681</v>
      </c>
      <c r="M200">
        <v>69699</v>
      </c>
      <c r="N200">
        <v>2.452</v>
      </c>
      <c r="O200">
        <v>1.8109999999999999</v>
      </c>
    </row>
    <row r="201" spans="1:15" x14ac:dyDescent="0.25">
      <c r="A201" t="s">
        <v>760</v>
      </c>
      <c r="B201" t="s">
        <v>37</v>
      </c>
      <c r="C201" t="s">
        <v>293</v>
      </c>
      <c r="D201">
        <v>577</v>
      </c>
      <c r="E201">
        <v>2144</v>
      </c>
      <c r="F201">
        <v>2721</v>
      </c>
      <c r="G201">
        <v>510</v>
      </c>
      <c r="H201">
        <v>327</v>
      </c>
      <c r="I201">
        <v>837</v>
      </c>
      <c r="J201">
        <v>74891</v>
      </c>
      <c r="K201">
        <v>3.633</v>
      </c>
      <c r="L201">
        <v>1.1179999999999999</v>
      </c>
      <c r="M201">
        <v>70685</v>
      </c>
      <c r="N201">
        <v>3.8490000000000002</v>
      </c>
      <c r="O201">
        <v>1.1839999999999999</v>
      </c>
    </row>
    <row r="202" spans="1:15" x14ac:dyDescent="0.25">
      <c r="A202" t="s">
        <v>760</v>
      </c>
      <c r="B202" t="s">
        <v>38</v>
      </c>
      <c r="C202" t="s">
        <v>268</v>
      </c>
      <c r="D202">
        <v>423</v>
      </c>
      <c r="E202">
        <v>680</v>
      </c>
      <c r="F202">
        <v>1103</v>
      </c>
      <c r="G202">
        <v>487</v>
      </c>
      <c r="H202">
        <v>216</v>
      </c>
      <c r="I202">
        <v>703</v>
      </c>
      <c r="J202">
        <v>58628</v>
      </c>
      <c r="K202">
        <v>1.881</v>
      </c>
      <c r="L202">
        <v>1.1990000000000001</v>
      </c>
      <c r="M202">
        <v>55387</v>
      </c>
      <c r="N202">
        <v>1.9910000000000001</v>
      </c>
      <c r="O202">
        <v>1.2690000000000001</v>
      </c>
    </row>
    <row r="203" spans="1:15" x14ac:dyDescent="0.25">
      <c r="A203" t="s">
        <v>760</v>
      </c>
      <c r="B203" t="s">
        <v>39</v>
      </c>
      <c r="C203" t="s">
        <v>295</v>
      </c>
      <c r="D203">
        <v>656</v>
      </c>
      <c r="E203">
        <v>662</v>
      </c>
      <c r="F203">
        <v>1318</v>
      </c>
      <c r="G203">
        <v>758</v>
      </c>
      <c r="H203">
        <v>299</v>
      </c>
      <c r="I203">
        <v>1057</v>
      </c>
      <c r="J203">
        <v>46986</v>
      </c>
      <c r="K203">
        <v>2.8050000000000002</v>
      </c>
      <c r="L203">
        <v>2.25</v>
      </c>
      <c r="M203">
        <v>46228</v>
      </c>
      <c r="N203">
        <v>2.851</v>
      </c>
      <c r="O203">
        <v>2.286</v>
      </c>
    </row>
    <row r="204" spans="1:15" x14ac:dyDescent="0.25">
      <c r="A204" t="s">
        <v>760</v>
      </c>
      <c r="B204" t="s">
        <v>40</v>
      </c>
      <c r="C204" t="s">
        <v>269</v>
      </c>
      <c r="D204">
        <v>372</v>
      </c>
      <c r="E204">
        <v>530</v>
      </c>
      <c r="F204">
        <v>902</v>
      </c>
      <c r="G204">
        <v>448</v>
      </c>
      <c r="H204">
        <v>151</v>
      </c>
      <c r="I204">
        <v>599</v>
      </c>
      <c r="J204">
        <v>48851</v>
      </c>
      <c r="K204">
        <v>1.8460000000000001</v>
      </c>
      <c r="L204">
        <v>1.226</v>
      </c>
      <c r="M204">
        <v>46771</v>
      </c>
      <c r="N204">
        <v>1.929</v>
      </c>
      <c r="O204">
        <v>1.2810000000000001</v>
      </c>
    </row>
    <row r="205" spans="1:15" x14ac:dyDescent="0.25">
      <c r="A205" t="s">
        <v>760</v>
      </c>
      <c r="B205" t="s">
        <v>41</v>
      </c>
      <c r="C205" t="s">
        <v>270</v>
      </c>
      <c r="D205">
        <v>366</v>
      </c>
      <c r="E205">
        <v>587</v>
      </c>
      <c r="F205">
        <v>953</v>
      </c>
      <c r="G205">
        <v>397</v>
      </c>
      <c r="H205">
        <v>172</v>
      </c>
      <c r="I205">
        <v>569</v>
      </c>
      <c r="J205">
        <v>39144</v>
      </c>
      <c r="K205">
        <v>2.4350000000000001</v>
      </c>
      <c r="L205">
        <v>1.454</v>
      </c>
      <c r="M205">
        <v>39345</v>
      </c>
      <c r="N205">
        <v>2.4220000000000002</v>
      </c>
      <c r="O205">
        <v>1.446</v>
      </c>
    </row>
    <row r="206" spans="1:15" x14ac:dyDescent="0.25">
      <c r="A206" t="s">
        <v>760</v>
      </c>
      <c r="B206" t="s">
        <v>42</v>
      </c>
      <c r="C206" t="s">
        <v>272</v>
      </c>
      <c r="D206">
        <v>511</v>
      </c>
      <c r="E206">
        <v>1174</v>
      </c>
      <c r="F206">
        <v>1685</v>
      </c>
      <c r="G206">
        <v>590</v>
      </c>
      <c r="H206">
        <v>172</v>
      </c>
      <c r="I206">
        <v>762</v>
      </c>
      <c r="J206">
        <v>75226</v>
      </c>
      <c r="K206">
        <v>2.2400000000000002</v>
      </c>
      <c r="L206">
        <v>1.0129999999999999</v>
      </c>
      <c r="M206">
        <v>72672</v>
      </c>
      <c r="N206">
        <v>2.319</v>
      </c>
      <c r="O206">
        <v>1.0489999999999999</v>
      </c>
    </row>
    <row r="207" spans="1:15" x14ac:dyDescent="0.25">
      <c r="A207" t="s">
        <v>760</v>
      </c>
      <c r="B207" t="s">
        <v>43</v>
      </c>
      <c r="C207" t="s">
        <v>388</v>
      </c>
      <c r="D207">
        <v>2533</v>
      </c>
      <c r="E207">
        <v>3908</v>
      </c>
      <c r="F207">
        <v>6441</v>
      </c>
      <c r="G207">
        <v>2725</v>
      </c>
      <c r="H207">
        <v>1258</v>
      </c>
      <c r="I207">
        <v>3983</v>
      </c>
      <c r="J207">
        <v>178183</v>
      </c>
      <c r="K207">
        <v>3.6150000000000002</v>
      </c>
      <c r="L207">
        <v>2.2349999999999999</v>
      </c>
      <c r="M207">
        <v>169239</v>
      </c>
      <c r="N207">
        <v>3.806</v>
      </c>
      <c r="O207">
        <v>2.3529999999999998</v>
      </c>
    </row>
    <row r="208" spans="1:15" x14ac:dyDescent="0.25">
      <c r="A208" t="s">
        <v>760</v>
      </c>
      <c r="B208" t="s">
        <v>117</v>
      </c>
      <c r="C208" t="s">
        <v>296</v>
      </c>
      <c r="D208">
        <v>2529</v>
      </c>
      <c r="E208">
        <v>7410</v>
      </c>
      <c r="F208">
        <v>9939</v>
      </c>
      <c r="G208">
        <v>2783</v>
      </c>
      <c r="H208">
        <v>753</v>
      </c>
      <c r="I208">
        <v>3536</v>
      </c>
      <c r="J208">
        <v>314604</v>
      </c>
      <c r="K208">
        <v>3.1589999999999998</v>
      </c>
      <c r="L208">
        <v>1.1240000000000001</v>
      </c>
      <c r="M208">
        <v>294622</v>
      </c>
      <c r="N208">
        <v>3.3730000000000002</v>
      </c>
      <c r="O208">
        <v>1.2</v>
      </c>
    </row>
    <row r="209" spans="1:15" x14ac:dyDescent="0.25">
      <c r="A209" t="s">
        <v>760</v>
      </c>
      <c r="B209" t="s">
        <v>44</v>
      </c>
      <c r="C209" t="s">
        <v>273</v>
      </c>
      <c r="D209">
        <v>592</v>
      </c>
      <c r="E209">
        <v>2276</v>
      </c>
      <c r="F209">
        <v>2868</v>
      </c>
      <c r="G209">
        <v>522</v>
      </c>
      <c r="H209">
        <v>464</v>
      </c>
      <c r="I209">
        <v>986</v>
      </c>
      <c r="J209">
        <v>119061</v>
      </c>
      <c r="K209">
        <v>2.4089999999999998</v>
      </c>
      <c r="L209">
        <v>0.82799999999999996</v>
      </c>
      <c r="M209">
        <v>109514</v>
      </c>
      <c r="N209">
        <v>2.6189999999999998</v>
      </c>
      <c r="O209">
        <v>0.9</v>
      </c>
    </row>
    <row r="210" spans="1:15" x14ac:dyDescent="0.25">
      <c r="A210" t="s">
        <v>760</v>
      </c>
      <c r="B210" t="s">
        <v>45</v>
      </c>
      <c r="C210" t="s">
        <v>274</v>
      </c>
      <c r="D210">
        <v>631</v>
      </c>
      <c r="E210">
        <v>773</v>
      </c>
      <c r="F210">
        <v>1404</v>
      </c>
      <c r="G210">
        <v>603</v>
      </c>
      <c r="H210">
        <v>338</v>
      </c>
      <c r="I210">
        <v>941</v>
      </c>
      <c r="J210">
        <v>38977</v>
      </c>
      <c r="K210">
        <v>3.6019999999999999</v>
      </c>
      <c r="L210">
        <v>2.4140000000000001</v>
      </c>
      <c r="M210">
        <v>37614</v>
      </c>
      <c r="N210">
        <v>3.7330000000000001</v>
      </c>
      <c r="O210">
        <v>2.5019999999999998</v>
      </c>
    </row>
    <row r="211" spans="1:15" x14ac:dyDescent="0.25">
      <c r="A211" t="s">
        <v>760</v>
      </c>
      <c r="B211" t="s">
        <v>46</v>
      </c>
      <c r="C211" t="s">
        <v>275</v>
      </c>
      <c r="D211">
        <v>338</v>
      </c>
      <c r="E211">
        <v>669</v>
      </c>
      <c r="F211">
        <v>1007</v>
      </c>
      <c r="G211">
        <v>303</v>
      </c>
      <c r="H211">
        <v>225</v>
      </c>
      <c r="I211">
        <v>528</v>
      </c>
      <c r="J211">
        <v>41226</v>
      </c>
      <c r="K211">
        <v>2.4430000000000001</v>
      </c>
      <c r="L211">
        <v>1.2810000000000001</v>
      </c>
      <c r="M211">
        <v>39733</v>
      </c>
      <c r="N211">
        <v>2.5339999999999998</v>
      </c>
      <c r="O211">
        <v>1.329</v>
      </c>
    </row>
    <row r="212" spans="1:15" x14ac:dyDescent="0.25">
      <c r="A212" t="s">
        <v>760</v>
      </c>
      <c r="B212" t="s">
        <v>47</v>
      </c>
      <c r="C212" t="s">
        <v>276</v>
      </c>
      <c r="D212">
        <v>483</v>
      </c>
      <c r="E212">
        <v>1205</v>
      </c>
      <c r="F212">
        <v>1688</v>
      </c>
      <c r="G212">
        <v>500</v>
      </c>
      <c r="H212">
        <v>377</v>
      </c>
      <c r="I212">
        <v>877</v>
      </c>
      <c r="J212">
        <v>45630</v>
      </c>
      <c r="K212">
        <v>3.6989999999999998</v>
      </c>
      <c r="L212">
        <v>1.9220000000000002</v>
      </c>
      <c r="M212">
        <v>42932</v>
      </c>
      <c r="N212">
        <v>3.9319999999999999</v>
      </c>
      <c r="O212">
        <v>2.0430000000000001</v>
      </c>
    </row>
    <row r="213" spans="1:15" x14ac:dyDescent="0.25">
      <c r="A213" t="s">
        <v>760</v>
      </c>
      <c r="B213" t="s">
        <v>48</v>
      </c>
      <c r="C213" t="s">
        <v>271</v>
      </c>
      <c r="D213">
        <v>67</v>
      </c>
      <c r="E213">
        <v>235</v>
      </c>
      <c r="F213">
        <v>302</v>
      </c>
      <c r="G213">
        <v>69</v>
      </c>
      <c r="H213">
        <v>42</v>
      </c>
      <c r="I213">
        <v>111</v>
      </c>
      <c r="J213">
        <v>14734</v>
      </c>
      <c r="K213">
        <v>2.0499999999999998</v>
      </c>
      <c r="L213">
        <v>0.753</v>
      </c>
      <c r="M213">
        <v>12833</v>
      </c>
      <c r="N213">
        <v>2.3529999999999998</v>
      </c>
      <c r="O213">
        <v>0.86499999999999999</v>
      </c>
    </row>
    <row r="214" spans="1:15" x14ac:dyDescent="0.25">
      <c r="A214" t="s">
        <v>760</v>
      </c>
      <c r="B214" t="s">
        <v>49</v>
      </c>
      <c r="C214" t="s">
        <v>277</v>
      </c>
      <c r="D214">
        <v>716</v>
      </c>
      <c r="E214">
        <v>969</v>
      </c>
      <c r="F214">
        <v>1685</v>
      </c>
      <c r="G214">
        <v>784</v>
      </c>
      <c r="H214">
        <v>366</v>
      </c>
      <c r="I214">
        <v>1150</v>
      </c>
      <c r="J214">
        <v>68496</v>
      </c>
      <c r="K214">
        <v>2.46</v>
      </c>
      <c r="L214">
        <v>1.679</v>
      </c>
      <c r="M214">
        <v>64140</v>
      </c>
      <c r="N214">
        <v>2.6269999999999998</v>
      </c>
      <c r="O214">
        <v>1.7930000000000001</v>
      </c>
    </row>
    <row r="215" spans="1:15" x14ac:dyDescent="0.25">
      <c r="A215" t="s">
        <v>760</v>
      </c>
      <c r="B215" t="s">
        <v>50</v>
      </c>
      <c r="C215" t="s">
        <v>294</v>
      </c>
      <c r="D215">
        <v>1328</v>
      </c>
      <c r="E215">
        <v>2916</v>
      </c>
      <c r="F215">
        <v>4244</v>
      </c>
      <c r="G215">
        <v>1742</v>
      </c>
      <c r="H215">
        <v>411</v>
      </c>
      <c r="I215">
        <v>2153</v>
      </c>
      <c r="J215">
        <v>156694</v>
      </c>
      <c r="K215">
        <v>2.7080000000000002</v>
      </c>
      <c r="L215">
        <v>1.3740000000000001</v>
      </c>
      <c r="M215">
        <v>152443</v>
      </c>
      <c r="N215">
        <v>2.7839999999999998</v>
      </c>
      <c r="O215">
        <v>1.4119999999999999</v>
      </c>
    </row>
    <row r="216" spans="1:15" x14ac:dyDescent="0.25">
      <c r="A216" t="s">
        <v>760</v>
      </c>
      <c r="B216" t="s">
        <v>51</v>
      </c>
      <c r="C216" t="s">
        <v>278</v>
      </c>
      <c r="D216">
        <v>122</v>
      </c>
      <c r="E216">
        <v>237</v>
      </c>
      <c r="F216">
        <v>359</v>
      </c>
      <c r="G216">
        <v>127</v>
      </c>
      <c r="H216">
        <v>84</v>
      </c>
      <c r="I216">
        <v>211</v>
      </c>
      <c r="J216">
        <v>11322</v>
      </c>
      <c r="K216">
        <v>3.1709999999999998</v>
      </c>
      <c r="L216">
        <v>1.8639999999999999</v>
      </c>
      <c r="M216">
        <v>10589</v>
      </c>
      <c r="N216">
        <v>3.39</v>
      </c>
      <c r="O216">
        <v>1.9929999999999999</v>
      </c>
    </row>
    <row r="217" spans="1:15" x14ac:dyDescent="0.25">
      <c r="A217" t="s">
        <v>760</v>
      </c>
      <c r="B217" t="s">
        <v>52</v>
      </c>
      <c r="C217" t="s">
        <v>279</v>
      </c>
      <c r="D217">
        <v>389</v>
      </c>
      <c r="E217">
        <v>1165</v>
      </c>
      <c r="F217">
        <v>1554</v>
      </c>
      <c r="G217">
        <v>403</v>
      </c>
      <c r="H217">
        <v>198</v>
      </c>
      <c r="I217">
        <v>601</v>
      </c>
      <c r="J217">
        <v>73267</v>
      </c>
      <c r="K217">
        <v>2.121</v>
      </c>
      <c r="L217">
        <v>0.82</v>
      </c>
      <c r="M217">
        <v>69003</v>
      </c>
      <c r="N217">
        <v>2.2519999999999998</v>
      </c>
      <c r="O217">
        <v>0.871</v>
      </c>
    </row>
    <row r="218" spans="1:15" x14ac:dyDescent="0.25">
      <c r="A218" t="s">
        <v>760</v>
      </c>
      <c r="B218" t="s">
        <v>53</v>
      </c>
      <c r="C218" t="s">
        <v>289</v>
      </c>
      <c r="D218">
        <v>774</v>
      </c>
      <c r="E218">
        <v>1023</v>
      </c>
      <c r="F218">
        <v>1797</v>
      </c>
      <c r="G218">
        <v>786</v>
      </c>
      <c r="H218">
        <v>396</v>
      </c>
      <c r="I218">
        <v>1182</v>
      </c>
      <c r="J218">
        <v>88086</v>
      </c>
      <c r="K218">
        <v>2.04</v>
      </c>
      <c r="L218">
        <v>1.3420000000000001</v>
      </c>
      <c r="M218">
        <v>86683</v>
      </c>
      <c r="N218">
        <v>2.073</v>
      </c>
      <c r="O218">
        <v>1.3639999999999999</v>
      </c>
    </row>
    <row r="219" spans="1:15" x14ac:dyDescent="0.25">
      <c r="A219" t="s">
        <v>760</v>
      </c>
      <c r="B219" t="s">
        <v>54</v>
      </c>
      <c r="C219" t="s">
        <v>280</v>
      </c>
      <c r="D219">
        <v>869</v>
      </c>
      <c r="E219">
        <v>1387</v>
      </c>
      <c r="F219">
        <v>2256</v>
      </c>
      <c r="G219">
        <v>798</v>
      </c>
      <c r="H219">
        <v>632</v>
      </c>
      <c r="I219">
        <v>1430</v>
      </c>
      <c r="J219">
        <v>58671</v>
      </c>
      <c r="K219">
        <v>3.8449999999999998</v>
      </c>
      <c r="L219">
        <v>2.4369999999999998</v>
      </c>
      <c r="M219">
        <v>54715</v>
      </c>
      <c r="N219">
        <v>4.1230000000000002</v>
      </c>
      <c r="O219">
        <v>2.6139999999999999</v>
      </c>
    </row>
    <row r="220" spans="1:15" x14ac:dyDescent="0.25">
      <c r="A220" t="s">
        <v>760</v>
      </c>
      <c r="B220" t="s">
        <v>55</v>
      </c>
      <c r="C220" t="s">
        <v>281</v>
      </c>
      <c r="D220">
        <v>156</v>
      </c>
      <c r="E220">
        <v>407</v>
      </c>
      <c r="F220">
        <v>563</v>
      </c>
      <c r="G220">
        <v>141</v>
      </c>
      <c r="H220">
        <v>112</v>
      </c>
      <c r="I220">
        <v>253</v>
      </c>
      <c r="J220">
        <v>11305</v>
      </c>
      <c r="K220">
        <v>4.9800000000000004</v>
      </c>
      <c r="L220">
        <v>2.238</v>
      </c>
      <c r="M220">
        <v>10439</v>
      </c>
      <c r="N220">
        <v>5.3929999999999998</v>
      </c>
      <c r="O220">
        <v>2.4239999999999999</v>
      </c>
    </row>
    <row r="221" spans="1:15" x14ac:dyDescent="0.25">
      <c r="A221" t="s">
        <v>760</v>
      </c>
      <c r="B221" t="s">
        <v>56</v>
      </c>
      <c r="C221" t="s">
        <v>282</v>
      </c>
      <c r="D221">
        <v>413</v>
      </c>
      <c r="E221">
        <v>588</v>
      </c>
      <c r="F221">
        <v>1001</v>
      </c>
      <c r="G221">
        <v>525</v>
      </c>
      <c r="H221">
        <v>185</v>
      </c>
      <c r="I221">
        <v>710</v>
      </c>
      <c r="J221">
        <v>55668</v>
      </c>
      <c r="K221">
        <v>1.798</v>
      </c>
      <c r="L221">
        <v>1.2749999999999999</v>
      </c>
      <c r="M221">
        <v>52588</v>
      </c>
      <c r="N221">
        <v>1.903</v>
      </c>
      <c r="O221">
        <v>1.35</v>
      </c>
    </row>
    <row r="222" spans="1:15" x14ac:dyDescent="0.25">
      <c r="A222" t="s">
        <v>760</v>
      </c>
      <c r="B222" t="s">
        <v>57</v>
      </c>
      <c r="C222" t="s">
        <v>283</v>
      </c>
      <c r="D222">
        <v>1364</v>
      </c>
      <c r="E222">
        <v>2345</v>
      </c>
      <c r="F222">
        <v>3709</v>
      </c>
      <c r="G222">
        <v>1628</v>
      </c>
      <c r="H222">
        <v>551</v>
      </c>
      <c r="I222">
        <v>2179</v>
      </c>
      <c r="J222">
        <v>152998</v>
      </c>
      <c r="K222">
        <v>2.4239999999999999</v>
      </c>
      <c r="L222">
        <v>1.4239999999999999</v>
      </c>
      <c r="M222">
        <v>147434</v>
      </c>
      <c r="N222">
        <v>2.516</v>
      </c>
      <c r="O222">
        <v>1.478</v>
      </c>
    </row>
    <row r="223" spans="1:15" x14ac:dyDescent="0.25">
      <c r="A223" t="s">
        <v>760</v>
      </c>
      <c r="B223" t="s">
        <v>58</v>
      </c>
      <c r="C223" t="s">
        <v>284</v>
      </c>
      <c r="D223">
        <v>311</v>
      </c>
      <c r="E223">
        <v>590</v>
      </c>
      <c r="F223">
        <v>901</v>
      </c>
      <c r="G223">
        <v>360</v>
      </c>
      <c r="H223">
        <v>153</v>
      </c>
      <c r="I223">
        <v>513</v>
      </c>
      <c r="J223">
        <v>41638</v>
      </c>
      <c r="K223">
        <v>2.1640000000000001</v>
      </c>
      <c r="L223">
        <v>1.232</v>
      </c>
      <c r="M223">
        <v>39654</v>
      </c>
      <c r="N223">
        <v>2.2720000000000002</v>
      </c>
      <c r="O223">
        <v>1.294</v>
      </c>
    </row>
    <row r="224" spans="1:15" x14ac:dyDescent="0.25">
      <c r="A224" t="s">
        <v>760</v>
      </c>
      <c r="B224" t="s">
        <v>59</v>
      </c>
      <c r="C224" t="s">
        <v>290</v>
      </c>
      <c r="D224">
        <v>468</v>
      </c>
      <c r="E224">
        <v>931</v>
      </c>
      <c r="F224">
        <v>1399</v>
      </c>
      <c r="G224">
        <v>550</v>
      </c>
      <c r="H224">
        <v>172</v>
      </c>
      <c r="I224">
        <v>722</v>
      </c>
      <c r="J224">
        <v>45357</v>
      </c>
      <c r="K224">
        <v>3.0840000000000001</v>
      </c>
      <c r="L224">
        <v>1.5920000000000001</v>
      </c>
      <c r="M224">
        <v>43030</v>
      </c>
      <c r="N224">
        <v>3.2509999999999999</v>
      </c>
      <c r="O224">
        <v>1.6779999999999999</v>
      </c>
    </row>
    <row r="225" spans="1:15" x14ac:dyDescent="0.25">
      <c r="A225" t="s">
        <v>760</v>
      </c>
      <c r="B225" t="s">
        <v>60</v>
      </c>
      <c r="C225" t="s">
        <v>291</v>
      </c>
      <c r="D225">
        <v>658</v>
      </c>
      <c r="E225">
        <v>1193</v>
      </c>
      <c r="F225">
        <v>1851</v>
      </c>
      <c r="G225">
        <v>631</v>
      </c>
      <c r="H225">
        <v>327</v>
      </c>
      <c r="I225">
        <v>958</v>
      </c>
      <c r="J225">
        <v>80911</v>
      </c>
      <c r="K225">
        <v>2.2879999999999998</v>
      </c>
      <c r="L225">
        <v>1.1839999999999999</v>
      </c>
      <c r="M225">
        <v>78966</v>
      </c>
      <c r="N225">
        <v>2.3439999999999999</v>
      </c>
      <c r="O225">
        <v>1.2130000000000001</v>
      </c>
    </row>
    <row r="226" spans="1:15" x14ac:dyDescent="0.25">
      <c r="A226" t="s">
        <v>917</v>
      </c>
      <c r="B226" t="s">
        <v>31</v>
      </c>
      <c r="C226" t="s">
        <v>285</v>
      </c>
      <c r="D226">
        <v>130</v>
      </c>
      <c r="E226">
        <v>406</v>
      </c>
      <c r="F226">
        <v>536</v>
      </c>
      <c r="G226">
        <v>135</v>
      </c>
      <c r="H226">
        <v>54</v>
      </c>
      <c r="I226">
        <v>189</v>
      </c>
      <c r="J226">
        <v>120980</v>
      </c>
      <c r="K226">
        <v>0.443</v>
      </c>
      <c r="L226">
        <v>0.156</v>
      </c>
      <c r="M226">
        <v>108893</v>
      </c>
      <c r="N226">
        <v>0.49199999999999999</v>
      </c>
      <c r="O226">
        <v>0.17399999999999999</v>
      </c>
    </row>
    <row r="227" spans="1:15" x14ac:dyDescent="0.25">
      <c r="A227" t="s">
        <v>917</v>
      </c>
      <c r="B227" t="s">
        <v>32</v>
      </c>
      <c r="C227" t="s">
        <v>286</v>
      </c>
      <c r="D227">
        <v>127</v>
      </c>
      <c r="E227">
        <v>310</v>
      </c>
      <c r="F227">
        <v>437</v>
      </c>
      <c r="G227">
        <v>150</v>
      </c>
      <c r="H227">
        <v>76</v>
      </c>
      <c r="I227">
        <v>226</v>
      </c>
      <c r="J227">
        <v>119854</v>
      </c>
      <c r="K227">
        <v>0.36499999999999999</v>
      </c>
      <c r="L227">
        <v>0.189</v>
      </c>
      <c r="M227">
        <v>112713</v>
      </c>
      <c r="N227">
        <v>0.38800000000000001</v>
      </c>
      <c r="O227">
        <v>0.20100000000000001</v>
      </c>
    </row>
    <row r="228" spans="1:15" x14ac:dyDescent="0.25">
      <c r="A228" t="s">
        <v>917</v>
      </c>
      <c r="B228" t="s">
        <v>33</v>
      </c>
      <c r="C228" t="s">
        <v>292</v>
      </c>
      <c r="D228">
        <v>199</v>
      </c>
      <c r="E228">
        <v>513</v>
      </c>
      <c r="F228">
        <v>712</v>
      </c>
      <c r="G228">
        <v>175</v>
      </c>
      <c r="H228">
        <v>113</v>
      </c>
      <c r="I228">
        <v>288</v>
      </c>
      <c r="J228">
        <v>57206</v>
      </c>
      <c r="K228">
        <v>1.2450000000000001</v>
      </c>
      <c r="L228">
        <v>0.503</v>
      </c>
      <c r="M228">
        <v>54480</v>
      </c>
      <c r="N228">
        <v>1.3069999999999999</v>
      </c>
      <c r="O228">
        <v>0.52900000000000003</v>
      </c>
    </row>
    <row r="229" spans="1:15" x14ac:dyDescent="0.25">
      <c r="A229" t="s">
        <v>917</v>
      </c>
      <c r="B229" t="s">
        <v>34</v>
      </c>
      <c r="C229" t="s">
        <v>287</v>
      </c>
      <c r="D229">
        <v>165</v>
      </c>
      <c r="E229">
        <v>320</v>
      </c>
      <c r="F229">
        <v>485</v>
      </c>
      <c r="G229">
        <v>154</v>
      </c>
      <c r="H229">
        <v>116</v>
      </c>
      <c r="I229">
        <v>270</v>
      </c>
      <c r="J229">
        <v>48199</v>
      </c>
      <c r="K229">
        <v>1.006</v>
      </c>
      <c r="L229">
        <v>0.56000000000000005</v>
      </c>
      <c r="M229">
        <v>41839</v>
      </c>
      <c r="N229">
        <v>1.159</v>
      </c>
      <c r="O229">
        <v>0.64500000000000002</v>
      </c>
    </row>
    <row r="230" spans="1:15" x14ac:dyDescent="0.25">
      <c r="A230" t="s">
        <v>917</v>
      </c>
      <c r="B230" t="s">
        <v>243</v>
      </c>
      <c r="C230" t="s">
        <v>288</v>
      </c>
      <c r="D230">
        <v>676</v>
      </c>
      <c r="E230">
        <v>738</v>
      </c>
      <c r="F230">
        <v>1414</v>
      </c>
      <c r="G230">
        <v>694</v>
      </c>
      <c r="H230">
        <v>310</v>
      </c>
      <c r="I230">
        <v>1004</v>
      </c>
      <c r="J230">
        <v>254929</v>
      </c>
      <c r="K230">
        <v>0.55500000000000005</v>
      </c>
      <c r="L230">
        <v>0.39400000000000002</v>
      </c>
      <c r="M230">
        <v>239364</v>
      </c>
      <c r="N230">
        <v>0.59099999999999997</v>
      </c>
      <c r="O230">
        <v>0.41899999999999998</v>
      </c>
    </row>
    <row r="231" spans="1:15" x14ac:dyDescent="0.25">
      <c r="A231" t="s">
        <v>917</v>
      </c>
      <c r="B231" t="s">
        <v>35</v>
      </c>
      <c r="C231" t="s">
        <v>266</v>
      </c>
      <c r="D231">
        <v>63</v>
      </c>
      <c r="E231">
        <v>100</v>
      </c>
      <c r="F231">
        <v>163</v>
      </c>
      <c r="G231">
        <v>94</v>
      </c>
      <c r="H231">
        <v>28</v>
      </c>
      <c r="I231">
        <v>122</v>
      </c>
      <c r="J231">
        <v>24838</v>
      </c>
      <c r="K231">
        <v>0.65600000000000003</v>
      </c>
      <c r="L231">
        <v>0.49099999999999999</v>
      </c>
      <c r="M231">
        <v>24066</v>
      </c>
      <c r="N231">
        <v>0.67700000000000005</v>
      </c>
      <c r="O231">
        <v>0.50700000000000001</v>
      </c>
    </row>
    <row r="232" spans="1:15" x14ac:dyDescent="0.25">
      <c r="A232" t="s">
        <v>917</v>
      </c>
      <c r="B232" t="s">
        <v>36</v>
      </c>
      <c r="C232" t="s">
        <v>267</v>
      </c>
      <c r="D232">
        <v>143</v>
      </c>
      <c r="E232">
        <v>231</v>
      </c>
      <c r="F232">
        <v>374</v>
      </c>
      <c r="G232">
        <v>125</v>
      </c>
      <c r="H232">
        <v>82</v>
      </c>
      <c r="I232">
        <v>207</v>
      </c>
      <c r="J232">
        <v>75298</v>
      </c>
      <c r="K232">
        <v>0.497</v>
      </c>
      <c r="L232">
        <v>0.27500000000000002</v>
      </c>
      <c r="M232">
        <v>69957</v>
      </c>
      <c r="N232">
        <v>0.53500000000000003</v>
      </c>
      <c r="O232">
        <v>0.29599999999999999</v>
      </c>
    </row>
    <row r="233" spans="1:15" x14ac:dyDescent="0.25">
      <c r="A233" t="s">
        <v>917</v>
      </c>
      <c r="B233" t="s">
        <v>37</v>
      </c>
      <c r="C233" t="s">
        <v>293</v>
      </c>
      <c r="D233">
        <v>286</v>
      </c>
      <c r="E233">
        <v>637</v>
      </c>
      <c r="F233">
        <v>923</v>
      </c>
      <c r="G233">
        <v>280</v>
      </c>
      <c r="H233">
        <v>166</v>
      </c>
      <c r="I233">
        <v>446</v>
      </c>
      <c r="J233">
        <v>75027</v>
      </c>
      <c r="K233">
        <v>1.23</v>
      </c>
      <c r="L233">
        <v>0.59399999999999997</v>
      </c>
      <c r="M233">
        <v>70689</v>
      </c>
      <c r="N233">
        <v>1.306</v>
      </c>
      <c r="O233">
        <v>0.63100000000000001</v>
      </c>
    </row>
    <row r="234" spans="1:15" x14ac:dyDescent="0.25">
      <c r="A234" t="s">
        <v>917</v>
      </c>
      <c r="B234" t="s">
        <v>38</v>
      </c>
      <c r="C234" t="s">
        <v>268</v>
      </c>
      <c r="D234">
        <v>172</v>
      </c>
      <c r="E234">
        <v>315</v>
      </c>
      <c r="F234">
        <v>487</v>
      </c>
      <c r="G234">
        <v>222</v>
      </c>
      <c r="H234">
        <v>77</v>
      </c>
      <c r="I234">
        <v>299</v>
      </c>
      <c r="J234">
        <v>58821</v>
      </c>
      <c r="K234">
        <v>0.82799999999999996</v>
      </c>
      <c r="L234">
        <v>0.50800000000000001</v>
      </c>
      <c r="M234">
        <v>55564</v>
      </c>
      <c r="N234">
        <v>0.876</v>
      </c>
      <c r="O234">
        <v>0.53800000000000003</v>
      </c>
    </row>
    <row r="235" spans="1:15" x14ac:dyDescent="0.25">
      <c r="A235" t="s">
        <v>917</v>
      </c>
      <c r="B235" t="s">
        <v>39</v>
      </c>
      <c r="C235" t="s">
        <v>295</v>
      </c>
      <c r="D235">
        <v>229</v>
      </c>
      <c r="E235">
        <v>173</v>
      </c>
      <c r="F235">
        <v>402</v>
      </c>
      <c r="G235">
        <v>238</v>
      </c>
      <c r="H235">
        <v>133</v>
      </c>
      <c r="I235">
        <v>371</v>
      </c>
      <c r="J235">
        <v>47251</v>
      </c>
      <c r="K235">
        <v>0.85099999999999998</v>
      </c>
      <c r="L235">
        <v>0.78500000000000003</v>
      </c>
      <c r="M235">
        <v>46563</v>
      </c>
      <c r="N235">
        <v>0.86299999999999999</v>
      </c>
      <c r="O235">
        <v>0.79700000000000004</v>
      </c>
    </row>
    <row r="236" spans="1:15" x14ac:dyDescent="0.25">
      <c r="A236" t="s">
        <v>917</v>
      </c>
      <c r="B236" t="s">
        <v>40</v>
      </c>
      <c r="C236" t="s">
        <v>269</v>
      </c>
      <c r="D236">
        <v>124</v>
      </c>
      <c r="E236">
        <v>154</v>
      </c>
      <c r="F236">
        <v>278</v>
      </c>
      <c r="G236">
        <v>162</v>
      </c>
      <c r="H236">
        <v>64</v>
      </c>
      <c r="I236">
        <v>226</v>
      </c>
      <c r="J236">
        <v>49642</v>
      </c>
      <c r="K236">
        <v>0.56000000000000005</v>
      </c>
      <c r="L236">
        <v>0.45500000000000002</v>
      </c>
      <c r="M236">
        <v>47482</v>
      </c>
      <c r="N236">
        <v>0.58499999999999996</v>
      </c>
      <c r="O236">
        <v>0.47599999999999998</v>
      </c>
    </row>
    <row r="237" spans="1:15" x14ac:dyDescent="0.25">
      <c r="A237" t="s">
        <v>917</v>
      </c>
      <c r="B237" t="s">
        <v>41</v>
      </c>
      <c r="C237" t="s">
        <v>270</v>
      </c>
      <c r="D237">
        <v>204</v>
      </c>
      <c r="E237">
        <v>172</v>
      </c>
      <c r="F237">
        <v>376</v>
      </c>
      <c r="G237">
        <v>222</v>
      </c>
      <c r="H237">
        <v>100</v>
      </c>
      <c r="I237">
        <v>322</v>
      </c>
      <c r="J237">
        <v>39453</v>
      </c>
      <c r="K237">
        <v>0.95299999999999996</v>
      </c>
      <c r="L237">
        <v>0.81599999999999995</v>
      </c>
      <c r="M237">
        <v>39586</v>
      </c>
      <c r="N237">
        <v>0.95</v>
      </c>
      <c r="O237">
        <v>0.81299999999999994</v>
      </c>
    </row>
    <row r="238" spans="1:15" x14ac:dyDescent="0.25">
      <c r="A238" t="s">
        <v>917</v>
      </c>
      <c r="B238" t="s">
        <v>42</v>
      </c>
      <c r="C238" t="s">
        <v>272</v>
      </c>
      <c r="D238">
        <v>157</v>
      </c>
      <c r="E238">
        <v>297</v>
      </c>
      <c r="F238">
        <v>454</v>
      </c>
      <c r="G238">
        <v>179</v>
      </c>
      <c r="H238">
        <v>71</v>
      </c>
      <c r="I238">
        <v>250</v>
      </c>
      <c r="J238">
        <v>75595</v>
      </c>
      <c r="K238">
        <v>0.60099999999999998</v>
      </c>
      <c r="L238">
        <v>0.33100000000000002</v>
      </c>
      <c r="M238">
        <v>72994</v>
      </c>
      <c r="N238">
        <v>0.622</v>
      </c>
      <c r="O238">
        <v>0.34200000000000003</v>
      </c>
    </row>
    <row r="239" spans="1:15" x14ac:dyDescent="0.25">
      <c r="A239" t="s">
        <v>917</v>
      </c>
      <c r="B239" t="s">
        <v>43</v>
      </c>
      <c r="C239" t="s">
        <v>388</v>
      </c>
      <c r="D239">
        <v>580</v>
      </c>
      <c r="E239">
        <v>716</v>
      </c>
      <c r="F239">
        <v>1296</v>
      </c>
      <c r="G239">
        <v>652</v>
      </c>
      <c r="H239">
        <v>329</v>
      </c>
      <c r="I239">
        <v>981</v>
      </c>
      <c r="J239">
        <v>179232</v>
      </c>
      <c r="K239">
        <v>0.72299999999999998</v>
      </c>
      <c r="L239">
        <v>0.54700000000000004</v>
      </c>
      <c r="M239">
        <v>169886</v>
      </c>
      <c r="N239">
        <v>0.76300000000000001</v>
      </c>
      <c r="O239">
        <v>0.57699999999999996</v>
      </c>
    </row>
    <row r="240" spans="1:15" x14ac:dyDescent="0.25">
      <c r="A240" t="s">
        <v>917</v>
      </c>
      <c r="B240" t="s">
        <v>117</v>
      </c>
      <c r="C240" t="s">
        <v>296</v>
      </c>
      <c r="D240">
        <v>767</v>
      </c>
      <c r="E240">
        <v>1321</v>
      </c>
      <c r="F240">
        <v>2088</v>
      </c>
      <c r="G240">
        <v>901</v>
      </c>
      <c r="H240">
        <v>243</v>
      </c>
      <c r="I240">
        <v>1144</v>
      </c>
      <c r="J240">
        <v>317193</v>
      </c>
      <c r="K240">
        <v>0.65800000000000003</v>
      </c>
      <c r="L240">
        <v>0.36099999999999999</v>
      </c>
      <c r="M240">
        <v>295761</v>
      </c>
      <c r="N240">
        <v>0.70599999999999996</v>
      </c>
      <c r="O240">
        <v>0.38700000000000001</v>
      </c>
    </row>
    <row r="241" spans="1:15" x14ac:dyDescent="0.25">
      <c r="A241" t="s">
        <v>917</v>
      </c>
      <c r="B241" t="s">
        <v>44</v>
      </c>
      <c r="C241" t="s">
        <v>273</v>
      </c>
      <c r="D241">
        <v>164</v>
      </c>
      <c r="E241">
        <v>631</v>
      </c>
      <c r="F241">
        <v>795</v>
      </c>
      <c r="G241">
        <v>167</v>
      </c>
      <c r="H241">
        <v>166</v>
      </c>
      <c r="I241">
        <v>333</v>
      </c>
      <c r="J241">
        <v>119918</v>
      </c>
      <c r="K241">
        <v>0.66300000000000003</v>
      </c>
      <c r="L241">
        <v>0.27800000000000002</v>
      </c>
      <c r="M241">
        <v>110084</v>
      </c>
      <c r="N241">
        <v>0.72199999999999998</v>
      </c>
      <c r="O241">
        <v>0.30199999999999999</v>
      </c>
    </row>
    <row r="242" spans="1:15" x14ac:dyDescent="0.25">
      <c r="A242" t="s">
        <v>917</v>
      </c>
      <c r="B242" t="s">
        <v>45</v>
      </c>
      <c r="C242" t="s">
        <v>274</v>
      </c>
      <c r="D242">
        <v>292</v>
      </c>
      <c r="E242">
        <v>201</v>
      </c>
      <c r="F242">
        <v>493</v>
      </c>
      <c r="G242">
        <v>339</v>
      </c>
      <c r="H242">
        <v>129</v>
      </c>
      <c r="I242">
        <v>468</v>
      </c>
      <c r="J242">
        <v>39107</v>
      </c>
      <c r="K242">
        <v>1.2610000000000001</v>
      </c>
      <c r="L242">
        <v>1.1970000000000001</v>
      </c>
      <c r="M242">
        <v>37646</v>
      </c>
      <c r="N242">
        <v>1.31</v>
      </c>
      <c r="O242">
        <v>1.2429999999999999</v>
      </c>
    </row>
    <row r="243" spans="1:15" x14ac:dyDescent="0.25">
      <c r="A243" t="s">
        <v>917</v>
      </c>
      <c r="B243" t="s">
        <v>46</v>
      </c>
      <c r="C243" t="s">
        <v>275</v>
      </c>
      <c r="D243">
        <v>103</v>
      </c>
      <c r="E243">
        <v>196</v>
      </c>
      <c r="F243">
        <v>299</v>
      </c>
      <c r="G243">
        <v>110</v>
      </c>
      <c r="H243">
        <v>58</v>
      </c>
      <c r="I243">
        <v>168</v>
      </c>
      <c r="J243">
        <v>41657</v>
      </c>
      <c r="K243">
        <v>0.71799999999999997</v>
      </c>
      <c r="L243">
        <v>0.40300000000000002</v>
      </c>
      <c r="M243">
        <v>40137</v>
      </c>
      <c r="N243">
        <v>0.745</v>
      </c>
      <c r="O243">
        <v>0.41899999999999998</v>
      </c>
    </row>
    <row r="244" spans="1:15" x14ac:dyDescent="0.25">
      <c r="A244" t="s">
        <v>917</v>
      </c>
      <c r="B244" t="s">
        <v>47</v>
      </c>
      <c r="C244" t="s">
        <v>276</v>
      </c>
      <c r="D244">
        <v>86</v>
      </c>
      <c r="E244">
        <v>260</v>
      </c>
      <c r="F244">
        <v>346</v>
      </c>
      <c r="G244">
        <v>97</v>
      </c>
      <c r="H244">
        <v>61</v>
      </c>
      <c r="I244">
        <v>158</v>
      </c>
      <c r="J244">
        <v>45838</v>
      </c>
      <c r="K244">
        <v>0.755</v>
      </c>
      <c r="L244">
        <v>0.34499999999999997</v>
      </c>
      <c r="M244">
        <v>43175</v>
      </c>
      <c r="N244">
        <v>0.80100000000000005</v>
      </c>
      <c r="O244">
        <v>0.36599999999999999</v>
      </c>
    </row>
    <row r="245" spans="1:15" x14ac:dyDescent="0.25">
      <c r="A245" t="s">
        <v>917</v>
      </c>
      <c r="B245" t="s">
        <v>48</v>
      </c>
      <c r="C245" t="s">
        <v>271</v>
      </c>
      <c r="D245">
        <v>23</v>
      </c>
      <c r="E245">
        <v>34</v>
      </c>
      <c r="F245">
        <v>57</v>
      </c>
      <c r="G245">
        <v>26</v>
      </c>
      <c r="H245">
        <v>12</v>
      </c>
      <c r="I245">
        <v>38</v>
      </c>
      <c r="J245">
        <v>14764</v>
      </c>
      <c r="K245">
        <v>0.38600000000000001</v>
      </c>
      <c r="L245">
        <v>0.25700000000000001</v>
      </c>
      <c r="M245">
        <v>12849</v>
      </c>
      <c r="N245">
        <v>0.44400000000000001</v>
      </c>
      <c r="O245">
        <v>0.29599999999999999</v>
      </c>
    </row>
    <row r="246" spans="1:15" x14ac:dyDescent="0.25">
      <c r="A246" t="s">
        <v>917</v>
      </c>
      <c r="B246" t="s">
        <v>49</v>
      </c>
      <c r="C246" t="s">
        <v>277</v>
      </c>
      <c r="D246">
        <v>230</v>
      </c>
      <c r="E246">
        <v>321</v>
      </c>
      <c r="F246">
        <v>551</v>
      </c>
      <c r="G246">
        <v>255</v>
      </c>
      <c r="H246">
        <v>150</v>
      </c>
      <c r="I246">
        <v>405</v>
      </c>
      <c r="J246">
        <v>68843</v>
      </c>
      <c r="K246">
        <v>0.8</v>
      </c>
      <c r="L246">
        <v>0.58799999999999997</v>
      </c>
      <c r="M246">
        <v>64415</v>
      </c>
      <c r="N246">
        <v>0.85499999999999998</v>
      </c>
      <c r="O246">
        <v>0.629</v>
      </c>
    </row>
    <row r="247" spans="1:15" x14ac:dyDescent="0.25">
      <c r="A247" t="s">
        <v>917</v>
      </c>
      <c r="B247" t="s">
        <v>50</v>
      </c>
      <c r="C247" t="s">
        <v>294</v>
      </c>
      <c r="D247">
        <v>678</v>
      </c>
      <c r="E247">
        <v>1189</v>
      </c>
      <c r="F247">
        <v>1867</v>
      </c>
      <c r="G247">
        <v>858</v>
      </c>
      <c r="H247">
        <v>263</v>
      </c>
      <c r="I247">
        <v>1121</v>
      </c>
      <c r="J247">
        <v>157625</v>
      </c>
      <c r="K247">
        <v>1.1839999999999999</v>
      </c>
      <c r="L247">
        <v>0.71099999999999997</v>
      </c>
      <c r="M247">
        <v>152910</v>
      </c>
      <c r="N247">
        <v>1.2210000000000001</v>
      </c>
      <c r="O247">
        <v>0.73299999999999998</v>
      </c>
    </row>
    <row r="248" spans="1:15" x14ac:dyDescent="0.25">
      <c r="A248" t="s">
        <v>917</v>
      </c>
      <c r="B248" t="s">
        <v>51</v>
      </c>
      <c r="C248" t="s">
        <v>278</v>
      </c>
      <c r="D248">
        <v>35</v>
      </c>
      <c r="E248">
        <v>35</v>
      </c>
      <c r="F248">
        <v>70</v>
      </c>
      <c r="G248">
        <v>45</v>
      </c>
      <c r="H248">
        <v>39</v>
      </c>
      <c r="I248">
        <v>84</v>
      </c>
      <c r="J248">
        <v>11391</v>
      </c>
      <c r="K248">
        <v>0.61499999999999999</v>
      </c>
      <c r="L248">
        <v>0.73699999999999999</v>
      </c>
      <c r="M248">
        <v>10635</v>
      </c>
      <c r="N248">
        <v>0.65800000000000003</v>
      </c>
      <c r="O248">
        <v>0.79</v>
      </c>
    </row>
    <row r="249" spans="1:15" x14ac:dyDescent="0.25">
      <c r="A249" t="s">
        <v>917</v>
      </c>
      <c r="B249" t="s">
        <v>52</v>
      </c>
      <c r="C249" t="s">
        <v>279</v>
      </c>
      <c r="D249">
        <v>166</v>
      </c>
      <c r="E249">
        <v>375</v>
      </c>
      <c r="F249">
        <v>541</v>
      </c>
      <c r="G249">
        <v>186</v>
      </c>
      <c r="H249">
        <v>102</v>
      </c>
      <c r="I249">
        <v>288</v>
      </c>
      <c r="J249">
        <v>73775</v>
      </c>
      <c r="K249">
        <v>0.73299999999999998</v>
      </c>
      <c r="L249">
        <v>0.39</v>
      </c>
      <c r="M249">
        <v>69432</v>
      </c>
      <c r="N249">
        <v>0.77900000000000003</v>
      </c>
      <c r="O249">
        <v>0.41499999999999998</v>
      </c>
    </row>
    <row r="250" spans="1:15" x14ac:dyDescent="0.25">
      <c r="A250" t="s">
        <v>917</v>
      </c>
      <c r="B250" t="s">
        <v>53</v>
      </c>
      <c r="C250" t="s">
        <v>289</v>
      </c>
      <c r="D250">
        <v>333</v>
      </c>
      <c r="E250">
        <v>352</v>
      </c>
      <c r="F250">
        <v>685</v>
      </c>
      <c r="G250">
        <v>424</v>
      </c>
      <c r="H250">
        <v>124</v>
      </c>
      <c r="I250">
        <v>548</v>
      </c>
      <c r="J250">
        <v>88624</v>
      </c>
      <c r="K250">
        <v>0.77300000000000002</v>
      </c>
      <c r="L250">
        <v>0.61799999999999999</v>
      </c>
      <c r="M250">
        <v>87241</v>
      </c>
      <c r="N250">
        <v>0.78500000000000003</v>
      </c>
      <c r="O250">
        <v>0.628</v>
      </c>
    </row>
    <row r="251" spans="1:15" x14ac:dyDescent="0.25">
      <c r="A251" t="s">
        <v>917</v>
      </c>
      <c r="B251" t="s">
        <v>54</v>
      </c>
      <c r="C251" t="s">
        <v>280</v>
      </c>
      <c r="D251">
        <v>265</v>
      </c>
      <c r="E251">
        <v>374</v>
      </c>
      <c r="F251">
        <v>639</v>
      </c>
      <c r="G251">
        <v>252</v>
      </c>
      <c r="H251">
        <v>193</v>
      </c>
      <c r="I251">
        <v>445</v>
      </c>
      <c r="J251">
        <v>58814</v>
      </c>
      <c r="K251">
        <v>1.0860000000000001</v>
      </c>
      <c r="L251">
        <v>0.75700000000000001</v>
      </c>
      <c r="M251">
        <v>54796</v>
      </c>
      <c r="N251">
        <v>1.1659999999999999</v>
      </c>
      <c r="O251">
        <v>0.81200000000000006</v>
      </c>
    </row>
    <row r="252" spans="1:15" x14ac:dyDescent="0.25">
      <c r="A252" t="s">
        <v>917</v>
      </c>
      <c r="B252" t="s">
        <v>55</v>
      </c>
      <c r="C252" t="s">
        <v>281</v>
      </c>
      <c r="D252">
        <v>17</v>
      </c>
      <c r="E252">
        <v>59</v>
      </c>
      <c r="F252">
        <v>76</v>
      </c>
      <c r="G252">
        <v>8</v>
      </c>
      <c r="H252">
        <v>26</v>
      </c>
      <c r="I252">
        <v>34</v>
      </c>
      <c r="J252">
        <v>11374</v>
      </c>
      <c r="K252">
        <v>0.66800000000000004</v>
      </c>
      <c r="L252">
        <v>0.29899999999999999</v>
      </c>
      <c r="M252">
        <v>10461</v>
      </c>
      <c r="N252">
        <v>0.72699999999999998</v>
      </c>
      <c r="O252">
        <v>0.32500000000000001</v>
      </c>
    </row>
    <row r="253" spans="1:15" x14ac:dyDescent="0.25">
      <c r="A253" t="s">
        <v>917</v>
      </c>
      <c r="B253" t="s">
        <v>56</v>
      </c>
      <c r="C253" t="s">
        <v>282</v>
      </c>
      <c r="D253">
        <v>130</v>
      </c>
      <c r="E253">
        <v>263</v>
      </c>
      <c r="F253">
        <v>393</v>
      </c>
      <c r="G253">
        <v>197</v>
      </c>
      <c r="H253">
        <v>53</v>
      </c>
      <c r="I253">
        <v>250</v>
      </c>
      <c r="J253">
        <v>55793</v>
      </c>
      <c r="K253">
        <v>0.70399999999999996</v>
      </c>
      <c r="L253">
        <v>0.44800000000000001</v>
      </c>
      <c r="M253">
        <v>52571</v>
      </c>
      <c r="N253">
        <v>0.748</v>
      </c>
      <c r="O253">
        <v>0.47599999999999998</v>
      </c>
    </row>
    <row r="254" spans="1:15" x14ac:dyDescent="0.25">
      <c r="A254" t="s">
        <v>917</v>
      </c>
      <c r="B254" t="s">
        <v>57</v>
      </c>
      <c r="C254" t="s">
        <v>283</v>
      </c>
      <c r="D254">
        <v>578</v>
      </c>
      <c r="E254">
        <v>758</v>
      </c>
      <c r="F254">
        <v>1336</v>
      </c>
      <c r="G254">
        <v>744</v>
      </c>
      <c r="H254">
        <v>232</v>
      </c>
      <c r="I254">
        <v>976</v>
      </c>
      <c r="J254">
        <v>153863</v>
      </c>
      <c r="K254">
        <v>0.86799999999999999</v>
      </c>
      <c r="L254">
        <v>0.63400000000000001</v>
      </c>
      <c r="M254">
        <v>148483</v>
      </c>
      <c r="N254">
        <v>0.9</v>
      </c>
      <c r="O254">
        <v>0.65700000000000003</v>
      </c>
    </row>
    <row r="255" spans="1:15" x14ac:dyDescent="0.25">
      <c r="A255" t="s">
        <v>917</v>
      </c>
      <c r="B255" t="s">
        <v>58</v>
      </c>
      <c r="C255" t="s">
        <v>284</v>
      </c>
      <c r="D255">
        <v>63</v>
      </c>
      <c r="E255">
        <v>108</v>
      </c>
      <c r="F255">
        <v>171</v>
      </c>
      <c r="G255">
        <v>76</v>
      </c>
      <c r="H255">
        <v>44</v>
      </c>
      <c r="I255">
        <v>120</v>
      </c>
      <c r="J255">
        <v>41950</v>
      </c>
      <c r="K255">
        <v>0.40799999999999997</v>
      </c>
      <c r="L255">
        <v>0.28599999999999998</v>
      </c>
      <c r="M255">
        <v>39896</v>
      </c>
      <c r="N255">
        <v>0.42899999999999999</v>
      </c>
      <c r="O255">
        <v>0.30099999999999999</v>
      </c>
    </row>
    <row r="256" spans="1:15" x14ac:dyDescent="0.25">
      <c r="A256" t="s">
        <v>917</v>
      </c>
      <c r="B256" t="s">
        <v>59</v>
      </c>
      <c r="C256" t="s">
        <v>290</v>
      </c>
      <c r="D256">
        <v>222</v>
      </c>
      <c r="E256">
        <v>355</v>
      </c>
      <c r="F256">
        <v>577</v>
      </c>
      <c r="G256">
        <v>269</v>
      </c>
      <c r="H256">
        <v>67</v>
      </c>
      <c r="I256">
        <v>336</v>
      </c>
      <c r="J256">
        <v>45148</v>
      </c>
      <c r="K256">
        <v>1.278</v>
      </c>
      <c r="L256">
        <v>0.74399999999999999</v>
      </c>
      <c r="M256">
        <v>43164</v>
      </c>
      <c r="N256">
        <v>1.337</v>
      </c>
      <c r="O256">
        <v>0.77800000000000002</v>
      </c>
    </row>
    <row r="257" spans="1:15" x14ac:dyDescent="0.25">
      <c r="A257" t="s">
        <v>917</v>
      </c>
      <c r="B257" t="s">
        <v>60</v>
      </c>
      <c r="C257" t="s">
        <v>291</v>
      </c>
      <c r="D257">
        <v>272</v>
      </c>
      <c r="E257">
        <v>405</v>
      </c>
      <c r="F257">
        <v>677</v>
      </c>
      <c r="G257">
        <v>260</v>
      </c>
      <c r="H257">
        <v>158</v>
      </c>
      <c r="I257">
        <v>418</v>
      </c>
      <c r="J257">
        <v>81723</v>
      </c>
      <c r="K257">
        <v>0.82799999999999996</v>
      </c>
      <c r="L257">
        <v>0.51100000000000001</v>
      </c>
      <c r="M257">
        <v>79892</v>
      </c>
      <c r="N257">
        <v>0.84699999999999998</v>
      </c>
      <c r="O257">
        <v>0.52300000000000002</v>
      </c>
    </row>
    <row r="258" spans="1:15" x14ac:dyDescent="0.25">
      <c r="A258" t="s">
        <v>1010</v>
      </c>
      <c r="B258" t="s">
        <v>31</v>
      </c>
      <c r="C258" t="s">
        <v>285</v>
      </c>
      <c r="F258">
        <v>1463</v>
      </c>
      <c r="J258">
        <v>122242</v>
      </c>
      <c r="K258">
        <v>1.1970000000000001</v>
      </c>
      <c r="M258">
        <v>108844</v>
      </c>
      <c r="N258">
        <v>1.3439999999999999</v>
      </c>
    </row>
    <row r="259" spans="1:15" x14ac:dyDescent="0.25">
      <c r="A259" t="s">
        <v>1010</v>
      </c>
      <c r="B259" t="s">
        <v>32</v>
      </c>
      <c r="C259" t="s">
        <v>286</v>
      </c>
      <c r="F259">
        <v>1319</v>
      </c>
      <c r="J259">
        <v>120682</v>
      </c>
      <c r="K259">
        <v>1.093</v>
      </c>
      <c r="M259">
        <v>113861</v>
      </c>
      <c r="N259">
        <v>1.1579999999999999</v>
      </c>
    </row>
    <row r="260" spans="1:15" x14ac:dyDescent="0.25">
      <c r="A260" t="s">
        <v>1010</v>
      </c>
      <c r="B260" t="s">
        <v>33</v>
      </c>
      <c r="C260" t="s">
        <v>292</v>
      </c>
      <c r="F260">
        <v>1585</v>
      </c>
      <c r="J260">
        <v>57711</v>
      </c>
      <c r="K260">
        <v>2.746</v>
      </c>
      <c r="M260">
        <v>55003</v>
      </c>
      <c r="N260">
        <v>2.8820000000000001</v>
      </c>
    </row>
    <row r="261" spans="1:15" x14ac:dyDescent="0.25">
      <c r="A261" t="s">
        <v>1010</v>
      </c>
      <c r="B261" t="s">
        <v>34</v>
      </c>
      <c r="C261" t="s">
        <v>287</v>
      </c>
      <c r="F261">
        <v>1019</v>
      </c>
      <c r="J261">
        <v>48411</v>
      </c>
      <c r="K261">
        <v>2.105</v>
      </c>
      <c r="M261">
        <v>42384</v>
      </c>
      <c r="N261">
        <v>2.4039999999999999</v>
      </c>
    </row>
    <row r="262" spans="1:15" x14ac:dyDescent="0.25">
      <c r="A262" t="s">
        <v>1010</v>
      </c>
      <c r="B262" t="s">
        <v>243</v>
      </c>
      <c r="C262" t="s">
        <v>288</v>
      </c>
      <c r="F262">
        <v>2702</v>
      </c>
      <c r="J262">
        <v>257658</v>
      </c>
      <c r="K262">
        <v>1.0489999999999999</v>
      </c>
      <c r="M262">
        <v>241658</v>
      </c>
      <c r="N262">
        <v>1.1179999999999999</v>
      </c>
    </row>
    <row r="263" spans="1:15" x14ac:dyDescent="0.25">
      <c r="A263" t="s">
        <v>1010</v>
      </c>
      <c r="B263" t="s">
        <v>35</v>
      </c>
      <c r="C263" t="s">
        <v>266</v>
      </c>
      <c r="F263">
        <v>520</v>
      </c>
      <c r="J263">
        <v>24931</v>
      </c>
      <c r="K263">
        <v>2.0859999999999999</v>
      </c>
      <c r="M263">
        <v>24077</v>
      </c>
      <c r="N263">
        <v>2.16</v>
      </c>
    </row>
    <row r="264" spans="1:15" x14ac:dyDescent="0.25">
      <c r="A264" t="s">
        <v>1010</v>
      </c>
      <c r="B264" t="s">
        <v>36</v>
      </c>
      <c r="C264" t="s">
        <v>267</v>
      </c>
      <c r="F264">
        <v>1255</v>
      </c>
      <c r="J264">
        <v>75521</v>
      </c>
      <c r="K264">
        <v>1.6619999999999999</v>
      </c>
      <c r="M264">
        <v>70405</v>
      </c>
      <c r="N264">
        <v>1.7829999999999999</v>
      </c>
    </row>
    <row r="265" spans="1:15" x14ac:dyDescent="0.25">
      <c r="A265" t="s">
        <v>1010</v>
      </c>
      <c r="B265" t="s">
        <v>37</v>
      </c>
      <c r="C265" t="s">
        <v>293</v>
      </c>
      <c r="F265">
        <v>1766</v>
      </c>
      <c r="J265">
        <v>75453</v>
      </c>
      <c r="K265">
        <v>2.3410000000000002</v>
      </c>
      <c r="M265">
        <v>71224</v>
      </c>
      <c r="N265">
        <v>2.48</v>
      </c>
    </row>
    <row r="266" spans="1:15" x14ac:dyDescent="0.25">
      <c r="A266" t="s">
        <v>1010</v>
      </c>
      <c r="B266" t="s">
        <v>38</v>
      </c>
      <c r="C266" t="s">
        <v>268</v>
      </c>
      <c r="F266">
        <v>1194</v>
      </c>
      <c r="J266">
        <v>58973</v>
      </c>
      <c r="K266">
        <v>2.0249999999999999</v>
      </c>
      <c r="M266">
        <v>56149</v>
      </c>
      <c r="N266">
        <v>2.1259999999999999</v>
      </c>
    </row>
    <row r="267" spans="1:15" x14ac:dyDescent="0.25">
      <c r="A267" t="s">
        <v>1010</v>
      </c>
      <c r="B267" t="s">
        <v>39</v>
      </c>
      <c r="C267" t="s">
        <v>295</v>
      </c>
      <c r="F267">
        <v>1279</v>
      </c>
      <c r="J267">
        <v>47549</v>
      </c>
      <c r="K267">
        <v>2.69</v>
      </c>
      <c r="M267">
        <v>46849</v>
      </c>
      <c r="N267">
        <v>2.73</v>
      </c>
    </row>
    <row r="268" spans="1:15" x14ac:dyDescent="0.25">
      <c r="A268" t="s">
        <v>1010</v>
      </c>
      <c r="B268" t="s">
        <v>40</v>
      </c>
      <c r="C268" t="s">
        <v>269</v>
      </c>
      <c r="F268">
        <v>646</v>
      </c>
      <c r="J268">
        <v>50641</v>
      </c>
      <c r="K268">
        <v>1.276</v>
      </c>
      <c r="M268">
        <v>48440</v>
      </c>
      <c r="N268">
        <v>1.3340000000000001</v>
      </c>
    </row>
    <row r="269" spans="1:15" x14ac:dyDescent="0.25">
      <c r="A269" t="s">
        <v>1010</v>
      </c>
      <c r="B269" t="s">
        <v>41</v>
      </c>
      <c r="C269" t="s">
        <v>270</v>
      </c>
      <c r="F269">
        <v>645</v>
      </c>
      <c r="J269">
        <v>39909</v>
      </c>
      <c r="K269">
        <v>1.6160000000000001</v>
      </c>
      <c r="M269">
        <v>40081</v>
      </c>
      <c r="N269">
        <v>1.609</v>
      </c>
    </row>
    <row r="270" spans="1:15" x14ac:dyDescent="0.25">
      <c r="A270" t="s">
        <v>1010</v>
      </c>
      <c r="B270" t="s">
        <v>42</v>
      </c>
      <c r="C270" t="s">
        <v>272</v>
      </c>
      <c r="F270">
        <v>1070</v>
      </c>
      <c r="J270">
        <v>75942</v>
      </c>
      <c r="K270">
        <v>1.409</v>
      </c>
      <c r="M270">
        <v>73375</v>
      </c>
      <c r="N270">
        <v>1.458</v>
      </c>
    </row>
    <row r="271" spans="1:15" x14ac:dyDescent="0.25">
      <c r="A271" t="s">
        <v>1010</v>
      </c>
      <c r="B271" t="s">
        <v>43</v>
      </c>
      <c r="C271" t="s">
        <v>388</v>
      </c>
      <c r="F271">
        <v>3158</v>
      </c>
      <c r="J271">
        <v>180234</v>
      </c>
      <c r="K271">
        <v>1.752</v>
      </c>
      <c r="M271">
        <v>171086</v>
      </c>
      <c r="N271">
        <v>1.8460000000000001</v>
      </c>
    </row>
    <row r="272" spans="1:15" x14ac:dyDescent="0.25">
      <c r="A272" t="s">
        <v>1010</v>
      </c>
      <c r="B272" t="s">
        <v>117</v>
      </c>
      <c r="C272" t="s">
        <v>296</v>
      </c>
      <c r="F272">
        <v>4705</v>
      </c>
      <c r="J272">
        <v>319810</v>
      </c>
      <c r="K272">
        <v>1.4710000000000001</v>
      </c>
      <c r="M272">
        <v>298847</v>
      </c>
      <c r="N272">
        <v>1.5739999999999998</v>
      </c>
    </row>
    <row r="273" spans="1:14" x14ac:dyDescent="0.25">
      <c r="A273" t="s">
        <v>1010</v>
      </c>
      <c r="B273" t="s">
        <v>44</v>
      </c>
      <c r="C273" t="s">
        <v>273</v>
      </c>
      <c r="F273">
        <v>2214</v>
      </c>
      <c r="J273">
        <v>120785</v>
      </c>
      <c r="K273">
        <v>1.833</v>
      </c>
      <c r="M273">
        <v>110743</v>
      </c>
      <c r="N273">
        <v>1.9990000000000001</v>
      </c>
    </row>
    <row r="274" spans="1:14" x14ac:dyDescent="0.25">
      <c r="A274" t="s">
        <v>1010</v>
      </c>
      <c r="B274" t="s">
        <v>45</v>
      </c>
      <c r="C274" t="s">
        <v>274</v>
      </c>
      <c r="F274">
        <v>871</v>
      </c>
      <c r="J274">
        <v>39446</v>
      </c>
      <c r="K274">
        <v>2.2080000000000002</v>
      </c>
      <c r="M274">
        <v>37958</v>
      </c>
      <c r="N274">
        <v>2.2949999999999999</v>
      </c>
    </row>
    <row r="275" spans="1:14" x14ac:dyDescent="0.25">
      <c r="A275" t="s">
        <v>1010</v>
      </c>
      <c r="B275" t="s">
        <v>46</v>
      </c>
      <c r="C275" t="s">
        <v>275</v>
      </c>
      <c r="F275">
        <v>577</v>
      </c>
      <c r="J275">
        <v>42492</v>
      </c>
      <c r="K275">
        <v>1.3580000000000001</v>
      </c>
      <c r="M275">
        <v>40876</v>
      </c>
      <c r="N275">
        <v>1.4119999999999999</v>
      </c>
    </row>
    <row r="276" spans="1:14" x14ac:dyDescent="0.25">
      <c r="A276" t="s">
        <v>1010</v>
      </c>
      <c r="B276" t="s">
        <v>47</v>
      </c>
      <c r="C276" t="s">
        <v>276</v>
      </c>
      <c r="F276">
        <v>931</v>
      </c>
      <c r="J276">
        <v>46166</v>
      </c>
      <c r="K276">
        <v>2.0169999999999999</v>
      </c>
      <c r="M276">
        <v>43590</v>
      </c>
      <c r="N276">
        <v>2.1360000000000001</v>
      </c>
    </row>
    <row r="277" spans="1:14" x14ac:dyDescent="0.25">
      <c r="A277" t="s">
        <v>1010</v>
      </c>
      <c r="B277" t="s">
        <v>48</v>
      </c>
      <c r="C277" t="s">
        <v>271</v>
      </c>
      <c r="F277">
        <v>242</v>
      </c>
      <c r="J277">
        <v>14856</v>
      </c>
      <c r="K277">
        <v>1.629</v>
      </c>
      <c r="M277">
        <v>12925</v>
      </c>
      <c r="N277">
        <v>1.8719999999999999</v>
      </c>
    </row>
    <row r="278" spans="1:14" x14ac:dyDescent="0.25">
      <c r="A278" t="s">
        <v>1010</v>
      </c>
      <c r="B278" t="s">
        <v>49</v>
      </c>
      <c r="C278" t="s">
        <v>277</v>
      </c>
      <c r="F278">
        <v>1177</v>
      </c>
      <c r="J278">
        <v>69175</v>
      </c>
      <c r="K278">
        <v>1.7010000000000001</v>
      </c>
      <c r="M278">
        <v>64886</v>
      </c>
      <c r="N278">
        <v>1.8140000000000001</v>
      </c>
    </row>
    <row r="279" spans="1:14" x14ac:dyDescent="0.25">
      <c r="A279" t="s">
        <v>1010</v>
      </c>
      <c r="B279" t="s">
        <v>50</v>
      </c>
      <c r="C279" t="s">
        <v>294</v>
      </c>
      <c r="F279">
        <v>3283</v>
      </c>
      <c r="J279">
        <v>158456</v>
      </c>
      <c r="K279">
        <v>2.0720000000000001</v>
      </c>
      <c r="M279">
        <v>153643</v>
      </c>
      <c r="N279">
        <v>2.137</v>
      </c>
    </row>
    <row r="280" spans="1:14" x14ac:dyDescent="0.25">
      <c r="A280" t="s">
        <v>1010</v>
      </c>
      <c r="B280" t="s">
        <v>51</v>
      </c>
      <c r="C280" t="s">
        <v>278</v>
      </c>
      <c r="F280">
        <v>209</v>
      </c>
      <c r="J280">
        <v>11475</v>
      </c>
      <c r="K280">
        <v>1.821</v>
      </c>
      <c r="M280">
        <v>10758</v>
      </c>
      <c r="N280">
        <v>1.9430000000000001</v>
      </c>
    </row>
    <row r="281" spans="1:14" x14ac:dyDescent="0.25">
      <c r="A281" t="s">
        <v>1010</v>
      </c>
      <c r="B281" t="s">
        <v>52</v>
      </c>
      <c r="C281" t="s">
        <v>279</v>
      </c>
      <c r="F281">
        <v>849</v>
      </c>
      <c r="J281">
        <v>74589</v>
      </c>
      <c r="K281">
        <v>1.1379999999999999</v>
      </c>
      <c r="M281">
        <v>70315</v>
      </c>
      <c r="N281">
        <v>1.2070000000000001</v>
      </c>
    </row>
    <row r="282" spans="1:14" x14ac:dyDescent="0.25">
      <c r="A282" t="s">
        <v>1010</v>
      </c>
      <c r="B282" t="s">
        <v>53</v>
      </c>
      <c r="C282" t="s">
        <v>289</v>
      </c>
      <c r="F282">
        <v>1377</v>
      </c>
      <c r="J282">
        <v>89571</v>
      </c>
      <c r="K282">
        <v>1.5369999999999999</v>
      </c>
      <c r="M282">
        <v>87910</v>
      </c>
      <c r="N282">
        <v>1.5659999999999998</v>
      </c>
    </row>
    <row r="283" spans="1:14" x14ac:dyDescent="0.25">
      <c r="A283" t="s">
        <v>1010</v>
      </c>
      <c r="B283" t="s">
        <v>54</v>
      </c>
      <c r="C283" t="s">
        <v>280</v>
      </c>
      <c r="F283">
        <v>1001</v>
      </c>
      <c r="J283">
        <v>59126</v>
      </c>
      <c r="K283">
        <v>1.6930000000000001</v>
      </c>
      <c r="M283">
        <v>55296</v>
      </c>
      <c r="N283">
        <v>1.81</v>
      </c>
    </row>
    <row r="284" spans="1:14" x14ac:dyDescent="0.25">
      <c r="A284" t="s">
        <v>1010</v>
      </c>
      <c r="B284" t="s">
        <v>55</v>
      </c>
      <c r="C284" t="s">
        <v>281</v>
      </c>
      <c r="F284">
        <v>342</v>
      </c>
      <c r="J284">
        <v>11462</v>
      </c>
      <c r="K284">
        <v>2.984</v>
      </c>
      <c r="M284">
        <v>10554</v>
      </c>
      <c r="N284">
        <v>3.24</v>
      </c>
    </row>
    <row r="285" spans="1:14" x14ac:dyDescent="0.25">
      <c r="A285" t="s">
        <v>1010</v>
      </c>
      <c r="B285" t="s">
        <v>56</v>
      </c>
      <c r="C285" t="s">
        <v>282</v>
      </c>
      <c r="F285">
        <v>834</v>
      </c>
      <c r="J285">
        <v>56016</v>
      </c>
      <c r="K285">
        <v>1.4889999999999999</v>
      </c>
      <c r="M285">
        <v>52753</v>
      </c>
      <c r="N285">
        <v>1.581</v>
      </c>
    </row>
    <row r="286" spans="1:14" x14ac:dyDescent="0.25">
      <c r="A286" t="s">
        <v>1010</v>
      </c>
      <c r="B286" t="s">
        <v>57</v>
      </c>
      <c r="C286" t="s">
        <v>283</v>
      </c>
      <c r="F286">
        <v>3086</v>
      </c>
      <c r="J286">
        <v>155373</v>
      </c>
      <c r="K286">
        <v>1.986</v>
      </c>
      <c r="M286">
        <v>149864</v>
      </c>
      <c r="N286">
        <v>2.0590000000000002</v>
      </c>
    </row>
    <row r="287" spans="1:14" x14ac:dyDescent="0.25">
      <c r="A287" t="s">
        <v>1010</v>
      </c>
      <c r="B287" t="s">
        <v>58</v>
      </c>
      <c r="C287" t="s">
        <v>284</v>
      </c>
      <c r="F287">
        <v>479</v>
      </c>
      <c r="J287">
        <v>42140</v>
      </c>
      <c r="K287">
        <v>1.137</v>
      </c>
      <c r="M287">
        <v>40174</v>
      </c>
      <c r="N287">
        <v>1.1919999999999999</v>
      </c>
    </row>
    <row r="288" spans="1:14" x14ac:dyDescent="0.25">
      <c r="A288" t="s">
        <v>1010</v>
      </c>
      <c r="B288" t="s">
        <v>59</v>
      </c>
      <c r="C288" t="s">
        <v>290</v>
      </c>
      <c r="F288">
        <v>1111</v>
      </c>
      <c r="J288">
        <v>45607</v>
      </c>
      <c r="K288">
        <v>2.4359999999999999</v>
      </c>
      <c r="M288">
        <v>43364</v>
      </c>
      <c r="N288">
        <v>2.5620000000000003</v>
      </c>
    </row>
    <row r="289" spans="1:14" x14ac:dyDescent="0.25">
      <c r="A289" t="s">
        <v>1010</v>
      </c>
      <c r="B289" t="s">
        <v>60</v>
      </c>
      <c r="C289" t="s">
        <v>291</v>
      </c>
      <c r="F289">
        <v>1287</v>
      </c>
      <c r="J289">
        <v>82591</v>
      </c>
      <c r="K289">
        <v>1.5580000000000001</v>
      </c>
      <c r="M289">
        <v>80932</v>
      </c>
      <c r="N289">
        <v>1.5899999999999999</v>
      </c>
    </row>
    <row r="290" spans="1:14" x14ac:dyDescent="0.25">
      <c r="A290" t="s">
        <v>1061</v>
      </c>
      <c r="B290" t="s">
        <v>31</v>
      </c>
      <c r="C290" t="s">
        <v>285</v>
      </c>
      <c r="F290">
        <v>1645</v>
      </c>
      <c r="J290">
        <v>123363</v>
      </c>
      <c r="K290">
        <v>1.333</v>
      </c>
      <c r="M290">
        <v>109827</v>
      </c>
      <c r="N290">
        <v>1.498</v>
      </c>
    </row>
    <row r="291" spans="1:14" x14ac:dyDescent="0.25">
      <c r="A291" t="s">
        <v>1061</v>
      </c>
      <c r="B291" t="s">
        <v>32</v>
      </c>
      <c r="C291" t="s">
        <v>286</v>
      </c>
      <c r="F291">
        <v>1211</v>
      </c>
      <c r="J291">
        <v>121610</v>
      </c>
      <c r="K291">
        <v>0.996</v>
      </c>
      <c r="M291">
        <v>114897</v>
      </c>
      <c r="N291">
        <v>1.054</v>
      </c>
    </row>
    <row r="292" spans="1:14" x14ac:dyDescent="0.25">
      <c r="A292" t="s">
        <v>1061</v>
      </c>
      <c r="B292" t="s">
        <v>33</v>
      </c>
      <c r="C292" t="s">
        <v>292</v>
      </c>
      <c r="F292">
        <v>1332</v>
      </c>
      <c r="J292">
        <v>58088</v>
      </c>
      <c r="K292">
        <v>2.2930000000000001</v>
      </c>
      <c r="M292">
        <v>55441</v>
      </c>
      <c r="N292">
        <v>2.403</v>
      </c>
    </row>
    <row r="293" spans="1:14" x14ac:dyDescent="0.25">
      <c r="A293" t="s">
        <v>1061</v>
      </c>
      <c r="B293" t="s">
        <v>34</v>
      </c>
      <c r="C293" t="s">
        <v>287</v>
      </c>
      <c r="F293">
        <v>940</v>
      </c>
      <c r="J293">
        <v>48786</v>
      </c>
      <c r="K293">
        <v>1.927</v>
      </c>
      <c r="M293">
        <v>42664</v>
      </c>
      <c r="N293">
        <v>2.2029999999999998</v>
      </c>
    </row>
    <row r="294" spans="1:14" x14ac:dyDescent="0.25">
      <c r="A294" t="s">
        <v>1061</v>
      </c>
      <c r="B294" t="s">
        <v>243</v>
      </c>
      <c r="C294" t="s">
        <v>288</v>
      </c>
      <c r="F294">
        <v>2046</v>
      </c>
      <c r="J294">
        <v>261000</v>
      </c>
      <c r="K294">
        <v>0.78400000000000003</v>
      </c>
      <c r="M294">
        <v>244738</v>
      </c>
      <c r="N294">
        <v>0.83599999999999997</v>
      </c>
    </row>
    <row r="295" spans="1:14" x14ac:dyDescent="0.25">
      <c r="A295" t="s">
        <v>1061</v>
      </c>
      <c r="B295" t="s">
        <v>35</v>
      </c>
      <c r="C295" t="s">
        <v>266</v>
      </c>
      <c r="F295">
        <v>428</v>
      </c>
      <c r="J295">
        <v>25109</v>
      </c>
      <c r="K295">
        <v>1.7050000000000001</v>
      </c>
      <c r="M295">
        <v>24157</v>
      </c>
      <c r="N295">
        <v>1.772</v>
      </c>
    </row>
    <row r="296" spans="1:14" x14ac:dyDescent="0.25">
      <c r="A296" t="s">
        <v>1061</v>
      </c>
      <c r="B296" t="s">
        <v>36</v>
      </c>
      <c r="C296" t="s">
        <v>267</v>
      </c>
      <c r="F296">
        <v>1049</v>
      </c>
      <c r="J296">
        <v>75922</v>
      </c>
      <c r="K296">
        <v>1.3820000000000001</v>
      </c>
      <c r="M296">
        <v>70984</v>
      </c>
      <c r="N296">
        <v>1.478</v>
      </c>
    </row>
    <row r="297" spans="1:14" x14ac:dyDescent="0.25">
      <c r="A297" t="s">
        <v>1061</v>
      </c>
      <c r="B297" t="s">
        <v>37</v>
      </c>
      <c r="C297" t="s">
        <v>293</v>
      </c>
      <c r="F297">
        <v>1763</v>
      </c>
      <c r="J297">
        <v>75840</v>
      </c>
      <c r="K297">
        <v>2.3250000000000002</v>
      </c>
      <c r="M297">
        <v>71701</v>
      </c>
      <c r="N297">
        <v>2.4590000000000001</v>
      </c>
    </row>
    <row r="298" spans="1:14" x14ac:dyDescent="0.25">
      <c r="A298" t="s">
        <v>1061</v>
      </c>
      <c r="B298" t="s">
        <v>38</v>
      </c>
      <c r="C298" t="s">
        <v>268</v>
      </c>
      <c r="F298">
        <v>1109</v>
      </c>
      <c r="J298">
        <v>59305</v>
      </c>
      <c r="K298">
        <v>1.87</v>
      </c>
      <c r="M298">
        <v>56621</v>
      </c>
      <c r="N298">
        <v>1.9590000000000001</v>
      </c>
    </row>
    <row r="299" spans="1:14" x14ac:dyDescent="0.25">
      <c r="A299" t="s">
        <v>1061</v>
      </c>
      <c r="B299" t="s">
        <v>39</v>
      </c>
      <c r="C299" t="s">
        <v>295</v>
      </c>
      <c r="F299">
        <v>1173</v>
      </c>
      <c r="J299">
        <v>47934</v>
      </c>
      <c r="K299">
        <v>2.4470000000000001</v>
      </c>
      <c r="M299">
        <v>47131</v>
      </c>
      <c r="N299">
        <v>2.4889999999999999</v>
      </c>
    </row>
    <row r="300" spans="1:14" x14ac:dyDescent="0.25">
      <c r="A300" t="s">
        <v>1061</v>
      </c>
      <c r="B300" t="s">
        <v>40</v>
      </c>
      <c r="C300" t="s">
        <v>269</v>
      </c>
      <c r="F300">
        <v>520</v>
      </c>
      <c r="J300">
        <v>51409</v>
      </c>
      <c r="K300">
        <v>1.0109999999999999</v>
      </c>
      <c r="M300">
        <v>49220</v>
      </c>
      <c r="N300">
        <v>1.056</v>
      </c>
    </row>
    <row r="301" spans="1:14" x14ac:dyDescent="0.25">
      <c r="A301" t="s">
        <v>1061</v>
      </c>
      <c r="B301" t="s">
        <v>41</v>
      </c>
      <c r="C301" t="s">
        <v>270</v>
      </c>
      <c r="F301">
        <v>679</v>
      </c>
      <c r="J301">
        <v>40507</v>
      </c>
      <c r="K301">
        <v>1.6760000000000002</v>
      </c>
      <c r="M301">
        <v>40697</v>
      </c>
      <c r="N301">
        <v>1.6680000000000001</v>
      </c>
    </row>
    <row r="302" spans="1:14" x14ac:dyDescent="0.25">
      <c r="A302" t="s">
        <v>1061</v>
      </c>
      <c r="B302" t="s">
        <v>42</v>
      </c>
      <c r="C302" t="s">
        <v>272</v>
      </c>
      <c r="F302">
        <v>930</v>
      </c>
      <c r="J302">
        <v>76359</v>
      </c>
      <c r="K302">
        <v>1.218</v>
      </c>
      <c r="M302">
        <v>73646</v>
      </c>
      <c r="N302">
        <v>1.2629999999999999</v>
      </c>
    </row>
    <row r="303" spans="1:14" x14ac:dyDescent="0.25">
      <c r="A303" t="s">
        <v>1061</v>
      </c>
      <c r="B303" t="s">
        <v>43</v>
      </c>
      <c r="C303" t="s">
        <v>388</v>
      </c>
      <c r="F303">
        <v>2647</v>
      </c>
      <c r="J303">
        <v>181405</v>
      </c>
      <c r="K303">
        <v>1.4590000000000001</v>
      </c>
      <c r="M303">
        <v>172287</v>
      </c>
      <c r="N303">
        <v>1.536</v>
      </c>
    </row>
    <row r="304" spans="1:14" x14ac:dyDescent="0.25">
      <c r="A304" t="s">
        <v>1061</v>
      </c>
      <c r="B304" t="s">
        <v>117</v>
      </c>
      <c r="C304" t="s">
        <v>296</v>
      </c>
      <c r="F304">
        <v>4422</v>
      </c>
      <c r="J304">
        <v>322238</v>
      </c>
      <c r="K304">
        <v>1.3719999999999999</v>
      </c>
      <c r="M304">
        <v>300340</v>
      </c>
      <c r="N304">
        <v>1.472</v>
      </c>
    </row>
    <row r="305" spans="1:14" x14ac:dyDescent="0.25">
      <c r="A305" t="s">
        <v>1061</v>
      </c>
      <c r="B305" t="s">
        <v>44</v>
      </c>
      <c r="C305" t="s">
        <v>273</v>
      </c>
      <c r="F305">
        <v>2133</v>
      </c>
      <c r="J305">
        <v>122235</v>
      </c>
      <c r="K305">
        <v>1.7450000000000001</v>
      </c>
      <c r="M305">
        <v>111633</v>
      </c>
      <c r="N305">
        <v>1.911</v>
      </c>
    </row>
    <row r="306" spans="1:14" x14ac:dyDescent="0.25">
      <c r="A306" t="s">
        <v>1061</v>
      </c>
      <c r="B306" t="s">
        <v>45</v>
      </c>
      <c r="C306" t="s">
        <v>274</v>
      </c>
      <c r="F306">
        <v>592</v>
      </c>
      <c r="J306">
        <v>39776</v>
      </c>
      <c r="K306">
        <v>1.488</v>
      </c>
      <c r="M306">
        <v>38218</v>
      </c>
      <c r="N306">
        <v>1.5489999999999999</v>
      </c>
    </row>
    <row r="307" spans="1:14" x14ac:dyDescent="0.25">
      <c r="A307" t="s">
        <v>1061</v>
      </c>
      <c r="B307" t="s">
        <v>46</v>
      </c>
      <c r="C307" t="s">
        <v>275</v>
      </c>
      <c r="F307">
        <v>443</v>
      </c>
      <c r="J307">
        <v>43231</v>
      </c>
      <c r="K307">
        <v>1.0249999999999999</v>
      </c>
      <c r="M307">
        <v>41676</v>
      </c>
      <c r="N307">
        <v>1.0629999999999999</v>
      </c>
    </row>
    <row r="308" spans="1:14" x14ac:dyDescent="0.25">
      <c r="A308" t="s">
        <v>1061</v>
      </c>
      <c r="B308" t="s">
        <v>47</v>
      </c>
      <c r="C308" t="s">
        <v>276</v>
      </c>
      <c r="F308">
        <v>687</v>
      </c>
      <c r="J308">
        <v>46585</v>
      </c>
      <c r="K308">
        <v>1.4750000000000001</v>
      </c>
      <c r="M308">
        <v>43995</v>
      </c>
      <c r="N308">
        <v>1.5620000000000001</v>
      </c>
    </row>
    <row r="309" spans="1:14" x14ac:dyDescent="0.25">
      <c r="A309" t="s">
        <v>1061</v>
      </c>
      <c r="B309" t="s">
        <v>48</v>
      </c>
      <c r="C309" t="s">
        <v>271</v>
      </c>
      <c r="F309">
        <v>134</v>
      </c>
      <c r="J309">
        <v>14975</v>
      </c>
      <c r="K309">
        <v>0.89500000000000002</v>
      </c>
      <c r="M309">
        <v>12986</v>
      </c>
      <c r="N309">
        <v>1.032</v>
      </c>
    </row>
    <row r="310" spans="1:14" x14ac:dyDescent="0.25">
      <c r="A310" t="s">
        <v>1061</v>
      </c>
      <c r="B310" t="s">
        <v>49</v>
      </c>
      <c r="C310" t="s">
        <v>277</v>
      </c>
      <c r="F310">
        <v>944</v>
      </c>
      <c r="J310">
        <v>69747</v>
      </c>
      <c r="K310">
        <v>1.353</v>
      </c>
      <c r="M310">
        <v>65237</v>
      </c>
      <c r="N310">
        <v>1.4470000000000001</v>
      </c>
    </row>
    <row r="311" spans="1:14" x14ac:dyDescent="0.25">
      <c r="A311" t="s">
        <v>1061</v>
      </c>
      <c r="B311" t="s">
        <v>50</v>
      </c>
      <c r="C311" t="s">
        <v>294</v>
      </c>
      <c r="F311">
        <v>2568</v>
      </c>
      <c r="J311">
        <v>159586</v>
      </c>
      <c r="K311">
        <v>1.609</v>
      </c>
      <c r="M311">
        <v>154382</v>
      </c>
      <c r="N311">
        <v>1.663</v>
      </c>
    </row>
    <row r="312" spans="1:14" x14ac:dyDescent="0.25">
      <c r="A312" t="s">
        <v>1061</v>
      </c>
      <c r="B312" t="s">
        <v>51</v>
      </c>
      <c r="C312" t="s">
        <v>278</v>
      </c>
      <c r="F312">
        <v>148</v>
      </c>
      <c r="J312">
        <v>11618</v>
      </c>
      <c r="K312">
        <v>1.274</v>
      </c>
      <c r="M312">
        <v>10799</v>
      </c>
      <c r="N312">
        <v>1.37</v>
      </c>
    </row>
    <row r="313" spans="1:14" x14ac:dyDescent="0.25">
      <c r="A313" t="s">
        <v>1061</v>
      </c>
      <c r="B313" t="s">
        <v>52</v>
      </c>
      <c r="C313" t="s">
        <v>279</v>
      </c>
      <c r="F313">
        <v>890</v>
      </c>
      <c r="J313">
        <v>75321</v>
      </c>
      <c r="K313">
        <v>1.1819999999999999</v>
      </c>
      <c r="M313">
        <v>71103</v>
      </c>
      <c r="N313">
        <v>1.252</v>
      </c>
    </row>
    <row r="314" spans="1:14" x14ac:dyDescent="0.25">
      <c r="A314" t="s">
        <v>1061</v>
      </c>
      <c r="B314" t="s">
        <v>53</v>
      </c>
      <c r="C314" t="s">
        <v>289</v>
      </c>
      <c r="F314">
        <v>1179</v>
      </c>
      <c r="J314">
        <v>90485</v>
      </c>
      <c r="K314">
        <v>1.3029999999999999</v>
      </c>
      <c r="M314">
        <v>88749</v>
      </c>
      <c r="N314">
        <v>1.3280000000000001</v>
      </c>
    </row>
    <row r="315" spans="1:14" x14ac:dyDescent="0.25">
      <c r="A315" t="s">
        <v>1061</v>
      </c>
      <c r="B315" t="s">
        <v>54</v>
      </c>
      <c r="C315" t="s">
        <v>280</v>
      </c>
      <c r="F315">
        <v>859</v>
      </c>
      <c r="J315">
        <v>59557</v>
      </c>
      <c r="K315">
        <v>1.4419999999999999</v>
      </c>
      <c r="M315">
        <v>55660</v>
      </c>
      <c r="N315">
        <v>1.5430000000000001</v>
      </c>
    </row>
    <row r="316" spans="1:14" x14ac:dyDescent="0.25">
      <c r="A316" t="s">
        <v>1061</v>
      </c>
      <c r="B316" t="s">
        <v>55</v>
      </c>
      <c r="C316" t="s">
        <v>281</v>
      </c>
      <c r="F316">
        <v>228</v>
      </c>
      <c r="J316">
        <v>11544</v>
      </c>
      <c r="K316">
        <v>1.9750000000000001</v>
      </c>
      <c r="M316">
        <v>10633</v>
      </c>
      <c r="N316">
        <v>2.1440000000000001</v>
      </c>
    </row>
    <row r="317" spans="1:14" x14ac:dyDescent="0.25">
      <c r="A317" t="s">
        <v>1061</v>
      </c>
      <c r="B317" t="s">
        <v>56</v>
      </c>
      <c r="C317" t="s">
        <v>282</v>
      </c>
      <c r="F317">
        <v>675</v>
      </c>
      <c r="J317">
        <v>56453</v>
      </c>
      <c r="K317">
        <v>1.196</v>
      </c>
      <c r="M317">
        <v>52920</v>
      </c>
      <c r="N317">
        <v>1.276</v>
      </c>
    </row>
    <row r="318" spans="1:14" x14ac:dyDescent="0.25">
      <c r="A318" t="s">
        <v>1061</v>
      </c>
      <c r="B318" t="s">
        <v>57</v>
      </c>
      <c r="C318" t="s">
        <v>283</v>
      </c>
      <c r="F318">
        <v>2707</v>
      </c>
      <c r="J318">
        <v>157277</v>
      </c>
      <c r="K318">
        <v>1.7210000000000001</v>
      </c>
      <c r="M318">
        <v>151587</v>
      </c>
      <c r="N318">
        <v>1.786</v>
      </c>
    </row>
    <row r="319" spans="1:14" x14ac:dyDescent="0.25">
      <c r="A319" t="s">
        <v>1061</v>
      </c>
      <c r="B319" t="s">
        <v>58</v>
      </c>
      <c r="C319" t="s">
        <v>284</v>
      </c>
      <c r="F319">
        <v>450</v>
      </c>
      <c r="J319">
        <v>42644</v>
      </c>
      <c r="K319">
        <v>1.0549999999999999</v>
      </c>
      <c r="M319">
        <v>40609</v>
      </c>
      <c r="N319">
        <v>1.1080000000000001</v>
      </c>
    </row>
    <row r="320" spans="1:14" x14ac:dyDescent="0.25">
      <c r="A320" t="s">
        <v>1061</v>
      </c>
      <c r="B320" t="s">
        <v>59</v>
      </c>
      <c r="C320" t="s">
        <v>290</v>
      </c>
      <c r="F320">
        <v>928</v>
      </c>
      <c r="J320">
        <v>45846</v>
      </c>
      <c r="K320">
        <v>2.024</v>
      </c>
      <c r="M320">
        <v>43481</v>
      </c>
      <c r="N320">
        <v>2.1339999999999999</v>
      </c>
    </row>
    <row r="321" spans="1:15" x14ac:dyDescent="0.25">
      <c r="A321" t="s">
        <v>1061</v>
      </c>
      <c r="B321" t="s">
        <v>60</v>
      </c>
      <c r="C321" t="s">
        <v>291</v>
      </c>
      <c r="F321">
        <v>1240</v>
      </c>
      <c r="J321">
        <v>83624</v>
      </c>
      <c r="K321">
        <v>1.4830000000000001</v>
      </c>
      <c r="M321">
        <v>81779</v>
      </c>
      <c r="N321">
        <v>1.516</v>
      </c>
    </row>
    <row r="322" spans="1:15" x14ac:dyDescent="0.25">
      <c r="A322" t="s">
        <v>1108</v>
      </c>
      <c r="B322" t="s">
        <v>31</v>
      </c>
      <c r="D322">
        <v>158</v>
      </c>
      <c r="E322">
        <v>1521</v>
      </c>
      <c r="F322">
        <v>1679</v>
      </c>
      <c r="G322">
        <v>349</v>
      </c>
      <c r="H322">
        <v>132</v>
      </c>
      <c r="I322">
        <v>481</v>
      </c>
      <c r="J322">
        <v>124369</v>
      </c>
      <c r="K322">
        <v>1.35</v>
      </c>
      <c r="L322">
        <v>0.38700000000000001</v>
      </c>
      <c r="M322">
        <v>111024</v>
      </c>
      <c r="N322">
        <v>1.512</v>
      </c>
      <c r="O322">
        <v>0.433</v>
      </c>
    </row>
    <row r="323" spans="1:15" x14ac:dyDescent="0.25">
      <c r="A323" t="s">
        <v>1108</v>
      </c>
      <c r="B323" t="s">
        <v>32</v>
      </c>
      <c r="D323">
        <v>107</v>
      </c>
      <c r="E323">
        <v>1157</v>
      </c>
      <c r="F323">
        <v>1264</v>
      </c>
      <c r="G323">
        <v>248</v>
      </c>
      <c r="H323">
        <v>62</v>
      </c>
      <c r="I323">
        <v>310</v>
      </c>
      <c r="J323">
        <v>122524</v>
      </c>
      <c r="K323">
        <v>1.032</v>
      </c>
      <c r="L323">
        <v>0.253</v>
      </c>
      <c r="M323">
        <v>116807</v>
      </c>
      <c r="N323">
        <v>1.0820000000000001</v>
      </c>
      <c r="O323">
        <v>0.26500000000000001</v>
      </c>
    </row>
    <row r="324" spans="1:15" x14ac:dyDescent="0.25">
      <c r="A324" t="s">
        <v>1108</v>
      </c>
      <c r="B324" t="s">
        <v>33</v>
      </c>
      <c r="D324">
        <v>107</v>
      </c>
      <c r="E324">
        <v>867</v>
      </c>
      <c r="F324">
        <v>974</v>
      </c>
      <c r="G324">
        <v>138</v>
      </c>
      <c r="H324">
        <v>132</v>
      </c>
      <c r="I324">
        <v>270</v>
      </c>
      <c r="J324">
        <v>58286</v>
      </c>
      <c r="K324">
        <v>1.671</v>
      </c>
      <c r="L324">
        <v>0.46300000000000002</v>
      </c>
      <c r="M324">
        <v>54804</v>
      </c>
      <c r="N324">
        <v>1.7770000000000001</v>
      </c>
      <c r="O324">
        <v>0.49299999999999999</v>
      </c>
    </row>
    <row r="325" spans="1:15" x14ac:dyDescent="0.25">
      <c r="A325" t="s">
        <v>1108</v>
      </c>
      <c r="B325" t="s">
        <v>34</v>
      </c>
      <c r="D325">
        <v>97</v>
      </c>
      <c r="E325">
        <v>739</v>
      </c>
      <c r="F325">
        <v>836</v>
      </c>
      <c r="G325">
        <v>182</v>
      </c>
      <c r="H325">
        <v>82</v>
      </c>
      <c r="I325">
        <v>264</v>
      </c>
      <c r="J325">
        <v>49144</v>
      </c>
      <c r="K325">
        <v>1.7010000000000001</v>
      </c>
      <c r="L325">
        <v>0.53700000000000003</v>
      </c>
      <c r="M325">
        <v>42610</v>
      </c>
      <c r="N325">
        <v>1.962</v>
      </c>
      <c r="O325">
        <v>0.62</v>
      </c>
    </row>
    <row r="326" spans="1:15" x14ac:dyDescent="0.25">
      <c r="A326" t="s">
        <v>1108</v>
      </c>
      <c r="B326" t="s">
        <v>243</v>
      </c>
      <c r="D326">
        <v>261</v>
      </c>
      <c r="E326">
        <v>2310</v>
      </c>
      <c r="F326">
        <v>2571</v>
      </c>
      <c r="G326">
        <v>433</v>
      </c>
      <c r="H326">
        <v>284</v>
      </c>
      <c r="I326">
        <v>717</v>
      </c>
      <c r="J326">
        <v>263670</v>
      </c>
      <c r="K326">
        <v>0.97499999999999998</v>
      </c>
      <c r="L326">
        <v>0.27200000000000002</v>
      </c>
      <c r="M326">
        <v>242021</v>
      </c>
      <c r="N326">
        <v>1.0620000000000001</v>
      </c>
      <c r="O326">
        <v>0.29599999999999999</v>
      </c>
    </row>
    <row r="327" spans="1:15" x14ac:dyDescent="0.25">
      <c r="A327" t="s">
        <v>1108</v>
      </c>
      <c r="B327" t="s">
        <v>35</v>
      </c>
      <c r="D327">
        <v>58</v>
      </c>
      <c r="E327">
        <v>398</v>
      </c>
      <c r="F327">
        <v>456</v>
      </c>
      <c r="G327">
        <v>88</v>
      </c>
      <c r="H327">
        <v>43</v>
      </c>
      <c r="I327">
        <v>131</v>
      </c>
      <c r="J327">
        <v>25277</v>
      </c>
      <c r="K327">
        <v>1.804</v>
      </c>
      <c r="L327">
        <v>0.51800000000000002</v>
      </c>
      <c r="M327">
        <v>24305</v>
      </c>
      <c r="N327">
        <v>1.8759999999999999</v>
      </c>
      <c r="O327">
        <v>0.53900000000000003</v>
      </c>
    </row>
    <row r="328" spans="1:15" x14ac:dyDescent="0.25">
      <c r="A328" t="s">
        <v>1108</v>
      </c>
      <c r="B328" t="s">
        <v>36</v>
      </c>
      <c r="D328">
        <v>237</v>
      </c>
      <c r="E328">
        <v>850</v>
      </c>
      <c r="F328">
        <v>1087</v>
      </c>
      <c r="G328">
        <v>462</v>
      </c>
      <c r="H328">
        <v>162</v>
      </c>
      <c r="I328">
        <v>624</v>
      </c>
      <c r="J328">
        <v>76275</v>
      </c>
      <c r="K328">
        <v>1.425</v>
      </c>
      <c r="L328">
        <v>0.81799999999999995</v>
      </c>
      <c r="M328">
        <v>70696</v>
      </c>
      <c r="N328">
        <v>1.538</v>
      </c>
      <c r="O328">
        <v>0.88300000000000001</v>
      </c>
    </row>
    <row r="329" spans="1:15" x14ac:dyDescent="0.25">
      <c r="A329" t="s">
        <v>1108</v>
      </c>
      <c r="B329" t="s">
        <v>37</v>
      </c>
      <c r="D329">
        <v>134</v>
      </c>
      <c r="E329">
        <v>1306</v>
      </c>
      <c r="F329">
        <v>1440</v>
      </c>
      <c r="G329">
        <v>158</v>
      </c>
      <c r="H329">
        <v>117</v>
      </c>
      <c r="I329">
        <v>275</v>
      </c>
      <c r="J329">
        <v>76306</v>
      </c>
      <c r="K329">
        <v>1.887</v>
      </c>
      <c r="L329">
        <v>0.36</v>
      </c>
      <c r="M329">
        <v>70409</v>
      </c>
      <c r="N329">
        <v>2.0449999999999999</v>
      </c>
      <c r="O329">
        <v>0.39100000000000001</v>
      </c>
    </row>
    <row r="330" spans="1:15" x14ac:dyDescent="0.25">
      <c r="A330" t="s">
        <v>1108</v>
      </c>
      <c r="B330" t="s">
        <v>38</v>
      </c>
      <c r="D330">
        <v>264</v>
      </c>
      <c r="E330">
        <v>829</v>
      </c>
      <c r="F330">
        <v>1093</v>
      </c>
      <c r="G330">
        <v>597</v>
      </c>
      <c r="H330">
        <v>105</v>
      </c>
      <c r="I330">
        <v>702</v>
      </c>
      <c r="J330">
        <v>59737</v>
      </c>
      <c r="K330">
        <v>1.83</v>
      </c>
      <c r="L330">
        <v>1.175</v>
      </c>
      <c r="M330">
        <v>55811</v>
      </c>
      <c r="N330">
        <v>1.958</v>
      </c>
      <c r="O330">
        <v>1.258</v>
      </c>
    </row>
    <row r="331" spans="1:15" x14ac:dyDescent="0.25">
      <c r="A331" t="s">
        <v>1108</v>
      </c>
      <c r="B331" t="s">
        <v>39</v>
      </c>
      <c r="D331">
        <v>166</v>
      </c>
      <c r="E331">
        <v>855</v>
      </c>
      <c r="F331">
        <v>1021</v>
      </c>
      <c r="G331">
        <v>316</v>
      </c>
      <c r="H331">
        <v>101</v>
      </c>
      <c r="I331">
        <v>417</v>
      </c>
      <c r="J331">
        <v>48165</v>
      </c>
      <c r="K331">
        <v>2.12</v>
      </c>
      <c r="L331">
        <v>0.86599999999999999</v>
      </c>
      <c r="M331">
        <v>46610</v>
      </c>
      <c r="N331">
        <v>2.1909999999999998</v>
      </c>
      <c r="O331">
        <v>0.89500000000000002</v>
      </c>
    </row>
    <row r="332" spans="1:15" x14ac:dyDescent="0.25">
      <c r="A332" t="s">
        <v>1108</v>
      </c>
      <c r="B332" t="s">
        <v>40</v>
      </c>
      <c r="D332">
        <v>64</v>
      </c>
      <c r="E332">
        <v>559</v>
      </c>
      <c r="F332">
        <v>623</v>
      </c>
      <c r="G332">
        <v>118</v>
      </c>
      <c r="H332">
        <v>39</v>
      </c>
      <c r="I332">
        <v>157</v>
      </c>
      <c r="J332">
        <v>52327</v>
      </c>
      <c r="K332">
        <v>1.1910000000000001</v>
      </c>
      <c r="L332">
        <v>0.3</v>
      </c>
      <c r="M332">
        <v>49686</v>
      </c>
      <c r="N332">
        <v>1.254</v>
      </c>
      <c r="O332">
        <v>0.316</v>
      </c>
    </row>
    <row r="333" spans="1:15" x14ac:dyDescent="0.25">
      <c r="A333" t="s">
        <v>1108</v>
      </c>
      <c r="B333" t="s">
        <v>41</v>
      </c>
      <c r="D333">
        <v>159</v>
      </c>
      <c r="E333">
        <v>487</v>
      </c>
      <c r="F333">
        <v>646</v>
      </c>
      <c r="G333">
        <v>314</v>
      </c>
      <c r="H333">
        <v>68</v>
      </c>
      <c r="I333">
        <v>382</v>
      </c>
      <c r="J333">
        <v>40849</v>
      </c>
      <c r="K333">
        <v>1.581</v>
      </c>
      <c r="L333">
        <v>0.93500000000000005</v>
      </c>
      <c r="M333">
        <v>40260</v>
      </c>
      <c r="N333">
        <v>1.605</v>
      </c>
      <c r="O333">
        <v>0.94899999999999995</v>
      </c>
    </row>
    <row r="334" spans="1:15" x14ac:dyDescent="0.25">
      <c r="A334" t="s">
        <v>1108</v>
      </c>
      <c r="B334" t="s">
        <v>42</v>
      </c>
      <c r="D334">
        <v>125</v>
      </c>
      <c r="E334">
        <v>679</v>
      </c>
      <c r="F334">
        <v>804</v>
      </c>
      <c r="G334">
        <v>275</v>
      </c>
      <c r="H334">
        <v>91</v>
      </c>
      <c r="I334">
        <v>366</v>
      </c>
      <c r="J334">
        <v>76689</v>
      </c>
      <c r="K334">
        <v>1.048</v>
      </c>
      <c r="L334">
        <v>0.47699999999999998</v>
      </c>
      <c r="M334">
        <v>72907</v>
      </c>
      <c r="N334">
        <v>1.103</v>
      </c>
      <c r="O334">
        <v>0.502</v>
      </c>
    </row>
    <row r="335" spans="1:15" x14ac:dyDescent="0.25">
      <c r="A335" t="s">
        <v>1108</v>
      </c>
      <c r="B335" t="s">
        <v>43</v>
      </c>
      <c r="D335">
        <v>483</v>
      </c>
      <c r="E335">
        <v>1849</v>
      </c>
      <c r="F335">
        <v>2332</v>
      </c>
      <c r="G335">
        <v>832</v>
      </c>
      <c r="H335">
        <v>385</v>
      </c>
      <c r="I335">
        <v>1217</v>
      </c>
      <c r="J335">
        <v>182775</v>
      </c>
      <c r="K335">
        <v>1.276</v>
      </c>
      <c r="L335">
        <v>0.66600000000000004</v>
      </c>
      <c r="M335">
        <v>170982</v>
      </c>
      <c r="N335">
        <v>1.3639999999999999</v>
      </c>
      <c r="O335">
        <v>0.71199999999999997</v>
      </c>
    </row>
    <row r="336" spans="1:15" x14ac:dyDescent="0.25">
      <c r="A336" t="s">
        <v>1108</v>
      </c>
      <c r="B336" t="s">
        <v>117</v>
      </c>
      <c r="D336">
        <v>750</v>
      </c>
      <c r="E336">
        <v>3363</v>
      </c>
      <c r="F336">
        <v>4113</v>
      </c>
      <c r="G336">
        <v>1391</v>
      </c>
      <c r="H336">
        <v>534</v>
      </c>
      <c r="I336">
        <v>1925</v>
      </c>
      <c r="J336">
        <v>324431</v>
      </c>
      <c r="K336">
        <v>1.268</v>
      </c>
      <c r="L336">
        <v>0.59299999999999997</v>
      </c>
      <c r="M336">
        <v>297386</v>
      </c>
      <c r="N336">
        <v>1.383</v>
      </c>
      <c r="O336">
        <v>0.64700000000000002</v>
      </c>
    </row>
    <row r="337" spans="1:15" x14ac:dyDescent="0.25">
      <c r="A337" t="s">
        <v>1108</v>
      </c>
      <c r="B337" t="s">
        <v>44</v>
      </c>
      <c r="D337">
        <v>145</v>
      </c>
      <c r="E337">
        <v>1925</v>
      </c>
      <c r="F337">
        <v>2070</v>
      </c>
      <c r="G337">
        <v>231</v>
      </c>
      <c r="H337">
        <v>226</v>
      </c>
      <c r="I337">
        <v>457</v>
      </c>
      <c r="J337">
        <v>123568</v>
      </c>
      <c r="K337">
        <v>1.675</v>
      </c>
      <c r="L337">
        <v>0.37</v>
      </c>
      <c r="M337">
        <v>112857</v>
      </c>
      <c r="N337">
        <v>1.8340000000000001</v>
      </c>
      <c r="O337">
        <v>0.40500000000000003</v>
      </c>
    </row>
    <row r="338" spans="1:15" x14ac:dyDescent="0.25">
      <c r="A338" t="s">
        <v>1108</v>
      </c>
      <c r="B338" t="s">
        <v>45</v>
      </c>
      <c r="D338">
        <v>173</v>
      </c>
      <c r="E338">
        <v>319</v>
      </c>
      <c r="F338">
        <v>492</v>
      </c>
      <c r="G338">
        <v>321</v>
      </c>
      <c r="H338">
        <v>116</v>
      </c>
      <c r="I338">
        <v>437</v>
      </c>
      <c r="J338">
        <v>39913</v>
      </c>
      <c r="K338">
        <v>1.2330000000000001</v>
      </c>
      <c r="L338">
        <v>1.095</v>
      </c>
      <c r="M338">
        <v>37556</v>
      </c>
      <c r="N338">
        <v>1.31</v>
      </c>
      <c r="O338">
        <v>1.1639999999999999</v>
      </c>
    </row>
    <row r="339" spans="1:15" x14ac:dyDescent="0.25">
      <c r="A339" t="s">
        <v>1108</v>
      </c>
      <c r="B339" t="s">
        <v>46</v>
      </c>
      <c r="D339">
        <v>68</v>
      </c>
      <c r="E339">
        <v>350</v>
      </c>
      <c r="F339">
        <v>418</v>
      </c>
      <c r="G339">
        <v>133</v>
      </c>
      <c r="H339">
        <v>47</v>
      </c>
      <c r="I339">
        <v>180</v>
      </c>
      <c r="J339">
        <v>44052</v>
      </c>
      <c r="K339">
        <v>0.94899999999999995</v>
      </c>
      <c r="L339">
        <v>0.40899999999999997</v>
      </c>
      <c r="M339">
        <v>41958</v>
      </c>
      <c r="N339">
        <v>0.996</v>
      </c>
      <c r="O339">
        <v>0.42899999999999999</v>
      </c>
    </row>
    <row r="340" spans="1:15" x14ac:dyDescent="0.25">
      <c r="A340" t="s">
        <v>1108</v>
      </c>
      <c r="B340" t="s">
        <v>47</v>
      </c>
      <c r="D340">
        <v>58</v>
      </c>
      <c r="E340">
        <v>619</v>
      </c>
      <c r="F340">
        <v>677</v>
      </c>
      <c r="G340">
        <v>104</v>
      </c>
      <c r="H340">
        <v>71</v>
      </c>
      <c r="I340">
        <v>175</v>
      </c>
      <c r="J340">
        <v>47060</v>
      </c>
      <c r="K340">
        <v>1.4390000000000001</v>
      </c>
      <c r="L340">
        <v>0.372</v>
      </c>
      <c r="M340">
        <v>43891</v>
      </c>
      <c r="N340">
        <v>1.542</v>
      </c>
      <c r="O340">
        <v>0.39900000000000002</v>
      </c>
    </row>
    <row r="341" spans="1:15" x14ac:dyDescent="0.25">
      <c r="A341" t="s">
        <v>1108</v>
      </c>
      <c r="B341" t="s">
        <v>48</v>
      </c>
      <c r="D341">
        <v>12</v>
      </c>
      <c r="E341">
        <v>90</v>
      </c>
      <c r="F341">
        <v>102</v>
      </c>
      <c r="G341">
        <v>28</v>
      </c>
      <c r="H341">
        <v>18</v>
      </c>
      <c r="I341">
        <v>46</v>
      </c>
      <c r="J341">
        <v>15097</v>
      </c>
      <c r="K341">
        <v>0.67600000000000005</v>
      </c>
      <c r="L341">
        <v>0.30499999999999999</v>
      </c>
      <c r="M341">
        <v>12806</v>
      </c>
      <c r="N341">
        <v>0.79700000000000004</v>
      </c>
      <c r="O341">
        <v>0.35899999999999999</v>
      </c>
    </row>
    <row r="342" spans="1:15" x14ac:dyDescent="0.25">
      <c r="A342" t="s">
        <v>1108</v>
      </c>
      <c r="B342" t="s">
        <v>49</v>
      </c>
      <c r="D342">
        <v>201</v>
      </c>
      <c r="E342">
        <v>666</v>
      </c>
      <c r="F342">
        <v>867</v>
      </c>
      <c r="G342">
        <v>311</v>
      </c>
      <c r="H342">
        <v>176</v>
      </c>
      <c r="I342">
        <v>487</v>
      </c>
      <c r="J342">
        <v>70223</v>
      </c>
      <c r="K342">
        <v>1.2349999999999999</v>
      </c>
      <c r="L342">
        <v>0.69399999999999995</v>
      </c>
      <c r="M342">
        <v>64633</v>
      </c>
      <c r="N342">
        <v>1.341</v>
      </c>
      <c r="O342">
        <v>0.753</v>
      </c>
    </row>
    <row r="343" spans="1:15" x14ac:dyDescent="0.25">
      <c r="A343" t="s">
        <v>1108</v>
      </c>
      <c r="B343" t="s">
        <v>50</v>
      </c>
      <c r="D343">
        <v>354</v>
      </c>
      <c r="E343">
        <v>1714</v>
      </c>
      <c r="F343">
        <v>2068</v>
      </c>
      <c r="G343">
        <v>743</v>
      </c>
      <c r="H343">
        <v>208</v>
      </c>
      <c r="I343">
        <v>951</v>
      </c>
      <c r="J343">
        <v>160560</v>
      </c>
      <c r="K343">
        <v>1.288</v>
      </c>
      <c r="L343">
        <v>0.59199999999999997</v>
      </c>
      <c r="M343">
        <v>152653</v>
      </c>
      <c r="N343">
        <v>1.355</v>
      </c>
      <c r="O343">
        <v>0.623</v>
      </c>
    </row>
    <row r="344" spans="1:15" x14ac:dyDescent="0.25">
      <c r="A344" t="s">
        <v>1108</v>
      </c>
      <c r="B344" t="s">
        <v>51</v>
      </c>
      <c r="D344">
        <v>31</v>
      </c>
      <c r="E344">
        <v>175</v>
      </c>
      <c r="F344">
        <v>206</v>
      </c>
      <c r="G344">
        <v>95</v>
      </c>
      <c r="H344">
        <v>16</v>
      </c>
      <c r="I344">
        <v>111</v>
      </c>
      <c r="J344">
        <v>11719</v>
      </c>
      <c r="K344">
        <v>1.758</v>
      </c>
      <c r="L344">
        <v>0.94699999999999995</v>
      </c>
      <c r="M344">
        <v>10811</v>
      </c>
      <c r="N344">
        <v>1.905</v>
      </c>
      <c r="O344">
        <v>1.0269999999999999</v>
      </c>
    </row>
    <row r="345" spans="1:15" x14ac:dyDescent="0.25">
      <c r="A345" t="s">
        <v>1108</v>
      </c>
      <c r="B345" t="s">
        <v>52</v>
      </c>
      <c r="D345">
        <v>110</v>
      </c>
      <c r="E345">
        <v>640</v>
      </c>
      <c r="F345">
        <v>750</v>
      </c>
      <c r="G345">
        <v>258</v>
      </c>
      <c r="H345">
        <v>52</v>
      </c>
      <c r="I345">
        <v>310</v>
      </c>
      <c r="J345">
        <v>76136</v>
      </c>
      <c r="K345">
        <v>0.98499999999999999</v>
      </c>
      <c r="L345">
        <v>0.40699999999999997</v>
      </c>
      <c r="M345">
        <v>70837</v>
      </c>
      <c r="N345">
        <v>1.0589999999999999</v>
      </c>
      <c r="O345">
        <v>0.438</v>
      </c>
    </row>
    <row r="346" spans="1:15" x14ac:dyDescent="0.25">
      <c r="A346" t="s">
        <v>1108</v>
      </c>
      <c r="B346" t="s">
        <v>53</v>
      </c>
      <c r="D346">
        <v>342</v>
      </c>
      <c r="E346">
        <v>826</v>
      </c>
      <c r="F346">
        <v>1168</v>
      </c>
      <c r="G346">
        <v>726</v>
      </c>
      <c r="H346">
        <v>131</v>
      </c>
      <c r="I346">
        <v>857</v>
      </c>
      <c r="J346">
        <v>91192</v>
      </c>
      <c r="K346">
        <v>1.2810000000000001</v>
      </c>
      <c r="L346">
        <v>0.94</v>
      </c>
      <c r="M346">
        <v>87576</v>
      </c>
      <c r="N346">
        <v>1.3340000000000001</v>
      </c>
      <c r="O346">
        <v>0.97899999999999998</v>
      </c>
    </row>
    <row r="347" spans="1:15" x14ac:dyDescent="0.25">
      <c r="A347" t="s">
        <v>1108</v>
      </c>
      <c r="B347" t="s">
        <v>54</v>
      </c>
      <c r="D347">
        <v>128</v>
      </c>
      <c r="E347">
        <v>776</v>
      </c>
      <c r="F347">
        <v>904</v>
      </c>
      <c r="G347">
        <v>257</v>
      </c>
      <c r="H347">
        <v>97</v>
      </c>
      <c r="I347">
        <v>354</v>
      </c>
      <c r="J347">
        <v>59974</v>
      </c>
      <c r="K347">
        <v>1.5070000000000001</v>
      </c>
      <c r="L347">
        <v>0.59</v>
      </c>
      <c r="M347">
        <v>55826</v>
      </c>
      <c r="N347">
        <v>1.619</v>
      </c>
      <c r="O347">
        <v>0.63400000000000001</v>
      </c>
    </row>
    <row r="348" spans="1:15" x14ac:dyDescent="0.25">
      <c r="A348" t="s">
        <v>1108</v>
      </c>
      <c r="B348" t="s">
        <v>55</v>
      </c>
      <c r="D348">
        <v>22</v>
      </c>
      <c r="E348">
        <v>194</v>
      </c>
      <c r="F348">
        <v>216</v>
      </c>
      <c r="G348">
        <v>19</v>
      </c>
      <c r="H348">
        <v>53</v>
      </c>
      <c r="I348">
        <v>72</v>
      </c>
      <c r="J348">
        <v>11629</v>
      </c>
      <c r="K348">
        <v>1.857</v>
      </c>
      <c r="L348">
        <v>0.61899999999999999</v>
      </c>
      <c r="M348">
        <v>10621</v>
      </c>
      <c r="N348">
        <v>2.0339999999999998</v>
      </c>
      <c r="O348">
        <v>0.67800000000000005</v>
      </c>
    </row>
    <row r="349" spans="1:15" x14ac:dyDescent="0.25">
      <c r="A349" t="s">
        <v>1108</v>
      </c>
      <c r="B349" t="s">
        <v>56</v>
      </c>
      <c r="D349">
        <v>161</v>
      </c>
      <c r="E349">
        <v>529</v>
      </c>
      <c r="F349">
        <v>690</v>
      </c>
      <c r="G349">
        <v>302</v>
      </c>
      <c r="H349">
        <v>110</v>
      </c>
      <c r="I349">
        <v>412</v>
      </c>
      <c r="J349">
        <v>56697</v>
      </c>
      <c r="K349">
        <v>1.2170000000000001</v>
      </c>
      <c r="L349">
        <v>0.72699999999999998</v>
      </c>
      <c r="M349">
        <v>52851</v>
      </c>
      <c r="N349">
        <v>1.306</v>
      </c>
      <c r="O349">
        <v>0.78</v>
      </c>
    </row>
    <row r="350" spans="1:15" x14ac:dyDescent="0.25">
      <c r="A350" t="s">
        <v>1108</v>
      </c>
      <c r="B350" t="s">
        <v>57</v>
      </c>
      <c r="D350">
        <v>424</v>
      </c>
      <c r="E350">
        <v>1894</v>
      </c>
      <c r="F350">
        <v>2318</v>
      </c>
      <c r="G350">
        <v>943</v>
      </c>
      <c r="H350">
        <v>264</v>
      </c>
      <c r="I350">
        <v>1207</v>
      </c>
      <c r="J350">
        <v>158594</v>
      </c>
      <c r="K350">
        <v>1.462</v>
      </c>
      <c r="L350">
        <v>0.76100000000000001</v>
      </c>
      <c r="M350">
        <v>149454</v>
      </c>
      <c r="N350">
        <v>1.5510000000000002</v>
      </c>
      <c r="O350">
        <v>0.80800000000000005</v>
      </c>
    </row>
    <row r="351" spans="1:15" x14ac:dyDescent="0.25">
      <c r="A351" t="s">
        <v>1108</v>
      </c>
      <c r="B351" t="s">
        <v>58</v>
      </c>
      <c r="D351">
        <v>103</v>
      </c>
      <c r="E351">
        <v>516</v>
      </c>
      <c r="F351">
        <v>619</v>
      </c>
      <c r="G351">
        <v>181</v>
      </c>
      <c r="H351">
        <v>85</v>
      </c>
      <c r="I351">
        <v>266</v>
      </c>
      <c r="J351">
        <v>42990</v>
      </c>
      <c r="K351">
        <v>1.44</v>
      </c>
      <c r="L351">
        <v>0.61899999999999999</v>
      </c>
      <c r="M351">
        <v>40810</v>
      </c>
      <c r="N351">
        <v>1.5169999999999999</v>
      </c>
      <c r="O351">
        <v>0.65200000000000002</v>
      </c>
    </row>
    <row r="352" spans="1:15" x14ac:dyDescent="0.25">
      <c r="A352" t="s">
        <v>1108</v>
      </c>
      <c r="B352" t="s">
        <v>59</v>
      </c>
      <c r="D352">
        <v>192</v>
      </c>
      <c r="E352">
        <v>751</v>
      </c>
      <c r="F352">
        <v>943</v>
      </c>
      <c r="G352">
        <v>266</v>
      </c>
      <c r="H352">
        <v>137</v>
      </c>
      <c r="I352">
        <v>403</v>
      </c>
      <c r="J352">
        <v>46068</v>
      </c>
      <c r="K352">
        <v>2.0470000000000002</v>
      </c>
      <c r="L352">
        <v>0.875</v>
      </c>
      <c r="M352">
        <v>42822</v>
      </c>
      <c r="N352">
        <v>2.202</v>
      </c>
      <c r="O352">
        <v>0.94099999999999995</v>
      </c>
    </row>
    <row r="353" spans="1:15" x14ac:dyDescent="0.25">
      <c r="A353" t="s">
        <v>1108</v>
      </c>
      <c r="B353" t="s">
        <v>60</v>
      </c>
      <c r="D353">
        <v>228</v>
      </c>
      <c r="E353">
        <v>1063</v>
      </c>
      <c r="F353">
        <v>1291</v>
      </c>
      <c r="G353">
        <v>622</v>
      </c>
      <c r="H353">
        <v>164</v>
      </c>
      <c r="I353">
        <v>786</v>
      </c>
      <c r="J353">
        <v>84929</v>
      </c>
      <c r="K353">
        <v>1.52</v>
      </c>
      <c r="L353">
        <v>0.92500000000000004</v>
      </c>
      <c r="M353">
        <v>81029</v>
      </c>
      <c r="N353">
        <v>1.593</v>
      </c>
      <c r="O353">
        <v>0.97</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29">
    <tabColor theme="7" tint="-0.249977111117893"/>
    <pageSetUpPr fitToPage="1"/>
  </sheetPr>
  <dimension ref="A1:K47"/>
  <sheetViews>
    <sheetView showGridLines="0" zoomScaleNormal="100" workbookViewId="0">
      <pane ySplit="2" topLeftCell="A3" activePane="bottomLeft" state="frozen"/>
      <selection pane="bottomLeft"/>
    </sheetView>
  </sheetViews>
  <sheetFormatPr defaultRowHeight="15" x14ac:dyDescent="0.25"/>
  <cols>
    <col min="1" max="1" width="18.42578125" customWidth="1"/>
    <col min="2" max="2" width="26.42578125" customWidth="1"/>
    <col min="3" max="3" width="15.5703125" customWidth="1"/>
    <col min="4" max="4" width="11.5703125" customWidth="1"/>
    <col min="5" max="5" width="11.42578125" customWidth="1"/>
    <col min="6" max="6" width="10.140625" customWidth="1"/>
    <col min="7" max="7" width="11" customWidth="1"/>
    <col min="8" max="8" width="13.7109375" customWidth="1"/>
  </cols>
  <sheetData>
    <row r="1" spans="1:11" ht="36" customHeight="1" x14ac:dyDescent="0.25">
      <c r="A1" s="522" t="s">
        <v>533</v>
      </c>
    </row>
    <row r="2" spans="1:11" x14ac:dyDescent="0.25">
      <c r="A2" s="507" t="s">
        <v>511</v>
      </c>
    </row>
    <row r="3" spans="1:11" x14ac:dyDescent="0.25">
      <c r="A3" s="25"/>
    </row>
    <row r="4" spans="1:11" ht="15.75" customHeight="1" x14ac:dyDescent="0.25">
      <c r="A4" s="447" t="s">
        <v>1228</v>
      </c>
      <c r="B4" s="508"/>
      <c r="C4" s="508"/>
      <c r="D4" s="508"/>
      <c r="E4" s="508"/>
      <c r="F4" s="508"/>
      <c r="G4" s="508"/>
      <c r="H4" s="508"/>
      <c r="I4" s="508"/>
      <c r="J4" s="508"/>
      <c r="K4" s="508"/>
    </row>
    <row r="5" spans="1:11" ht="15.75" x14ac:dyDescent="0.25">
      <c r="A5" t="s">
        <v>328</v>
      </c>
      <c r="B5" t="s">
        <v>707</v>
      </c>
      <c r="C5" s="508"/>
      <c r="D5" s="508"/>
      <c r="E5" s="508"/>
      <c r="F5" s="508"/>
      <c r="G5" s="508"/>
      <c r="H5" s="508"/>
      <c r="I5" s="508"/>
      <c r="J5" s="508"/>
      <c r="K5" s="508"/>
    </row>
    <row r="6" spans="1:11" ht="15.75" x14ac:dyDescent="0.25">
      <c r="A6" t="s">
        <v>329</v>
      </c>
      <c r="B6" t="s">
        <v>331</v>
      </c>
      <c r="C6" s="508"/>
      <c r="D6" s="508"/>
      <c r="E6" s="508"/>
      <c r="F6" s="508"/>
      <c r="G6" s="508"/>
      <c r="H6" s="508"/>
      <c r="I6" s="508"/>
      <c r="J6" s="508"/>
      <c r="K6" s="508"/>
    </row>
    <row r="7" spans="1:11" ht="15.75" x14ac:dyDescent="0.25">
      <c r="A7" t="s">
        <v>330</v>
      </c>
      <c r="B7" t="s">
        <v>534</v>
      </c>
      <c r="C7" s="508"/>
      <c r="D7" s="508"/>
      <c r="E7" s="508"/>
      <c r="F7" s="508"/>
      <c r="G7" s="508"/>
      <c r="H7" s="508"/>
      <c r="I7" s="508"/>
      <c r="J7" s="508"/>
      <c r="K7" s="508"/>
    </row>
    <row r="9" spans="1:11" x14ac:dyDescent="0.25">
      <c r="A9" s="317" t="s">
        <v>1</v>
      </c>
      <c r="B9" s="317" t="str">
        <f>HFSVLAPivot!$C$2</f>
        <v>2023-24</v>
      </c>
    </row>
    <row r="10" spans="1:11" ht="51.75" x14ac:dyDescent="0.25">
      <c r="A10" s="78" t="s">
        <v>458</v>
      </c>
      <c r="B10" s="78" t="s">
        <v>116</v>
      </c>
      <c r="C10" s="227" t="s">
        <v>1229</v>
      </c>
      <c r="D10" s="227" t="s">
        <v>129</v>
      </c>
      <c r="E10" s="422" t="s">
        <v>128</v>
      </c>
      <c r="F10" s="227" t="s">
        <v>432</v>
      </c>
      <c r="G10" s="227" t="s">
        <v>433</v>
      </c>
      <c r="H10" s="422" t="s">
        <v>1217</v>
      </c>
    </row>
    <row r="11" spans="1:11" ht="19.5" customHeight="1" x14ac:dyDescent="0.25">
      <c r="A11" t="s">
        <v>285</v>
      </c>
      <c r="B11" s="45" t="s">
        <v>31</v>
      </c>
      <c r="C11" s="825">
        <f>GETPIVOTDATA("Sum of HFSV - alarms installed",HFSVLAPivot!$B$4,"Council",B11)</f>
        <v>158</v>
      </c>
      <c r="D11" s="825">
        <f>GETPIVOTDATA("Sum of HFSV - advice only",HFSVLAPivot!$B$4,"Council",B11)</f>
        <v>1521</v>
      </c>
      <c r="E11" s="826">
        <f>GETPIVOTDATA("Sum of Total HFSV",HFSVLAPivot!$B$4,"Council",B11)</f>
        <v>1679</v>
      </c>
      <c r="F11" s="825">
        <f>GETPIVOTDATA("Sum of TotalNewAlarms",HFSVLAPivot!$B$4,"Council",B11)</f>
        <v>349</v>
      </c>
      <c r="G11" s="825">
        <f>GETPIVOTDATA("Sum of TotalReplacedAlarms",HFSVLAPivot!$B$4,"Council",B11)</f>
        <v>132</v>
      </c>
      <c r="H11" s="828">
        <f>GETPIVOTDATA("Sum of TotalAlarms",HFSVLAPivot!$B$4,"Council",B11)</f>
        <v>481</v>
      </c>
    </row>
    <row r="12" spans="1:11" x14ac:dyDescent="0.25">
      <c r="A12" t="s">
        <v>286</v>
      </c>
      <c r="B12" s="48" t="s">
        <v>32</v>
      </c>
      <c r="C12" s="825">
        <f>GETPIVOTDATA("Sum of HFSV - alarms installed",HFSVLAPivot!$B$4,"Council",B12)</f>
        <v>107</v>
      </c>
      <c r="D12" s="825">
        <f>GETPIVOTDATA("Sum of HFSV - advice only",HFSVLAPivot!$B$4,"Council",B12)</f>
        <v>1157</v>
      </c>
      <c r="E12" s="827">
        <f>GETPIVOTDATA("Sum of Total HFSV",HFSVLAPivot!$B$4,"Council",B12)</f>
        <v>1264</v>
      </c>
      <c r="F12" s="825">
        <f>GETPIVOTDATA("Sum of TotalNewAlarms",HFSVLAPivot!$B$4,"Council",B12)</f>
        <v>248</v>
      </c>
      <c r="G12" s="825">
        <f>GETPIVOTDATA("Sum of TotalReplacedAlarms",HFSVLAPivot!$B$4,"Council",B12)</f>
        <v>62</v>
      </c>
      <c r="H12" s="829">
        <f>GETPIVOTDATA("Sum of TotalAlarms",HFSVLAPivot!$B$4,"Council",B12)</f>
        <v>310</v>
      </c>
    </row>
    <row r="13" spans="1:11" x14ac:dyDescent="0.25">
      <c r="A13" t="s">
        <v>292</v>
      </c>
      <c r="B13" s="48" t="s">
        <v>33</v>
      </c>
      <c r="C13" s="825">
        <f>GETPIVOTDATA("Sum of HFSV - alarms installed",HFSVLAPivot!$B$4,"Council",B13)</f>
        <v>107</v>
      </c>
      <c r="D13" s="825">
        <f>GETPIVOTDATA("Sum of HFSV - advice only",HFSVLAPivot!$B$4,"Council",B13)</f>
        <v>867</v>
      </c>
      <c r="E13" s="827">
        <f>GETPIVOTDATA("Sum of Total HFSV",HFSVLAPivot!$B$4,"Council",B13)</f>
        <v>974</v>
      </c>
      <c r="F13" s="825">
        <f>GETPIVOTDATA("Sum of TotalNewAlarms",HFSVLAPivot!$B$4,"Council",B13)</f>
        <v>138</v>
      </c>
      <c r="G13" s="825">
        <f>GETPIVOTDATA("Sum of TotalReplacedAlarms",HFSVLAPivot!$B$4,"Council",B13)</f>
        <v>132</v>
      </c>
      <c r="H13" s="829">
        <f>GETPIVOTDATA("Sum of TotalAlarms",HFSVLAPivot!$B$4,"Council",B13)</f>
        <v>270</v>
      </c>
    </row>
    <row r="14" spans="1:11" x14ac:dyDescent="0.25">
      <c r="A14" t="s">
        <v>287</v>
      </c>
      <c r="B14" s="48" t="s">
        <v>34</v>
      </c>
      <c r="C14" s="825">
        <f>GETPIVOTDATA("Sum of HFSV - alarms installed",HFSVLAPivot!$B$4,"Council",B14)</f>
        <v>97</v>
      </c>
      <c r="D14" s="825">
        <f>GETPIVOTDATA("Sum of HFSV - advice only",HFSVLAPivot!$B$4,"Council",B14)</f>
        <v>739</v>
      </c>
      <c r="E14" s="827">
        <f>GETPIVOTDATA("Sum of Total HFSV",HFSVLAPivot!$B$4,"Council",B14)</f>
        <v>836</v>
      </c>
      <c r="F14" s="825">
        <f>GETPIVOTDATA("Sum of TotalNewAlarms",HFSVLAPivot!$B$4,"Council",B14)</f>
        <v>182</v>
      </c>
      <c r="G14" s="825">
        <f>GETPIVOTDATA("Sum of TotalReplacedAlarms",HFSVLAPivot!$B$4,"Council",B14)</f>
        <v>82</v>
      </c>
      <c r="H14" s="829">
        <f>GETPIVOTDATA("Sum of TotalAlarms",HFSVLAPivot!$B$4,"Council",B14)</f>
        <v>264</v>
      </c>
    </row>
    <row r="15" spans="1:11" x14ac:dyDescent="0.25">
      <c r="A15" t="s">
        <v>288</v>
      </c>
      <c r="B15" s="48" t="s">
        <v>243</v>
      </c>
      <c r="C15" s="825">
        <f>GETPIVOTDATA("Sum of HFSV - alarms installed",HFSVLAPivot!$B$4,"Council",B15)</f>
        <v>261</v>
      </c>
      <c r="D15" s="825">
        <f>GETPIVOTDATA("Sum of HFSV - advice only",HFSVLAPivot!$B$4,"Council",B15)</f>
        <v>2310</v>
      </c>
      <c r="E15" s="827">
        <f>GETPIVOTDATA("Sum of Total HFSV",HFSVLAPivot!$B$4,"Council",B15)</f>
        <v>2571</v>
      </c>
      <c r="F15" s="825">
        <f>GETPIVOTDATA("Sum of TotalNewAlarms",HFSVLAPivot!$B$4,"Council",B15)</f>
        <v>433</v>
      </c>
      <c r="G15" s="825">
        <f>GETPIVOTDATA("Sum of TotalReplacedAlarms",HFSVLAPivot!$B$4,"Council",B15)</f>
        <v>284</v>
      </c>
      <c r="H15" s="829">
        <f>GETPIVOTDATA("Sum of TotalAlarms",HFSVLAPivot!$B$4,"Council",B15)</f>
        <v>717</v>
      </c>
    </row>
    <row r="16" spans="1:11" x14ac:dyDescent="0.25">
      <c r="A16" t="s">
        <v>266</v>
      </c>
      <c r="B16" s="48" t="s">
        <v>35</v>
      </c>
      <c r="C16" s="825">
        <f>GETPIVOTDATA("Sum of HFSV - alarms installed",HFSVLAPivot!$B$4,"Council",B16)</f>
        <v>58</v>
      </c>
      <c r="D16" s="825">
        <f>GETPIVOTDATA("Sum of HFSV - advice only",HFSVLAPivot!$B$4,"Council",B16)</f>
        <v>398</v>
      </c>
      <c r="E16" s="827">
        <f>GETPIVOTDATA("Sum of Total HFSV",HFSVLAPivot!$B$4,"Council",B16)</f>
        <v>456</v>
      </c>
      <c r="F16" s="825">
        <f>GETPIVOTDATA("Sum of TotalNewAlarms",HFSVLAPivot!$B$4,"Council",B16)</f>
        <v>88</v>
      </c>
      <c r="G16" s="825">
        <f>GETPIVOTDATA("Sum of TotalReplacedAlarms",HFSVLAPivot!$B$4,"Council",B16)</f>
        <v>43</v>
      </c>
      <c r="H16" s="829">
        <f>GETPIVOTDATA("Sum of TotalAlarms",HFSVLAPivot!$B$4,"Council",B16)</f>
        <v>131</v>
      </c>
    </row>
    <row r="17" spans="1:8" x14ac:dyDescent="0.25">
      <c r="A17" t="s">
        <v>267</v>
      </c>
      <c r="B17" s="48" t="s">
        <v>36</v>
      </c>
      <c r="C17" s="825">
        <f>GETPIVOTDATA("Sum of HFSV - alarms installed",HFSVLAPivot!$B$4,"Council",B17)</f>
        <v>237</v>
      </c>
      <c r="D17" s="825">
        <f>GETPIVOTDATA("Sum of HFSV - advice only",HFSVLAPivot!$B$4,"Council",B17)</f>
        <v>850</v>
      </c>
      <c r="E17" s="827">
        <f>GETPIVOTDATA("Sum of Total HFSV",HFSVLAPivot!$B$4,"Council",B17)</f>
        <v>1087</v>
      </c>
      <c r="F17" s="825">
        <f>GETPIVOTDATA("Sum of TotalNewAlarms",HFSVLAPivot!$B$4,"Council",B17)</f>
        <v>462</v>
      </c>
      <c r="G17" s="825">
        <f>GETPIVOTDATA("Sum of TotalReplacedAlarms",HFSVLAPivot!$B$4,"Council",B17)</f>
        <v>162</v>
      </c>
      <c r="H17" s="829">
        <f>GETPIVOTDATA("Sum of TotalAlarms",HFSVLAPivot!$B$4,"Council",B17)</f>
        <v>624</v>
      </c>
    </row>
    <row r="18" spans="1:8" x14ac:dyDescent="0.25">
      <c r="A18" t="s">
        <v>293</v>
      </c>
      <c r="B18" s="48" t="s">
        <v>37</v>
      </c>
      <c r="C18" s="825">
        <f>GETPIVOTDATA("Sum of HFSV - alarms installed",HFSVLAPivot!$B$4,"Council",B18)</f>
        <v>134</v>
      </c>
      <c r="D18" s="825">
        <f>GETPIVOTDATA("Sum of HFSV - advice only",HFSVLAPivot!$B$4,"Council",B18)</f>
        <v>1306</v>
      </c>
      <c r="E18" s="827">
        <f>GETPIVOTDATA("Sum of Total HFSV",HFSVLAPivot!$B$4,"Council",B18)</f>
        <v>1440</v>
      </c>
      <c r="F18" s="825">
        <f>GETPIVOTDATA("Sum of TotalNewAlarms",HFSVLAPivot!$B$4,"Council",B18)</f>
        <v>158</v>
      </c>
      <c r="G18" s="825">
        <f>GETPIVOTDATA("Sum of TotalReplacedAlarms",HFSVLAPivot!$B$4,"Council",B18)</f>
        <v>117</v>
      </c>
      <c r="H18" s="829">
        <f>GETPIVOTDATA("Sum of TotalAlarms",HFSVLAPivot!$B$4,"Council",B18)</f>
        <v>275</v>
      </c>
    </row>
    <row r="19" spans="1:8" x14ac:dyDescent="0.25">
      <c r="A19" t="s">
        <v>268</v>
      </c>
      <c r="B19" s="48" t="s">
        <v>38</v>
      </c>
      <c r="C19" s="825">
        <f>GETPIVOTDATA("Sum of HFSV - alarms installed",HFSVLAPivot!$B$4,"Council",B19)</f>
        <v>264</v>
      </c>
      <c r="D19" s="825">
        <f>GETPIVOTDATA("Sum of HFSV - advice only",HFSVLAPivot!$B$4,"Council",B19)</f>
        <v>829</v>
      </c>
      <c r="E19" s="827">
        <f>GETPIVOTDATA("Sum of Total HFSV",HFSVLAPivot!$B$4,"Council",B19)</f>
        <v>1093</v>
      </c>
      <c r="F19" s="825">
        <f>GETPIVOTDATA("Sum of TotalNewAlarms",HFSVLAPivot!$B$4,"Council",B19)</f>
        <v>597</v>
      </c>
      <c r="G19" s="825">
        <f>GETPIVOTDATA("Sum of TotalReplacedAlarms",HFSVLAPivot!$B$4,"Council",B19)</f>
        <v>105</v>
      </c>
      <c r="H19" s="829">
        <f>GETPIVOTDATA("Sum of TotalAlarms",HFSVLAPivot!$B$4,"Council",B19)</f>
        <v>702</v>
      </c>
    </row>
    <row r="20" spans="1:8" x14ac:dyDescent="0.25">
      <c r="A20" t="s">
        <v>295</v>
      </c>
      <c r="B20" s="48" t="s">
        <v>39</v>
      </c>
      <c r="C20" s="825">
        <f>GETPIVOTDATA("Sum of HFSV - alarms installed",HFSVLAPivot!$B$4,"Council",B20)</f>
        <v>166</v>
      </c>
      <c r="D20" s="825">
        <f>GETPIVOTDATA("Sum of HFSV - advice only",HFSVLAPivot!$B$4,"Council",B20)</f>
        <v>855</v>
      </c>
      <c r="E20" s="827">
        <f>GETPIVOTDATA("Sum of Total HFSV",HFSVLAPivot!$B$4,"Council",B20)</f>
        <v>1021</v>
      </c>
      <c r="F20" s="825">
        <f>GETPIVOTDATA("Sum of TotalNewAlarms",HFSVLAPivot!$B$4,"Council",B20)</f>
        <v>316</v>
      </c>
      <c r="G20" s="825">
        <f>GETPIVOTDATA("Sum of TotalReplacedAlarms",HFSVLAPivot!$B$4,"Council",B20)</f>
        <v>101</v>
      </c>
      <c r="H20" s="829">
        <f>GETPIVOTDATA("Sum of TotalAlarms",HFSVLAPivot!$B$4,"Council",B20)</f>
        <v>417</v>
      </c>
    </row>
    <row r="21" spans="1:8" x14ac:dyDescent="0.25">
      <c r="A21" t="s">
        <v>269</v>
      </c>
      <c r="B21" s="48" t="s">
        <v>40</v>
      </c>
      <c r="C21" s="825">
        <f>GETPIVOTDATA("Sum of HFSV - alarms installed",HFSVLAPivot!$B$4,"Council",B21)</f>
        <v>64</v>
      </c>
      <c r="D21" s="825">
        <f>GETPIVOTDATA("Sum of HFSV - advice only",HFSVLAPivot!$B$4,"Council",B21)</f>
        <v>559</v>
      </c>
      <c r="E21" s="827">
        <f>GETPIVOTDATA("Sum of Total HFSV",HFSVLAPivot!$B$4,"Council",B21)</f>
        <v>623</v>
      </c>
      <c r="F21" s="825">
        <f>GETPIVOTDATA("Sum of TotalNewAlarms",HFSVLAPivot!$B$4,"Council",B21)</f>
        <v>118</v>
      </c>
      <c r="G21" s="825">
        <f>GETPIVOTDATA("Sum of TotalReplacedAlarms",HFSVLAPivot!$B$4,"Council",B21)</f>
        <v>39</v>
      </c>
      <c r="H21" s="829">
        <f>GETPIVOTDATA("Sum of TotalAlarms",HFSVLAPivot!$B$4,"Council",B21)</f>
        <v>157</v>
      </c>
    </row>
    <row r="22" spans="1:8" x14ac:dyDescent="0.25">
      <c r="A22" t="s">
        <v>270</v>
      </c>
      <c r="B22" s="48" t="s">
        <v>41</v>
      </c>
      <c r="C22" s="825">
        <f>GETPIVOTDATA("Sum of HFSV - alarms installed",HFSVLAPivot!$B$4,"Council",B22)</f>
        <v>159</v>
      </c>
      <c r="D22" s="825">
        <f>GETPIVOTDATA("Sum of HFSV - advice only",HFSVLAPivot!$B$4,"Council",B22)</f>
        <v>487</v>
      </c>
      <c r="E22" s="827">
        <f>GETPIVOTDATA("Sum of Total HFSV",HFSVLAPivot!$B$4,"Council",B22)</f>
        <v>646</v>
      </c>
      <c r="F22" s="825">
        <f>GETPIVOTDATA("Sum of TotalNewAlarms",HFSVLAPivot!$B$4,"Council",B22)</f>
        <v>314</v>
      </c>
      <c r="G22" s="825">
        <f>GETPIVOTDATA("Sum of TotalReplacedAlarms",HFSVLAPivot!$B$4,"Council",B22)</f>
        <v>68</v>
      </c>
      <c r="H22" s="829">
        <f>GETPIVOTDATA("Sum of TotalAlarms",HFSVLAPivot!$B$4,"Council",B22)</f>
        <v>382</v>
      </c>
    </row>
    <row r="23" spans="1:8" x14ac:dyDescent="0.25">
      <c r="A23" t="s">
        <v>272</v>
      </c>
      <c r="B23" s="48" t="s">
        <v>42</v>
      </c>
      <c r="C23" s="825">
        <f>GETPIVOTDATA("Sum of HFSV - alarms installed",HFSVLAPivot!$B$4,"Council",B23)</f>
        <v>125</v>
      </c>
      <c r="D23" s="825">
        <f>GETPIVOTDATA("Sum of HFSV - advice only",HFSVLAPivot!$B$4,"Council",B23)</f>
        <v>679</v>
      </c>
      <c r="E23" s="827">
        <f>GETPIVOTDATA("Sum of Total HFSV",HFSVLAPivot!$B$4,"Council",B23)</f>
        <v>804</v>
      </c>
      <c r="F23" s="825">
        <f>GETPIVOTDATA("Sum of TotalNewAlarms",HFSVLAPivot!$B$4,"Council",B23)</f>
        <v>275</v>
      </c>
      <c r="G23" s="825">
        <f>GETPIVOTDATA("Sum of TotalReplacedAlarms",HFSVLAPivot!$B$4,"Council",B23)</f>
        <v>91</v>
      </c>
      <c r="H23" s="829">
        <f>GETPIVOTDATA("Sum of TotalAlarms",HFSVLAPivot!$B$4,"Council",B23)</f>
        <v>366</v>
      </c>
    </row>
    <row r="24" spans="1:8" x14ac:dyDescent="0.25">
      <c r="A24" t="s">
        <v>388</v>
      </c>
      <c r="B24" s="48" t="s">
        <v>43</v>
      </c>
      <c r="C24" s="825">
        <f>GETPIVOTDATA("Sum of HFSV - alarms installed",HFSVLAPivot!$B$4,"Council",B24)</f>
        <v>483</v>
      </c>
      <c r="D24" s="825">
        <f>GETPIVOTDATA("Sum of HFSV - advice only",HFSVLAPivot!$B$4,"Council",B24)</f>
        <v>1849</v>
      </c>
      <c r="E24" s="827">
        <f>GETPIVOTDATA("Sum of Total HFSV",HFSVLAPivot!$B$4,"Council",B24)</f>
        <v>2332</v>
      </c>
      <c r="F24" s="825">
        <f>GETPIVOTDATA("Sum of TotalNewAlarms",HFSVLAPivot!$B$4,"Council",B24)</f>
        <v>832</v>
      </c>
      <c r="G24" s="825">
        <f>GETPIVOTDATA("Sum of TotalReplacedAlarms",HFSVLAPivot!$B$4,"Council",B24)</f>
        <v>385</v>
      </c>
      <c r="H24" s="829">
        <f>GETPIVOTDATA("Sum of TotalAlarms",HFSVLAPivot!$B$4,"Council",B24)</f>
        <v>1217</v>
      </c>
    </row>
    <row r="25" spans="1:8" x14ac:dyDescent="0.25">
      <c r="A25" t="s">
        <v>296</v>
      </c>
      <c r="B25" s="48" t="s">
        <v>117</v>
      </c>
      <c r="C25" s="825">
        <f>GETPIVOTDATA("Sum of HFSV - alarms installed",HFSVLAPivot!$B$4,"Council",B25)</f>
        <v>750</v>
      </c>
      <c r="D25" s="825">
        <f>GETPIVOTDATA("Sum of HFSV - advice only",HFSVLAPivot!$B$4,"Council",B25)</f>
        <v>3363</v>
      </c>
      <c r="E25" s="827">
        <f>GETPIVOTDATA("Sum of Total HFSV",HFSVLAPivot!$B$4,"Council",B25)</f>
        <v>4113</v>
      </c>
      <c r="F25" s="825">
        <f>GETPIVOTDATA("Sum of TotalNewAlarms",HFSVLAPivot!$B$4,"Council",B25)</f>
        <v>1391</v>
      </c>
      <c r="G25" s="825">
        <f>GETPIVOTDATA("Sum of TotalReplacedAlarms",HFSVLAPivot!$B$4,"Council",B25)</f>
        <v>534</v>
      </c>
      <c r="H25" s="829">
        <f>GETPIVOTDATA("Sum of TotalAlarms",HFSVLAPivot!$B$4,"Council",B25)</f>
        <v>1925</v>
      </c>
    </row>
    <row r="26" spans="1:8" x14ac:dyDescent="0.25">
      <c r="A26" t="s">
        <v>273</v>
      </c>
      <c r="B26" s="48" t="s">
        <v>44</v>
      </c>
      <c r="C26" s="825">
        <f>GETPIVOTDATA("Sum of HFSV - alarms installed",HFSVLAPivot!$B$4,"Council",B26)</f>
        <v>145</v>
      </c>
      <c r="D26" s="825">
        <f>GETPIVOTDATA("Sum of HFSV - advice only",HFSVLAPivot!$B$4,"Council",B26)</f>
        <v>1925</v>
      </c>
      <c r="E26" s="827">
        <f>GETPIVOTDATA("Sum of Total HFSV",HFSVLAPivot!$B$4,"Council",B26)</f>
        <v>2070</v>
      </c>
      <c r="F26" s="825">
        <f>GETPIVOTDATA("Sum of TotalNewAlarms",HFSVLAPivot!$B$4,"Council",B26)</f>
        <v>231</v>
      </c>
      <c r="G26" s="825">
        <f>GETPIVOTDATA("Sum of TotalReplacedAlarms",HFSVLAPivot!$B$4,"Council",B26)</f>
        <v>226</v>
      </c>
      <c r="H26" s="829">
        <f>GETPIVOTDATA("Sum of TotalAlarms",HFSVLAPivot!$B$4,"Council",B26)</f>
        <v>457</v>
      </c>
    </row>
    <row r="27" spans="1:8" x14ac:dyDescent="0.25">
      <c r="A27" t="s">
        <v>274</v>
      </c>
      <c r="B27" s="48" t="s">
        <v>45</v>
      </c>
      <c r="C27" s="825">
        <f>GETPIVOTDATA("Sum of HFSV - alarms installed",HFSVLAPivot!$B$4,"Council",B27)</f>
        <v>173</v>
      </c>
      <c r="D27" s="825">
        <f>GETPIVOTDATA("Sum of HFSV - advice only",HFSVLAPivot!$B$4,"Council",B27)</f>
        <v>319</v>
      </c>
      <c r="E27" s="827">
        <f>GETPIVOTDATA("Sum of Total HFSV",HFSVLAPivot!$B$4,"Council",B27)</f>
        <v>492</v>
      </c>
      <c r="F27" s="825">
        <f>GETPIVOTDATA("Sum of TotalNewAlarms",HFSVLAPivot!$B$4,"Council",B27)</f>
        <v>321</v>
      </c>
      <c r="G27" s="825">
        <f>GETPIVOTDATA("Sum of TotalReplacedAlarms",HFSVLAPivot!$B$4,"Council",B27)</f>
        <v>116</v>
      </c>
      <c r="H27" s="829">
        <f>GETPIVOTDATA("Sum of TotalAlarms",HFSVLAPivot!$B$4,"Council",B27)</f>
        <v>437</v>
      </c>
    </row>
    <row r="28" spans="1:8" x14ac:dyDescent="0.25">
      <c r="A28" t="s">
        <v>275</v>
      </c>
      <c r="B28" s="48" t="s">
        <v>46</v>
      </c>
      <c r="C28" s="825">
        <f>GETPIVOTDATA("Sum of HFSV - alarms installed",HFSVLAPivot!$B$4,"Council",B28)</f>
        <v>68</v>
      </c>
      <c r="D28" s="825">
        <f>GETPIVOTDATA("Sum of HFSV - advice only",HFSVLAPivot!$B$4,"Council",B28)</f>
        <v>350</v>
      </c>
      <c r="E28" s="827">
        <f>GETPIVOTDATA("Sum of Total HFSV",HFSVLAPivot!$B$4,"Council",B28)</f>
        <v>418</v>
      </c>
      <c r="F28" s="825">
        <f>GETPIVOTDATA("Sum of TotalNewAlarms",HFSVLAPivot!$B$4,"Council",B28)</f>
        <v>133</v>
      </c>
      <c r="G28" s="825">
        <f>GETPIVOTDATA("Sum of TotalReplacedAlarms",HFSVLAPivot!$B$4,"Council",B28)</f>
        <v>47</v>
      </c>
      <c r="H28" s="829">
        <f>GETPIVOTDATA("Sum of TotalAlarms",HFSVLAPivot!$B$4,"Council",B28)</f>
        <v>180</v>
      </c>
    </row>
    <row r="29" spans="1:8" x14ac:dyDescent="0.25">
      <c r="A29" t="s">
        <v>276</v>
      </c>
      <c r="B29" s="48" t="s">
        <v>47</v>
      </c>
      <c r="C29" s="825">
        <f>GETPIVOTDATA("Sum of HFSV - alarms installed",HFSVLAPivot!$B$4,"Council",B29)</f>
        <v>58</v>
      </c>
      <c r="D29" s="825">
        <f>GETPIVOTDATA("Sum of HFSV - advice only",HFSVLAPivot!$B$4,"Council",B29)</f>
        <v>619</v>
      </c>
      <c r="E29" s="827">
        <f>GETPIVOTDATA("Sum of Total HFSV",HFSVLAPivot!$B$4,"Council",B29)</f>
        <v>677</v>
      </c>
      <c r="F29" s="825">
        <f>GETPIVOTDATA("Sum of TotalNewAlarms",HFSVLAPivot!$B$4,"Council",B29)</f>
        <v>104</v>
      </c>
      <c r="G29" s="825">
        <f>GETPIVOTDATA("Sum of TotalReplacedAlarms",HFSVLAPivot!$B$4,"Council",B29)</f>
        <v>71</v>
      </c>
      <c r="H29" s="829">
        <f>GETPIVOTDATA("Sum of TotalAlarms",HFSVLAPivot!$B$4,"Council",B29)</f>
        <v>175</v>
      </c>
    </row>
    <row r="30" spans="1:8" x14ac:dyDescent="0.25">
      <c r="A30" t="s">
        <v>271</v>
      </c>
      <c r="B30" s="48" t="s">
        <v>48</v>
      </c>
      <c r="C30" s="825">
        <f>GETPIVOTDATA("Sum of HFSV - alarms installed",HFSVLAPivot!$B$4,"Council",B30)</f>
        <v>12</v>
      </c>
      <c r="D30" s="825">
        <f>GETPIVOTDATA("Sum of HFSV - advice only",HFSVLAPivot!$B$4,"Council",B30)</f>
        <v>90</v>
      </c>
      <c r="E30" s="827">
        <f>GETPIVOTDATA("Sum of Total HFSV",HFSVLAPivot!$B$4,"Council",B30)</f>
        <v>102</v>
      </c>
      <c r="F30" s="825">
        <f>GETPIVOTDATA("Sum of TotalNewAlarms",HFSVLAPivot!$B$4,"Council",B30)</f>
        <v>28</v>
      </c>
      <c r="G30" s="825">
        <f>GETPIVOTDATA("Sum of TotalReplacedAlarms",HFSVLAPivot!$B$4,"Council",B30)</f>
        <v>18</v>
      </c>
      <c r="H30" s="829">
        <f>GETPIVOTDATA("Sum of TotalAlarms",HFSVLAPivot!$B$4,"Council",B30)</f>
        <v>46</v>
      </c>
    </row>
    <row r="31" spans="1:8" x14ac:dyDescent="0.25">
      <c r="A31" t="s">
        <v>277</v>
      </c>
      <c r="B31" s="48" t="s">
        <v>49</v>
      </c>
      <c r="C31" s="825">
        <f>GETPIVOTDATA("Sum of HFSV - alarms installed",HFSVLAPivot!$B$4,"Council",B31)</f>
        <v>201</v>
      </c>
      <c r="D31" s="825">
        <f>GETPIVOTDATA("Sum of HFSV - advice only",HFSVLAPivot!$B$4,"Council",B31)</f>
        <v>666</v>
      </c>
      <c r="E31" s="827">
        <f>GETPIVOTDATA("Sum of Total HFSV",HFSVLAPivot!$B$4,"Council",B31)</f>
        <v>867</v>
      </c>
      <c r="F31" s="825">
        <f>GETPIVOTDATA("Sum of TotalNewAlarms",HFSVLAPivot!$B$4,"Council",B31)</f>
        <v>311</v>
      </c>
      <c r="G31" s="825">
        <f>GETPIVOTDATA("Sum of TotalReplacedAlarms",HFSVLAPivot!$B$4,"Council",B31)</f>
        <v>176</v>
      </c>
      <c r="H31" s="829">
        <f>GETPIVOTDATA("Sum of TotalAlarms",HFSVLAPivot!$B$4,"Council",B31)</f>
        <v>487</v>
      </c>
    </row>
    <row r="32" spans="1:8" x14ac:dyDescent="0.25">
      <c r="A32" t="s">
        <v>294</v>
      </c>
      <c r="B32" s="48" t="s">
        <v>50</v>
      </c>
      <c r="C32" s="825">
        <f>GETPIVOTDATA("Sum of HFSV - alarms installed",HFSVLAPivot!$B$4,"Council",B32)</f>
        <v>354</v>
      </c>
      <c r="D32" s="825">
        <f>GETPIVOTDATA("Sum of HFSV - advice only",HFSVLAPivot!$B$4,"Council",B32)</f>
        <v>1714</v>
      </c>
      <c r="E32" s="827">
        <f>GETPIVOTDATA("Sum of Total HFSV",HFSVLAPivot!$B$4,"Council",B32)</f>
        <v>2068</v>
      </c>
      <c r="F32" s="825">
        <f>GETPIVOTDATA("Sum of TotalNewAlarms",HFSVLAPivot!$B$4,"Council",B32)</f>
        <v>743</v>
      </c>
      <c r="G32" s="825">
        <f>GETPIVOTDATA("Sum of TotalReplacedAlarms",HFSVLAPivot!$B$4,"Council",B32)</f>
        <v>208</v>
      </c>
      <c r="H32" s="829">
        <f>GETPIVOTDATA("Sum of TotalAlarms",HFSVLAPivot!$B$4,"Council",B32)</f>
        <v>951</v>
      </c>
    </row>
    <row r="33" spans="1:9" x14ac:dyDescent="0.25">
      <c r="A33" t="s">
        <v>278</v>
      </c>
      <c r="B33" s="48" t="s">
        <v>51</v>
      </c>
      <c r="C33" s="825">
        <f>GETPIVOTDATA("Sum of HFSV - alarms installed",HFSVLAPivot!$B$4,"Council",B33)</f>
        <v>31</v>
      </c>
      <c r="D33" s="825">
        <f>GETPIVOTDATA("Sum of HFSV - advice only",HFSVLAPivot!$B$4,"Council",B33)</f>
        <v>175</v>
      </c>
      <c r="E33" s="827">
        <f>GETPIVOTDATA("Sum of Total HFSV",HFSVLAPivot!$B$4,"Council",B33)</f>
        <v>206</v>
      </c>
      <c r="F33" s="825">
        <f>GETPIVOTDATA("Sum of TotalNewAlarms",HFSVLAPivot!$B$4,"Council",B33)</f>
        <v>95</v>
      </c>
      <c r="G33" s="825">
        <f>GETPIVOTDATA("Sum of TotalReplacedAlarms",HFSVLAPivot!$B$4,"Council",B33)</f>
        <v>16</v>
      </c>
      <c r="H33" s="829">
        <f>GETPIVOTDATA("Sum of TotalAlarms",HFSVLAPivot!$B$4,"Council",B33)</f>
        <v>111</v>
      </c>
    </row>
    <row r="34" spans="1:9" x14ac:dyDescent="0.25">
      <c r="A34" t="s">
        <v>279</v>
      </c>
      <c r="B34" s="48" t="s">
        <v>52</v>
      </c>
      <c r="C34" s="825">
        <f>GETPIVOTDATA("Sum of HFSV - alarms installed",HFSVLAPivot!$B$4,"Council",B34)</f>
        <v>110</v>
      </c>
      <c r="D34" s="825">
        <f>GETPIVOTDATA("Sum of HFSV - advice only",HFSVLAPivot!$B$4,"Council",B34)</f>
        <v>640</v>
      </c>
      <c r="E34" s="827">
        <f>GETPIVOTDATA("Sum of Total HFSV",HFSVLAPivot!$B$4,"Council",B34)</f>
        <v>750</v>
      </c>
      <c r="F34" s="825">
        <f>GETPIVOTDATA("Sum of TotalNewAlarms",HFSVLAPivot!$B$4,"Council",B34)</f>
        <v>258</v>
      </c>
      <c r="G34" s="825">
        <f>GETPIVOTDATA("Sum of TotalReplacedAlarms",HFSVLAPivot!$B$4,"Council",B34)</f>
        <v>52</v>
      </c>
      <c r="H34" s="829">
        <f>GETPIVOTDATA("Sum of TotalAlarms",HFSVLAPivot!$B$4,"Council",B34)</f>
        <v>310</v>
      </c>
    </row>
    <row r="35" spans="1:9" x14ac:dyDescent="0.25">
      <c r="A35" t="s">
        <v>289</v>
      </c>
      <c r="B35" s="48" t="s">
        <v>53</v>
      </c>
      <c r="C35" s="825">
        <f>GETPIVOTDATA("Sum of HFSV - alarms installed",HFSVLAPivot!$B$4,"Council",B35)</f>
        <v>342</v>
      </c>
      <c r="D35" s="825">
        <f>GETPIVOTDATA("Sum of HFSV - advice only",HFSVLAPivot!$B$4,"Council",B35)</f>
        <v>826</v>
      </c>
      <c r="E35" s="827">
        <f>GETPIVOTDATA("Sum of Total HFSV",HFSVLAPivot!$B$4,"Council",B35)</f>
        <v>1168</v>
      </c>
      <c r="F35" s="825">
        <f>GETPIVOTDATA("Sum of TotalNewAlarms",HFSVLAPivot!$B$4,"Council",B35)</f>
        <v>726</v>
      </c>
      <c r="G35" s="825">
        <f>GETPIVOTDATA("Sum of TotalReplacedAlarms",HFSVLAPivot!$B$4,"Council",B35)</f>
        <v>131</v>
      </c>
      <c r="H35" s="829">
        <f>GETPIVOTDATA("Sum of TotalAlarms",HFSVLAPivot!$B$4,"Council",B35)</f>
        <v>857</v>
      </c>
    </row>
    <row r="36" spans="1:9" x14ac:dyDescent="0.25">
      <c r="A36" t="s">
        <v>280</v>
      </c>
      <c r="B36" s="48" t="s">
        <v>54</v>
      </c>
      <c r="C36" s="825">
        <f>GETPIVOTDATA("Sum of HFSV - alarms installed",HFSVLAPivot!$B$4,"Council",B36)</f>
        <v>128</v>
      </c>
      <c r="D36" s="825">
        <f>GETPIVOTDATA("Sum of HFSV - advice only",HFSVLAPivot!$B$4,"Council",B36)</f>
        <v>776</v>
      </c>
      <c r="E36" s="827">
        <f>GETPIVOTDATA("Sum of Total HFSV",HFSVLAPivot!$B$4,"Council",B36)</f>
        <v>904</v>
      </c>
      <c r="F36" s="825">
        <f>GETPIVOTDATA("Sum of TotalNewAlarms",HFSVLAPivot!$B$4,"Council",B36)</f>
        <v>257</v>
      </c>
      <c r="G36" s="825">
        <f>GETPIVOTDATA("Sum of TotalReplacedAlarms",HFSVLAPivot!$B$4,"Council",B36)</f>
        <v>97</v>
      </c>
      <c r="H36" s="829">
        <f>GETPIVOTDATA("Sum of TotalAlarms",HFSVLAPivot!$B$4,"Council",B36)</f>
        <v>354</v>
      </c>
    </row>
    <row r="37" spans="1:9" x14ac:dyDescent="0.25">
      <c r="A37" t="s">
        <v>281</v>
      </c>
      <c r="B37" s="48" t="s">
        <v>55</v>
      </c>
      <c r="C37" s="825">
        <f>GETPIVOTDATA("Sum of HFSV - alarms installed",HFSVLAPivot!$B$4,"Council",B37)</f>
        <v>22</v>
      </c>
      <c r="D37" s="825">
        <f>GETPIVOTDATA("Sum of HFSV - advice only",HFSVLAPivot!$B$4,"Council",B37)</f>
        <v>194</v>
      </c>
      <c r="E37" s="827">
        <f>GETPIVOTDATA("Sum of Total HFSV",HFSVLAPivot!$B$4,"Council",B37)</f>
        <v>216</v>
      </c>
      <c r="F37" s="825">
        <f>GETPIVOTDATA("Sum of TotalNewAlarms",HFSVLAPivot!$B$4,"Council",B37)</f>
        <v>19</v>
      </c>
      <c r="G37" s="825">
        <f>GETPIVOTDATA("Sum of TotalReplacedAlarms",HFSVLAPivot!$B$4,"Council",B37)</f>
        <v>53</v>
      </c>
      <c r="H37" s="829">
        <f>GETPIVOTDATA("Sum of TotalAlarms",HFSVLAPivot!$B$4,"Council",B37)</f>
        <v>72</v>
      </c>
    </row>
    <row r="38" spans="1:9" x14ac:dyDescent="0.25">
      <c r="A38" t="s">
        <v>282</v>
      </c>
      <c r="B38" s="48" t="s">
        <v>56</v>
      </c>
      <c r="C38" s="825">
        <f>GETPIVOTDATA("Sum of HFSV - alarms installed",HFSVLAPivot!$B$4,"Council",B38)</f>
        <v>161</v>
      </c>
      <c r="D38" s="825">
        <f>GETPIVOTDATA("Sum of HFSV - advice only",HFSVLAPivot!$B$4,"Council",B38)</f>
        <v>529</v>
      </c>
      <c r="E38" s="827">
        <f>GETPIVOTDATA("Sum of Total HFSV",HFSVLAPivot!$B$4,"Council",B38)</f>
        <v>690</v>
      </c>
      <c r="F38" s="825">
        <f>GETPIVOTDATA("Sum of TotalNewAlarms",HFSVLAPivot!$B$4,"Council",B38)</f>
        <v>302</v>
      </c>
      <c r="G38" s="825">
        <f>GETPIVOTDATA("Sum of TotalReplacedAlarms",HFSVLAPivot!$B$4,"Council",B38)</f>
        <v>110</v>
      </c>
      <c r="H38" s="829">
        <f>GETPIVOTDATA("Sum of TotalAlarms",HFSVLAPivot!$B$4,"Council",B38)</f>
        <v>412</v>
      </c>
    </row>
    <row r="39" spans="1:9" x14ac:dyDescent="0.25">
      <c r="A39" t="s">
        <v>283</v>
      </c>
      <c r="B39" s="48" t="s">
        <v>57</v>
      </c>
      <c r="C39" s="825">
        <f>GETPIVOTDATA("Sum of HFSV - alarms installed",HFSVLAPivot!$B$4,"Council",B39)</f>
        <v>424</v>
      </c>
      <c r="D39" s="825">
        <f>GETPIVOTDATA("Sum of HFSV - advice only",HFSVLAPivot!$B$4,"Council",B39)</f>
        <v>1894</v>
      </c>
      <c r="E39" s="827">
        <f>GETPIVOTDATA("Sum of Total HFSV",HFSVLAPivot!$B$4,"Council",B39)</f>
        <v>2318</v>
      </c>
      <c r="F39" s="825">
        <f>GETPIVOTDATA("Sum of TotalNewAlarms",HFSVLAPivot!$B$4,"Council",B39)</f>
        <v>943</v>
      </c>
      <c r="G39" s="825">
        <f>GETPIVOTDATA("Sum of TotalReplacedAlarms",HFSVLAPivot!$B$4,"Council",B39)</f>
        <v>264</v>
      </c>
      <c r="H39" s="829">
        <f>GETPIVOTDATA("Sum of TotalAlarms",HFSVLAPivot!$B$4,"Council",B39)</f>
        <v>1207</v>
      </c>
    </row>
    <row r="40" spans="1:9" x14ac:dyDescent="0.25">
      <c r="A40" t="s">
        <v>284</v>
      </c>
      <c r="B40" s="48" t="s">
        <v>58</v>
      </c>
      <c r="C40" s="825">
        <f>GETPIVOTDATA("Sum of HFSV - alarms installed",HFSVLAPivot!$B$4,"Council",B40)</f>
        <v>103</v>
      </c>
      <c r="D40" s="825">
        <f>GETPIVOTDATA("Sum of HFSV - advice only",HFSVLAPivot!$B$4,"Council",B40)</f>
        <v>516</v>
      </c>
      <c r="E40" s="827">
        <f>GETPIVOTDATA("Sum of Total HFSV",HFSVLAPivot!$B$4,"Council",B40)</f>
        <v>619</v>
      </c>
      <c r="F40" s="825">
        <f>GETPIVOTDATA("Sum of TotalNewAlarms",HFSVLAPivot!$B$4,"Council",B40)</f>
        <v>181</v>
      </c>
      <c r="G40" s="825">
        <f>GETPIVOTDATA("Sum of TotalReplacedAlarms",HFSVLAPivot!$B$4,"Council",B40)</f>
        <v>85</v>
      </c>
      <c r="H40" s="829">
        <f>GETPIVOTDATA("Sum of TotalAlarms",HFSVLAPivot!$B$4,"Council",B40)</f>
        <v>266</v>
      </c>
    </row>
    <row r="41" spans="1:9" x14ac:dyDescent="0.25">
      <c r="A41" t="s">
        <v>290</v>
      </c>
      <c r="B41" s="48" t="s">
        <v>59</v>
      </c>
      <c r="C41" s="825">
        <f>GETPIVOTDATA("Sum of HFSV - alarms installed",HFSVLAPivot!$B$4,"Council",B41)</f>
        <v>192</v>
      </c>
      <c r="D41" s="825">
        <f>GETPIVOTDATA("Sum of HFSV - advice only",HFSVLAPivot!$B$4,"Council",B41)</f>
        <v>751</v>
      </c>
      <c r="E41" s="827">
        <f>GETPIVOTDATA("Sum of Total HFSV",HFSVLAPivot!$B$4,"Council",B41)</f>
        <v>943</v>
      </c>
      <c r="F41" s="825">
        <f>GETPIVOTDATA("Sum of TotalNewAlarms",HFSVLAPivot!$B$4,"Council",B41)</f>
        <v>266</v>
      </c>
      <c r="G41" s="825">
        <f>GETPIVOTDATA("Sum of TotalReplacedAlarms",HFSVLAPivot!$B$4,"Council",B41)</f>
        <v>137</v>
      </c>
      <c r="H41" s="829">
        <f>GETPIVOTDATA("Sum of TotalAlarms",HFSVLAPivot!$B$4,"Council",B41)</f>
        <v>403</v>
      </c>
    </row>
    <row r="42" spans="1:9" x14ac:dyDescent="0.25">
      <c r="A42" t="s">
        <v>291</v>
      </c>
      <c r="B42" s="48" t="s">
        <v>60</v>
      </c>
      <c r="C42" s="825">
        <f>GETPIVOTDATA("Sum of HFSV - alarms installed",HFSVLAPivot!$B$4,"Council",B42)</f>
        <v>228</v>
      </c>
      <c r="D42" s="825">
        <f>GETPIVOTDATA("Sum of HFSV - advice only",HFSVLAPivot!$B$4,"Council",B42)</f>
        <v>1063</v>
      </c>
      <c r="E42" s="827">
        <f>GETPIVOTDATA("Sum of Total HFSV",HFSVLAPivot!$B$4,"Council",B42)</f>
        <v>1291</v>
      </c>
      <c r="F42" s="825">
        <f>GETPIVOTDATA("Sum of TotalNewAlarms",HFSVLAPivot!$B$4,"Council",B42)</f>
        <v>622</v>
      </c>
      <c r="G42" s="825">
        <f>GETPIVOTDATA("Sum of TotalReplacedAlarms",HFSVLAPivot!$B$4,"Council",B42)</f>
        <v>164</v>
      </c>
      <c r="H42" s="829">
        <f>GETPIVOTDATA("Sum of TotalAlarms",HFSVLAPivot!$B$4,"Council",B42)</f>
        <v>786</v>
      </c>
    </row>
    <row r="43" spans="1:9" ht="18.75" customHeight="1" thickBot="1" x14ac:dyDescent="0.3">
      <c r="A43" s="33"/>
      <c r="B43" s="33" t="s">
        <v>731</v>
      </c>
      <c r="C43" s="717">
        <f>SUM(C11:C42)</f>
        <v>5922</v>
      </c>
      <c r="D43" s="717">
        <f>SUM(D11:D42)</f>
        <v>30816</v>
      </c>
      <c r="E43" s="913">
        <f t="shared" ref="E43:H43" si="0">SUM(E11:E42)</f>
        <v>36738</v>
      </c>
      <c r="F43" s="717">
        <f t="shared" si="0"/>
        <v>11441</v>
      </c>
      <c r="G43" s="717">
        <f t="shared" si="0"/>
        <v>4308</v>
      </c>
      <c r="H43" s="913">
        <f t="shared" si="0"/>
        <v>15749</v>
      </c>
    </row>
    <row r="44" spans="1:9" x14ac:dyDescent="0.25">
      <c r="B44" s="12"/>
      <c r="C44" s="47"/>
      <c r="D44" s="47"/>
      <c r="E44" s="62"/>
    </row>
    <row r="45" spans="1:9" x14ac:dyDescent="0.25">
      <c r="A45" s="317" t="s">
        <v>8</v>
      </c>
    </row>
    <row r="46" spans="1:9" ht="44.1" customHeight="1" x14ac:dyDescent="0.25">
      <c r="A46" s="992" t="s">
        <v>1235</v>
      </c>
      <c r="B46" s="992"/>
      <c r="C46" s="992"/>
      <c r="D46" s="992"/>
      <c r="E46" s="992"/>
      <c r="F46" s="992"/>
      <c r="G46" s="992"/>
      <c r="H46" s="992"/>
      <c r="I46" s="992"/>
    </row>
    <row r="47" spans="1:9" s="468" customFormat="1" ht="46.5" customHeight="1" x14ac:dyDescent="0.25">
      <c r="A47" s="992" t="s">
        <v>1237</v>
      </c>
      <c r="B47" s="992"/>
      <c r="C47" s="992"/>
      <c r="D47" s="992"/>
      <c r="E47" s="992"/>
      <c r="F47" s="992"/>
      <c r="G47" s="992"/>
      <c r="H47" s="992"/>
      <c r="I47" s="992"/>
    </row>
  </sheetData>
  <sheetProtection algorithmName="SHA-512" hashValue="YuwFCb+WTA+HoA1Gro/PR/k4VSfdaKQa76eNUDObiFrCbmO85TjCdOfSs8kkjC0S0b2TidLfAXBVPkwEpMGtqA==" saltValue="qtJKk5B6/wvHJyf61TnBaw==" spinCount="100000" sheet="1" scenarios="1" formatCells="0" sort="0" autoFilter="0" pivotTables="0"/>
  <mergeCells count="2">
    <mergeCell ref="A46:I46"/>
    <mergeCell ref="A47:I47"/>
  </mergeCells>
  <hyperlinks>
    <hyperlink ref="A2" location="'Table of Contents'!A1" display="Back to Table of Contents" xr:uid="{00000000-0004-0000-8F00-000000000000}"/>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30">
    <tabColor theme="7" tint="-0.249977111117893"/>
  </sheetPr>
  <dimension ref="A1:I48"/>
  <sheetViews>
    <sheetView showGridLines="0" zoomScaleNormal="100" workbookViewId="0">
      <pane ySplit="2" topLeftCell="A3" activePane="bottomLeft" state="frozen"/>
      <selection pane="bottomLeft"/>
    </sheetView>
  </sheetViews>
  <sheetFormatPr defaultRowHeight="15" x14ac:dyDescent="0.25"/>
  <cols>
    <col min="1" max="1" width="17.28515625" customWidth="1"/>
    <col min="2" max="2" width="22.5703125" bestFit="1" customWidth="1"/>
    <col min="3" max="6" width="14.140625" customWidth="1"/>
  </cols>
  <sheetData>
    <row r="1" spans="1:6" ht="29.45" customHeight="1" x14ac:dyDescent="0.25">
      <c r="A1" s="522" t="s">
        <v>533</v>
      </c>
    </row>
    <row r="2" spans="1:6" x14ac:dyDescent="0.25">
      <c r="A2" s="507" t="s">
        <v>511</v>
      </c>
    </row>
    <row r="4" spans="1:6" ht="15.75" x14ac:dyDescent="0.25">
      <c r="A4" s="447" t="s">
        <v>619</v>
      </c>
      <c r="B4" s="508"/>
    </row>
    <row r="5" spans="1:6" x14ac:dyDescent="0.25">
      <c r="A5" t="s">
        <v>328</v>
      </c>
      <c r="B5" t="s">
        <v>708</v>
      </c>
    </row>
    <row r="6" spans="1:6" x14ac:dyDescent="0.25">
      <c r="A6" t="s">
        <v>329</v>
      </c>
      <c r="B6" t="s">
        <v>331</v>
      </c>
    </row>
    <row r="7" spans="1:6" x14ac:dyDescent="0.25">
      <c r="A7" t="s">
        <v>330</v>
      </c>
      <c r="B7" t="s">
        <v>534</v>
      </c>
    </row>
    <row r="9" spans="1:6" x14ac:dyDescent="0.25">
      <c r="A9" s="317" t="s">
        <v>1</v>
      </c>
      <c r="B9" t="str">
        <f>HFSVLAPivot!C2</f>
        <v>2023-24</v>
      </c>
    </row>
    <row r="10" spans="1:6" ht="15" customHeight="1" x14ac:dyDescent="0.25">
      <c r="B10" s="15"/>
      <c r="C10" s="305"/>
      <c r="D10" s="325" t="s">
        <v>7</v>
      </c>
      <c r="E10" s="1039" t="s">
        <v>130</v>
      </c>
      <c r="F10" s="1039"/>
    </row>
    <row r="11" spans="1:6" ht="51.75" x14ac:dyDescent="0.25">
      <c r="A11" s="78" t="s">
        <v>458</v>
      </c>
      <c r="B11" s="78" t="s">
        <v>116</v>
      </c>
      <c r="C11" s="227" t="s">
        <v>1221</v>
      </c>
      <c r="D11" s="227" t="s">
        <v>131</v>
      </c>
      <c r="E11" s="539" t="s">
        <v>1221</v>
      </c>
      <c r="F11" s="540" t="s">
        <v>132</v>
      </c>
    </row>
    <row r="12" spans="1:6" ht="20.25" customHeight="1" x14ac:dyDescent="0.25">
      <c r="A12" t="s">
        <v>285</v>
      </c>
      <c r="B12" s="48" t="s">
        <v>31</v>
      </c>
      <c r="C12" s="779">
        <f>IF(OR($B$9 = "2021-22", $B$9 = "2022-23"), "-", 'HFSVs LA'!C11/'HFSVs LA'!E11*100)</f>
        <v>9.4103633114949368</v>
      </c>
      <c r="D12" s="779">
        <f>IF(OR($B$9 = "2021-22", $B$9 = "2022-23"), "-", 'HFSVs LA'!D11/'HFSVs LA'!E11*100)</f>
        <v>90.589636688505067</v>
      </c>
      <c r="E12" s="746">
        <f>IFERROR(IF(OR($B$9 = "2021-22", $B$9 = "2022-23"), "-",'HFSVs LA'!H11/'HFSVs LA'!C11), "-")</f>
        <v>3.0443037974683542</v>
      </c>
      <c r="F12" s="747">
        <f>IF(OR($B$9 = "2021-22", $B$9 = "2022-23"), "-", 'HFSVs LA'!H11/'HFSVs LA'!E11)</f>
        <v>0.2864800476474092</v>
      </c>
    </row>
    <row r="13" spans="1:6" x14ac:dyDescent="0.25">
      <c r="A13" t="s">
        <v>286</v>
      </c>
      <c r="B13" s="48" t="s">
        <v>32</v>
      </c>
      <c r="C13" s="779">
        <f>IF(OR($B$9 = "2021-22", $B$9 = "2022-23"), "-", 'HFSVs LA'!C12/'HFSVs LA'!E12*100)</f>
        <v>8.4651898734177209</v>
      </c>
      <c r="D13" s="779">
        <f>IF(OR($B$9 = "2021-22", $B$9 = "2022-23"), "-", 'HFSVs LA'!D12/'HFSVs LA'!E12*100)</f>
        <v>91.534810126582272</v>
      </c>
      <c r="E13" s="746">
        <f>IFERROR(IF(OR($B$9 = "2021-22", $B$9 = "2022-23"), "-",'HFSVs LA'!H12/'HFSVs LA'!C12), "-")</f>
        <v>2.8971962616822431</v>
      </c>
      <c r="F13" s="747">
        <f>IF(OR($B$9 = "2021-22", $B$9 = "2022-23"), "-", 'HFSVs LA'!H12/'HFSVs LA'!E12)</f>
        <v>0.24525316455696203</v>
      </c>
    </row>
    <row r="14" spans="1:6" x14ac:dyDescent="0.25">
      <c r="A14" t="s">
        <v>292</v>
      </c>
      <c r="B14" s="48" t="s">
        <v>33</v>
      </c>
      <c r="C14" s="779">
        <f>IF(OR($B$9 = "2021-22", $B$9 = "2022-23"), "-", 'HFSVs LA'!C13/'HFSVs LA'!E13*100)</f>
        <v>10.985626283367557</v>
      </c>
      <c r="D14" s="779">
        <f>IF(OR($B$9 = "2021-22", $B$9 = "2022-23"), "-", 'HFSVs LA'!D13/'HFSVs LA'!E13*100)</f>
        <v>89.014373716632448</v>
      </c>
      <c r="E14" s="746">
        <f>IFERROR(IF(OR($B$9 = "2021-22", $B$9 = "2022-23"), "-",'HFSVs LA'!H13/'HFSVs LA'!C13), "-")</f>
        <v>2.5233644859813085</v>
      </c>
      <c r="F14" s="747">
        <f>IF(OR($B$9 = "2021-22", $B$9 = "2022-23"), "-", 'HFSVs LA'!H13/'HFSVs LA'!E13)</f>
        <v>0.27720739219712526</v>
      </c>
    </row>
    <row r="15" spans="1:6" x14ac:dyDescent="0.25">
      <c r="A15" t="s">
        <v>287</v>
      </c>
      <c r="B15" s="48" t="s">
        <v>34</v>
      </c>
      <c r="C15" s="779">
        <f>IF(OR($B$9 = "2021-22", $B$9 = "2022-23"), "-", 'HFSVs LA'!C14/'HFSVs LA'!E14*100)</f>
        <v>11.602870813397129</v>
      </c>
      <c r="D15" s="779">
        <f>IF(OR($B$9 = "2021-22", $B$9 = "2022-23"), "-", 'HFSVs LA'!D14/'HFSVs LA'!E14*100)</f>
        <v>88.397129186602868</v>
      </c>
      <c r="E15" s="746">
        <f>IFERROR(IF(OR($B$9 = "2021-22", $B$9 = "2022-23"), "-",'HFSVs LA'!H14/'HFSVs LA'!C14), "-")</f>
        <v>2.7216494845360826</v>
      </c>
      <c r="F15" s="747">
        <f>IF(OR($B$9 = "2021-22", $B$9 = "2022-23"), "-", 'HFSVs LA'!H14/'HFSVs LA'!E14)</f>
        <v>0.31578947368421051</v>
      </c>
    </row>
    <row r="16" spans="1:6" x14ac:dyDescent="0.25">
      <c r="A16" t="s">
        <v>288</v>
      </c>
      <c r="B16" s="48" t="s">
        <v>243</v>
      </c>
      <c r="C16" s="779">
        <f>IF(OR($B$9 = "2021-22", $B$9 = "2022-23"), "-", 'HFSVs LA'!C15/'HFSVs LA'!E15*100)</f>
        <v>10.15169194865811</v>
      </c>
      <c r="D16" s="779">
        <f>IF(OR($B$9 = "2021-22", $B$9 = "2022-23"), "-", 'HFSVs LA'!D15/'HFSVs LA'!E15*100)</f>
        <v>89.848308051341888</v>
      </c>
      <c r="E16" s="746">
        <f>IFERROR(IF(OR($B$9 = "2021-22", $B$9 = "2022-23"), "-",'HFSVs LA'!H15/'HFSVs LA'!C15), "-")</f>
        <v>2.7471264367816093</v>
      </c>
      <c r="F16" s="747">
        <f>IF(OR($B$9 = "2021-22", $B$9 = "2022-23"), "-", 'HFSVs LA'!H15/'HFSVs LA'!E15)</f>
        <v>0.27887981330221706</v>
      </c>
    </row>
    <row r="17" spans="1:6" x14ac:dyDescent="0.25">
      <c r="A17" t="s">
        <v>266</v>
      </c>
      <c r="B17" s="48" t="s">
        <v>35</v>
      </c>
      <c r="C17" s="779">
        <f>IF(OR($B$9 = "2021-22", $B$9 = "2022-23"), "-", 'HFSVs LA'!C16/'HFSVs LA'!E16*100)</f>
        <v>12.719298245614036</v>
      </c>
      <c r="D17" s="779">
        <f>IF(OR($B$9 = "2021-22", $B$9 = "2022-23"), "-", 'HFSVs LA'!D16/'HFSVs LA'!E16*100)</f>
        <v>87.280701754385973</v>
      </c>
      <c r="E17" s="746">
        <f>IFERROR(IF(OR($B$9 = "2021-22", $B$9 = "2022-23"), "-",'HFSVs LA'!H16/'HFSVs LA'!C16), "-")</f>
        <v>2.2586206896551726</v>
      </c>
      <c r="F17" s="747">
        <f>IF(OR($B$9 = "2021-22", $B$9 = "2022-23"), "-", 'HFSVs LA'!H16/'HFSVs LA'!E16)</f>
        <v>0.28728070175438597</v>
      </c>
    </row>
    <row r="18" spans="1:6" x14ac:dyDescent="0.25">
      <c r="A18" t="s">
        <v>267</v>
      </c>
      <c r="B18" s="48" t="s">
        <v>36</v>
      </c>
      <c r="C18" s="779">
        <f>IF(OR($B$9 = "2021-22", $B$9 = "2022-23"), "-", 'HFSVs LA'!C17/'HFSVs LA'!E17*100)</f>
        <v>21.803127874885003</v>
      </c>
      <c r="D18" s="779">
        <f>IF(OR($B$9 = "2021-22", $B$9 = "2022-23"), "-", 'HFSVs LA'!D17/'HFSVs LA'!E17*100)</f>
        <v>78.196872125114993</v>
      </c>
      <c r="E18" s="746">
        <f>IFERROR(IF(OR($B$9 = "2021-22", $B$9 = "2022-23"), "-",'HFSVs LA'!H17/'HFSVs LA'!C17), "-")</f>
        <v>2.6329113924050631</v>
      </c>
      <c r="F18" s="747">
        <f>IF(OR($B$9 = "2021-22", $B$9 = "2022-23"), "-", 'HFSVs LA'!H17/'HFSVs LA'!E17)</f>
        <v>0.57405703771849126</v>
      </c>
    </row>
    <row r="19" spans="1:6" x14ac:dyDescent="0.25">
      <c r="A19" t="s">
        <v>293</v>
      </c>
      <c r="B19" s="48" t="s">
        <v>37</v>
      </c>
      <c r="C19" s="779">
        <f>IF(OR($B$9 = "2021-22", $B$9 = "2022-23"), "-", 'HFSVs LA'!C18/'HFSVs LA'!E18*100)</f>
        <v>9.3055555555555554</v>
      </c>
      <c r="D19" s="779">
        <f>IF(OR($B$9 = "2021-22", $B$9 = "2022-23"), "-", 'HFSVs LA'!D18/'HFSVs LA'!E18*100)</f>
        <v>90.694444444444443</v>
      </c>
      <c r="E19" s="746">
        <f>IFERROR(IF(OR($B$9 = "2021-22", $B$9 = "2022-23"), "-",'HFSVs LA'!H18/'HFSVs LA'!C18), "-")</f>
        <v>2.0522388059701493</v>
      </c>
      <c r="F19" s="747">
        <f>IF(OR($B$9 = "2021-22", $B$9 = "2022-23"), "-", 'HFSVs LA'!H18/'HFSVs LA'!E18)</f>
        <v>0.19097222222222221</v>
      </c>
    </row>
    <row r="20" spans="1:6" x14ac:dyDescent="0.25">
      <c r="A20" t="s">
        <v>268</v>
      </c>
      <c r="B20" s="48" t="s">
        <v>38</v>
      </c>
      <c r="C20" s="779">
        <f>IF(OR($B$9 = "2021-22", $B$9 = "2022-23"), "-", 'HFSVs LA'!C19/'HFSVs LA'!E19*100)</f>
        <v>24.153705397987192</v>
      </c>
      <c r="D20" s="779">
        <f>IF(OR($B$9 = "2021-22", $B$9 = "2022-23"), "-", 'HFSVs LA'!D19/'HFSVs LA'!E19*100)</f>
        <v>75.846294602012804</v>
      </c>
      <c r="E20" s="746">
        <f>IFERROR(IF(OR($B$9 = "2021-22", $B$9 = "2022-23"), "-",'HFSVs LA'!H19/'HFSVs LA'!C19), "-")</f>
        <v>2.6590909090909092</v>
      </c>
      <c r="F20" s="747">
        <f>IF(OR($B$9 = "2021-22", $B$9 = "2022-23"), "-", 'HFSVs LA'!H19/'HFSVs LA'!E19)</f>
        <v>0.64226898444647762</v>
      </c>
    </row>
    <row r="21" spans="1:6" x14ac:dyDescent="0.25">
      <c r="A21" t="s">
        <v>295</v>
      </c>
      <c r="B21" s="48" t="s">
        <v>39</v>
      </c>
      <c r="C21" s="779">
        <f>IF(OR($B$9 = "2021-22", $B$9 = "2022-23"), "-", 'HFSVs LA'!C20/'HFSVs LA'!E20*100)</f>
        <v>16.258570029382959</v>
      </c>
      <c r="D21" s="779">
        <f>IF(OR($B$9 = "2021-22", $B$9 = "2022-23"), "-", 'HFSVs LA'!D20/'HFSVs LA'!E20*100)</f>
        <v>83.741429970617048</v>
      </c>
      <c r="E21" s="746">
        <f>IFERROR(IF(OR($B$9 = "2021-22", $B$9 = "2022-23"), "-",'HFSVs LA'!H20/'HFSVs LA'!C20), "-")</f>
        <v>2.5120481927710845</v>
      </c>
      <c r="F21" s="747">
        <f>IF(OR($B$9 = "2021-22", $B$9 = "2022-23"), "-", 'HFSVs LA'!H20/'HFSVs LA'!E20)</f>
        <v>0.40842311459353575</v>
      </c>
    </row>
    <row r="22" spans="1:6" x14ac:dyDescent="0.25">
      <c r="A22" t="s">
        <v>269</v>
      </c>
      <c r="B22" s="48" t="s">
        <v>40</v>
      </c>
      <c r="C22" s="779">
        <f>IF(OR($B$9 = "2021-22", $B$9 = "2022-23"), "-", 'HFSVs LA'!C21/'HFSVs LA'!E21*100)</f>
        <v>10.272873194221509</v>
      </c>
      <c r="D22" s="779">
        <f>IF(OR($B$9 = "2021-22", $B$9 = "2022-23"), "-", 'HFSVs LA'!D21/'HFSVs LA'!E21*100)</f>
        <v>89.727126805778497</v>
      </c>
      <c r="E22" s="746">
        <f>IFERROR(IF(OR($B$9 = "2021-22", $B$9 = "2022-23"), "-",'HFSVs LA'!H21/'HFSVs LA'!C21), "-")</f>
        <v>2.453125</v>
      </c>
      <c r="F22" s="747">
        <f>IF(OR($B$9 = "2021-22", $B$9 = "2022-23"), "-", 'HFSVs LA'!H21/'HFSVs LA'!E21)</f>
        <v>0.2520064205457464</v>
      </c>
    </row>
    <row r="23" spans="1:6" x14ac:dyDescent="0.25">
      <c r="A23" t="s">
        <v>270</v>
      </c>
      <c r="B23" s="48" t="s">
        <v>41</v>
      </c>
      <c r="C23" s="779">
        <f>IF(OR($B$9 = "2021-22", $B$9 = "2022-23"), "-", 'HFSVs LA'!C22/'HFSVs LA'!E22*100)</f>
        <v>24.613003095975234</v>
      </c>
      <c r="D23" s="779">
        <f>IF(OR($B$9 = "2021-22", $B$9 = "2022-23"), "-", 'HFSVs LA'!D22/'HFSVs LA'!E22*100)</f>
        <v>75.38699690402477</v>
      </c>
      <c r="E23" s="746">
        <f>IFERROR(IF(OR($B$9 = "2021-22", $B$9 = "2022-23"), "-",'HFSVs LA'!H22/'HFSVs LA'!C22), "-")</f>
        <v>2.4025157232704402</v>
      </c>
      <c r="F23" s="747">
        <f>IF(OR($B$9 = "2021-22", $B$9 = "2022-23"), "-", 'HFSVs LA'!H22/'HFSVs LA'!E22)</f>
        <v>0.59133126934984526</v>
      </c>
    </row>
    <row r="24" spans="1:6" x14ac:dyDescent="0.25">
      <c r="A24" t="s">
        <v>272</v>
      </c>
      <c r="B24" s="48" t="s">
        <v>42</v>
      </c>
      <c r="C24" s="779">
        <f>IF(OR($B$9 = "2021-22", $B$9 = "2022-23"), "-", 'HFSVs LA'!C23/'HFSVs LA'!E23*100)</f>
        <v>15.547263681592039</v>
      </c>
      <c r="D24" s="779">
        <f>IF(OR($B$9 = "2021-22", $B$9 = "2022-23"), "-", 'HFSVs LA'!D23/'HFSVs LA'!E23*100)</f>
        <v>84.452736318407958</v>
      </c>
      <c r="E24" s="746">
        <f>IFERROR(IF(OR($B$9 = "2021-22", $B$9 = "2022-23"), "-",'HFSVs LA'!H23/'HFSVs LA'!C23), "-")</f>
        <v>2.9279999999999999</v>
      </c>
      <c r="F24" s="747">
        <f>IF(OR($B$9 = "2021-22", $B$9 = "2022-23"), "-", 'HFSVs LA'!H23/'HFSVs LA'!E23)</f>
        <v>0.45522388059701491</v>
      </c>
    </row>
    <row r="25" spans="1:6" x14ac:dyDescent="0.25">
      <c r="A25" t="s">
        <v>388</v>
      </c>
      <c r="B25" s="48" t="s">
        <v>43</v>
      </c>
      <c r="C25" s="779">
        <f>IF(OR($B$9 = "2021-22", $B$9 = "2022-23"), "-", 'HFSVs LA'!C24/'HFSVs LA'!E24*100)</f>
        <v>20.711835334476845</v>
      </c>
      <c r="D25" s="779">
        <f>IF(OR($B$9 = "2021-22", $B$9 = "2022-23"), "-", 'HFSVs LA'!D24/'HFSVs LA'!E24*100)</f>
        <v>79.288164665523155</v>
      </c>
      <c r="E25" s="746">
        <f>IFERROR(IF(OR($B$9 = "2021-22", $B$9 = "2022-23"), "-",'HFSVs LA'!H24/'HFSVs LA'!C24), "-")</f>
        <v>2.5196687370600412</v>
      </c>
      <c r="F25" s="747">
        <f>IF(OR($B$9 = "2021-22", $B$9 = "2022-23"), "-", 'HFSVs LA'!H24/'HFSVs LA'!E24)</f>
        <v>0.52186963979416812</v>
      </c>
    </row>
    <row r="26" spans="1:6" x14ac:dyDescent="0.25">
      <c r="A26" t="s">
        <v>296</v>
      </c>
      <c r="B26" s="48" t="s">
        <v>117</v>
      </c>
      <c r="C26" s="779">
        <f>IF(OR($B$9 = "2021-22", $B$9 = "2022-23"), "-", 'HFSVs LA'!C25/'HFSVs LA'!E25*100)</f>
        <v>18.234865061998544</v>
      </c>
      <c r="D26" s="779">
        <f>IF(OR($B$9 = "2021-22", $B$9 = "2022-23"), "-", 'HFSVs LA'!D25/'HFSVs LA'!E25*100)</f>
        <v>81.765134938001466</v>
      </c>
      <c r="E26" s="746">
        <f>IFERROR(IF(OR($B$9 = "2021-22", $B$9 = "2022-23"), "-",'HFSVs LA'!H25/'HFSVs LA'!C25), "-")</f>
        <v>2.5666666666666669</v>
      </c>
      <c r="F26" s="747">
        <f>IF(OR($B$9 = "2021-22", $B$9 = "2022-23"), "-", 'HFSVs LA'!H25/'HFSVs LA'!E25)</f>
        <v>0.46802820325796257</v>
      </c>
    </row>
    <row r="27" spans="1:6" x14ac:dyDescent="0.25">
      <c r="A27" t="s">
        <v>273</v>
      </c>
      <c r="B27" s="48" t="s">
        <v>44</v>
      </c>
      <c r="C27" s="779">
        <f>IF(OR($B$9 = "2021-22", $B$9 = "2022-23"), "-", 'HFSVs LA'!C26/'HFSVs LA'!E26*100)</f>
        <v>7.004830917874397</v>
      </c>
      <c r="D27" s="779">
        <f>IF(OR($B$9 = "2021-22", $B$9 = "2022-23"), "-", 'HFSVs LA'!D26/'HFSVs LA'!E26*100)</f>
        <v>92.995169082125599</v>
      </c>
      <c r="E27" s="746">
        <f>IFERROR(IF(OR($B$9 = "2021-22", $B$9 = "2022-23"), "-",'HFSVs LA'!H26/'HFSVs LA'!C26), "-")</f>
        <v>3.1517241379310343</v>
      </c>
      <c r="F27" s="747">
        <f>IF(OR($B$9 = "2021-22", $B$9 = "2022-23"), "-", 'HFSVs LA'!H26/'HFSVs LA'!E26)</f>
        <v>0.22077294685990337</v>
      </c>
    </row>
    <row r="28" spans="1:6" x14ac:dyDescent="0.25">
      <c r="A28" t="s">
        <v>274</v>
      </c>
      <c r="B28" s="48" t="s">
        <v>45</v>
      </c>
      <c r="C28" s="779">
        <f>IF(OR($B$9 = "2021-22", $B$9 = "2022-23"), "-", 'HFSVs LA'!C27/'HFSVs LA'!E27*100)</f>
        <v>35.162601626016261</v>
      </c>
      <c r="D28" s="779">
        <f>IF(OR($B$9 = "2021-22", $B$9 = "2022-23"), "-", 'HFSVs LA'!D27/'HFSVs LA'!E27*100)</f>
        <v>64.837398373983731</v>
      </c>
      <c r="E28" s="746">
        <f>IFERROR(IF(OR($B$9 = "2021-22", $B$9 = "2022-23"), "-",'HFSVs LA'!H27/'HFSVs LA'!C27), "-")</f>
        <v>2.5260115606936417</v>
      </c>
      <c r="F28" s="747">
        <f>IF(OR($B$9 = "2021-22", $B$9 = "2022-23"), "-", 'HFSVs LA'!H27/'HFSVs LA'!E27)</f>
        <v>0.88821138211382111</v>
      </c>
    </row>
    <row r="29" spans="1:6" x14ac:dyDescent="0.25">
      <c r="A29" t="s">
        <v>275</v>
      </c>
      <c r="B29" s="48" t="s">
        <v>46</v>
      </c>
      <c r="C29" s="779">
        <f>IF(OR($B$9 = "2021-22", $B$9 = "2022-23"), "-", 'HFSVs LA'!C28/'HFSVs LA'!E28*100)</f>
        <v>16.267942583732058</v>
      </c>
      <c r="D29" s="779">
        <f>IF(OR($B$9 = "2021-22", $B$9 = "2022-23"), "-", 'HFSVs LA'!D28/'HFSVs LA'!E28*100)</f>
        <v>83.732057416267949</v>
      </c>
      <c r="E29" s="746">
        <f>IFERROR(IF(OR($B$9 = "2021-22", $B$9 = "2022-23"), "-",'HFSVs LA'!H28/'HFSVs LA'!C28), "-")</f>
        <v>2.6470588235294117</v>
      </c>
      <c r="F29" s="747">
        <f>IF(OR($B$9 = "2021-22", $B$9 = "2022-23"), "-", 'HFSVs LA'!H28/'HFSVs LA'!E28)</f>
        <v>0.43062200956937802</v>
      </c>
    </row>
    <row r="30" spans="1:6" x14ac:dyDescent="0.25">
      <c r="A30" t="s">
        <v>276</v>
      </c>
      <c r="B30" s="48" t="s">
        <v>47</v>
      </c>
      <c r="C30" s="779">
        <f>IF(OR($B$9 = "2021-22", $B$9 = "2022-23"), "-", 'HFSVs LA'!C29/'HFSVs LA'!E29*100)</f>
        <v>8.5672082717872975</v>
      </c>
      <c r="D30" s="779">
        <f>IF(OR($B$9 = "2021-22", $B$9 = "2022-23"), "-", 'HFSVs LA'!D29/'HFSVs LA'!E29*100)</f>
        <v>91.432791728212706</v>
      </c>
      <c r="E30" s="746">
        <f>IFERROR(IF(OR($B$9 = "2021-22", $B$9 = "2022-23"), "-",'HFSVs LA'!H29/'HFSVs LA'!C29), "-")</f>
        <v>3.0172413793103448</v>
      </c>
      <c r="F30" s="747">
        <f>IF(OR($B$9 = "2021-22", $B$9 = "2022-23"), "-", 'HFSVs LA'!H29/'HFSVs LA'!E29)</f>
        <v>0.25849335302806498</v>
      </c>
    </row>
    <row r="31" spans="1:6" x14ac:dyDescent="0.25">
      <c r="A31" t="s">
        <v>271</v>
      </c>
      <c r="B31" s="48" t="s">
        <v>48</v>
      </c>
      <c r="C31" s="779">
        <f>IF(OR($B$9 = "2021-22", $B$9 = "2022-23"), "-", 'HFSVs LA'!C30/'HFSVs LA'!E30*100)</f>
        <v>11.76470588235294</v>
      </c>
      <c r="D31" s="779">
        <f>IF(OR($B$9 = "2021-22", $B$9 = "2022-23"), "-", 'HFSVs LA'!D30/'HFSVs LA'!E30*100)</f>
        <v>88.235294117647058</v>
      </c>
      <c r="E31" s="746">
        <f>IFERROR(IF(OR($B$9 = "2021-22", $B$9 = "2022-23"), "-",'HFSVs LA'!H30/'HFSVs LA'!C30), "-")</f>
        <v>3.8333333333333335</v>
      </c>
      <c r="F31" s="747">
        <f>IF(OR($B$9 = "2021-22", $B$9 = "2022-23"), "-", 'HFSVs LA'!H30/'HFSVs LA'!E30)</f>
        <v>0.45098039215686275</v>
      </c>
    </row>
    <row r="32" spans="1:6" x14ac:dyDescent="0.25">
      <c r="A32" t="s">
        <v>277</v>
      </c>
      <c r="B32" s="48" t="s">
        <v>49</v>
      </c>
      <c r="C32" s="779">
        <f>IF(OR($B$9 = "2021-22", $B$9 = "2022-23"), "-", 'HFSVs LA'!C31/'HFSVs LA'!E31*100)</f>
        <v>23.183391003460208</v>
      </c>
      <c r="D32" s="779">
        <f>IF(OR($B$9 = "2021-22", $B$9 = "2022-23"), "-", 'HFSVs LA'!D31/'HFSVs LA'!E31*100)</f>
        <v>76.816608996539799</v>
      </c>
      <c r="E32" s="746">
        <f>IFERROR(IF(OR($B$9 = "2021-22", $B$9 = "2022-23"), "-",'HFSVs LA'!H31/'HFSVs LA'!C31), "-")</f>
        <v>2.4228855721393034</v>
      </c>
      <c r="F32" s="747">
        <f>IF(OR($B$9 = "2021-22", $B$9 = "2022-23"), "-", 'HFSVs LA'!H31/'HFSVs LA'!E31)</f>
        <v>0.56170703575547865</v>
      </c>
    </row>
    <row r="33" spans="1:9" x14ac:dyDescent="0.25">
      <c r="A33" t="s">
        <v>294</v>
      </c>
      <c r="B33" s="48" t="s">
        <v>50</v>
      </c>
      <c r="C33" s="779">
        <f>IF(OR($B$9 = "2021-22", $B$9 = "2022-23"), "-", 'HFSVs LA'!C32/'HFSVs LA'!E32*100)</f>
        <v>17.117988394584138</v>
      </c>
      <c r="D33" s="779">
        <f>IF(OR($B$9 = "2021-22", $B$9 = "2022-23"), "-", 'HFSVs LA'!D32/'HFSVs LA'!E32*100)</f>
        <v>82.882011605415869</v>
      </c>
      <c r="E33" s="746">
        <f>IFERROR(IF(OR($B$9 = "2021-22", $B$9 = "2022-23"), "-",'HFSVs LA'!H32/'HFSVs LA'!C32), "-")</f>
        <v>2.6864406779661016</v>
      </c>
      <c r="F33" s="747">
        <f>IF(OR($B$9 = "2021-22", $B$9 = "2022-23"), "-", 'HFSVs LA'!H32/'HFSVs LA'!E32)</f>
        <v>0.45986460348162478</v>
      </c>
    </row>
    <row r="34" spans="1:9" x14ac:dyDescent="0.25">
      <c r="A34" t="s">
        <v>278</v>
      </c>
      <c r="B34" s="48" t="s">
        <v>51</v>
      </c>
      <c r="C34" s="779">
        <f>IF(OR($B$9 = "2021-22", $B$9 = "2022-23"), "-", 'HFSVs LA'!C33/'HFSVs LA'!E33*100)</f>
        <v>15.048543689320388</v>
      </c>
      <c r="D34" s="779">
        <f>IF(OR($B$9 = "2021-22", $B$9 = "2022-23"), "-", 'HFSVs LA'!D33/'HFSVs LA'!E33*100)</f>
        <v>84.951456310679603</v>
      </c>
      <c r="E34" s="746">
        <f>IFERROR(IF(OR($B$9 = "2021-22", $B$9 = "2022-23"), "-",'HFSVs LA'!H33/'HFSVs LA'!C33), "-")</f>
        <v>3.5806451612903225</v>
      </c>
      <c r="F34" s="747">
        <f>IF(OR($B$9 = "2021-22", $B$9 = "2022-23"), "-", 'HFSVs LA'!H33/'HFSVs LA'!E33)</f>
        <v>0.53883495145631066</v>
      </c>
    </row>
    <row r="35" spans="1:9" x14ac:dyDescent="0.25">
      <c r="A35" t="s">
        <v>279</v>
      </c>
      <c r="B35" s="48" t="s">
        <v>52</v>
      </c>
      <c r="C35" s="779">
        <f>IF(OR($B$9 = "2021-22", $B$9 = "2022-23"), "-", 'HFSVs LA'!C34/'HFSVs LA'!E34*100)</f>
        <v>14.666666666666666</v>
      </c>
      <c r="D35" s="779">
        <f>IF(OR($B$9 = "2021-22", $B$9 = "2022-23"), "-", 'HFSVs LA'!D34/'HFSVs LA'!E34*100)</f>
        <v>85.333333333333343</v>
      </c>
      <c r="E35" s="746">
        <f>IFERROR(IF(OR($B$9 = "2021-22", $B$9 = "2022-23"), "-",'HFSVs LA'!H34/'HFSVs LA'!C34), "-")</f>
        <v>2.8181818181818183</v>
      </c>
      <c r="F35" s="747">
        <f>IF(OR($B$9 = "2021-22", $B$9 = "2022-23"), "-", 'HFSVs LA'!H34/'HFSVs LA'!E34)</f>
        <v>0.41333333333333333</v>
      </c>
    </row>
    <row r="36" spans="1:9" x14ac:dyDescent="0.25">
      <c r="A36" t="s">
        <v>289</v>
      </c>
      <c r="B36" s="48" t="s">
        <v>53</v>
      </c>
      <c r="C36" s="779">
        <f>IF(OR($B$9 = "2021-22", $B$9 = "2022-23"), "-", 'HFSVs LA'!C35/'HFSVs LA'!E35*100)</f>
        <v>29.280821917808218</v>
      </c>
      <c r="D36" s="779">
        <f>IF(OR($B$9 = "2021-22", $B$9 = "2022-23"), "-", 'HFSVs LA'!D35/'HFSVs LA'!E35*100)</f>
        <v>70.719178082191775</v>
      </c>
      <c r="E36" s="746">
        <f>IFERROR(IF(OR($B$9 = "2021-22", $B$9 = "2022-23"), "-",'HFSVs LA'!H35/'HFSVs LA'!C35), "-")</f>
        <v>2.5058479532163744</v>
      </c>
      <c r="F36" s="747">
        <f>IF(OR($B$9 = "2021-22", $B$9 = "2022-23"), "-", 'HFSVs LA'!H35/'HFSVs LA'!E35)</f>
        <v>0.73373287671232879</v>
      </c>
    </row>
    <row r="37" spans="1:9" x14ac:dyDescent="0.25">
      <c r="A37" t="s">
        <v>280</v>
      </c>
      <c r="B37" s="48" t="s">
        <v>54</v>
      </c>
      <c r="C37" s="779">
        <f>IF(OR($B$9 = "2021-22", $B$9 = "2022-23"), "-", 'HFSVs LA'!C36/'HFSVs LA'!E36*100)</f>
        <v>14.159292035398231</v>
      </c>
      <c r="D37" s="779">
        <f>IF(OR($B$9 = "2021-22", $B$9 = "2022-23"), "-", 'HFSVs LA'!D36/'HFSVs LA'!E36*100)</f>
        <v>85.840707964601776</v>
      </c>
      <c r="E37" s="746">
        <f>IFERROR(IF(OR($B$9 = "2021-22", $B$9 = "2022-23"), "-",'HFSVs LA'!H36/'HFSVs LA'!C36), "-")</f>
        <v>2.765625</v>
      </c>
      <c r="F37" s="747">
        <f>IF(OR($B$9 = "2021-22", $B$9 = "2022-23"), "-", 'HFSVs LA'!H36/'HFSVs LA'!E36)</f>
        <v>0.3915929203539823</v>
      </c>
    </row>
    <row r="38" spans="1:9" x14ac:dyDescent="0.25">
      <c r="A38" t="s">
        <v>281</v>
      </c>
      <c r="B38" s="48" t="s">
        <v>55</v>
      </c>
      <c r="C38" s="779">
        <f>IF(OR($B$9 = "2021-22", $B$9 = "2022-23"), "-", 'HFSVs LA'!C37/'HFSVs LA'!E37*100)</f>
        <v>10.185185185185185</v>
      </c>
      <c r="D38" s="779">
        <f>IF(OR($B$9 = "2021-22", $B$9 = "2022-23"), "-", 'HFSVs LA'!D37/'HFSVs LA'!E37*100)</f>
        <v>89.81481481481481</v>
      </c>
      <c r="E38" s="746">
        <f>IFERROR(IF(OR($B$9 = "2021-22", $B$9 = "2022-23"), "-",'HFSVs LA'!H37/'HFSVs LA'!C37), "-")</f>
        <v>3.2727272727272729</v>
      </c>
      <c r="F38" s="747">
        <f>IF(OR($B$9 = "2021-22", $B$9 = "2022-23"), "-", 'HFSVs LA'!H37/'HFSVs LA'!E37)</f>
        <v>0.33333333333333331</v>
      </c>
    </row>
    <row r="39" spans="1:9" x14ac:dyDescent="0.25">
      <c r="A39" t="s">
        <v>282</v>
      </c>
      <c r="B39" s="48" t="s">
        <v>56</v>
      </c>
      <c r="C39" s="779">
        <f>IF(OR($B$9 = "2021-22", $B$9 = "2022-23"), "-", 'HFSVs LA'!C38/'HFSVs LA'!E38*100)</f>
        <v>23.333333333333332</v>
      </c>
      <c r="D39" s="779">
        <f>IF(OR($B$9 = "2021-22", $B$9 = "2022-23"), "-", 'HFSVs LA'!D38/'HFSVs LA'!E38*100)</f>
        <v>76.666666666666671</v>
      </c>
      <c r="E39" s="746">
        <f>IFERROR(IF(OR($B$9 = "2021-22", $B$9 = "2022-23"), "-",'HFSVs LA'!H38/'HFSVs LA'!C38), "-")</f>
        <v>2.5590062111801242</v>
      </c>
      <c r="F39" s="747">
        <f>IF(OR($B$9 = "2021-22", $B$9 = "2022-23"), "-", 'HFSVs LA'!H38/'HFSVs LA'!E38)</f>
        <v>0.59710144927536235</v>
      </c>
    </row>
    <row r="40" spans="1:9" x14ac:dyDescent="0.25">
      <c r="A40" t="s">
        <v>283</v>
      </c>
      <c r="B40" s="48" t="s">
        <v>57</v>
      </c>
      <c r="C40" s="779">
        <f>IF(OR($B$9 = "2021-22", $B$9 = "2022-23"), "-", 'HFSVs LA'!C39/'HFSVs LA'!E39*100)</f>
        <v>18.291630716134598</v>
      </c>
      <c r="D40" s="779">
        <f>IF(OR($B$9 = "2021-22", $B$9 = "2022-23"), "-", 'HFSVs LA'!D39/'HFSVs LA'!E39*100)</f>
        <v>81.708369283865395</v>
      </c>
      <c r="E40" s="746">
        <f>IFERROR(IF(OR($B$9 = "2021-22", $B$9 = "2022-23"), "-",'HFSVs LA'!H39/'HFSVs LA'!C39), "-")</f>
        <v>2.8466981132075473</v>
      </c>
      <c r="F40" s="747">
        <f>IF(OR($B$9 = "2021-22", $B$9 = "2022-23"), "-", 'HFSVs LA'!H39/'HFSVs LA'!E39)</f>
        <v>0.52070750647109576</v>
      </c>
    </row>
    <row r="41" spans="1:9" x14ac:dyDescent="0.25">
      <c r="A41" t="s">
        <v>284</v>
      </c>
      <c r="B41" s="48" t="s">
        <v>58</v>
      </c>
      <c r="C41" s="779">
        <f>IF(OR($B$9 = "2021-22", $B$9 = "2022-23"), "-", 'HFSVs LA'!C40/'HFSVs LA'!E40*100)</f>
        <v>16.639741518578351</v>
      </c>
      <c r="D41" s="779">
        <f>IF(OR($B$9 = "2021-22", $B$9 = "2022-23"), "-", 'HFSVs LA'!D40/'HFSVs LA'!E40*100)</f>
        <v>83.360258481421639</v>
      </c>
      <c r="E41" s="746">
        <f>IFERROR(IF(OR($B$9 = "2021-22", $B$9 = "2022-23"), "-",'HFSVs LA'!H40/'HFSVs LA'!C40), "-")</f>
        <v>2.5825242718446604</v>
      </c>
      <c r="F41" s="747">
        <f>IF(OR($B$9 = "2021-22", $B$9 = "2022-23"), "-", 'HFSVs LA'!H40/'HFSVs LA'!E40)</f>
        <v>0.42972536348949919</v>
      </c>
    </row>
    <row r="42" spans="1:9" x14ac:dyDescent="0.25">
      <c r="A42" t="s">
        <v>290</v>
      </c>
      <c r="B42" s="48" t="s">
        <v>59</v>
      </c>
      <c r="C42" s="779">
        <f>IF(OR($B$9 = "2021-22", $B$9 = "2022-23"), "-", 'HFSVs LA'!C41/'HFSVs LA'!E41*100)</f>
        <v>20.360551431601273</v>
      </c>
      <c r="D42" s="779">
        <f>IF(OR($B$9 = "2021-22", $B$9 = "2022-23"), "-", 'HFSVs LA'!D41/'HFSVs LA'!E41*100)</f>
        <v>79.639448568398734</v>
      </c>
      <c r="E42" s="746">
        <f>IFERROR(IF(OR($B$9 = "2021-22", $B$9 = "2022-23"), "-",'HFSVs LA'!H41/'HFSVs LA'!C41), "-")</f>
        <v>2.0989583333333335</v>
      </c>
      <c r="F42" s="747">
        <f>IF(OR($B$9 = "2021-22", $B$9 = "2022-23"), "-", 'HFSVs LA'!H41/'HFSVs LA'!E41)</f>
        <v>0.42735949098621423</v>
      </c>
    </row>
    <row r="43" spans="1:9" x14ac:dyDescent="0.25">
      <c r="A43" t="s">
        <v>291</v>
      </c>
      <c r="B43" s="48" t="s">
        <v>60</v>
      </c>
      <c r="C43" s="779">
        <f>IF(OR($B$9 = "2021-22", $B$9 = "2022-23"), "-", 'HFSVs LA'!C42/'HFSVs LA'!E42*100)</f>
        <v>17.660728117738188</v>
      </c>
      <c r="D43" s="779">
        <f>IF(OR($B$9 = "2021-22", $B$9 = "2022-23"), "-", 'HFSVs LA'!D42/'HFSVs LA'!E42*100)</f>
        <v>82.339271882261812</v>
      </c>
      <c r="E43" s="748">
        <f>IFERROR(IF(OR($B$9 = "2021-22", $B$9 = "2022-23"), "-",'HFSVs LA'!H42/'HFSVs LA'!C42), "-")</f>
        <v>3.4473684210526314</v>
      </c>
      <c r="F43" s="747">
        <f>IF(OR($B$9 = "2021-22", $B$9 = "2022-23"), "-", 'HFSVs LA'!H42/'HFSVs LA'!E42)</f>
        <v>0.60883036405886914</v>
      </c>
    </row>
    <row r="44" spans="1:9" ht="20.25" customHeight="1" thickBot="1" x14ac:dyDescent="0.3">
      <c r="A44" s="33"/>
      <c r="B44" s="33" t="s">
        <v>731</v>
      </c>
      <c r="C44" s="944">
        <f>IF(OR($B$9 = "2021-22", $B$9 = "2022-23"), "-", 'HFSVs LA'!C43/'HFSVs LA'!E43*100)</f>
        <v>16.119549240568347</v>
      </c>
      <c r="D44" s="945">
        <f>IF(OR($B$9 = "2021-22", $B$9 = "2022-23"), "-", 100-C44)</f>
        <v>83.880450759431653</v>
      </c>
      <c r="E44" s="946">
        <f>IFERROR(IF(OR($B$9 = "2021-22", $B$9 = "2022-23"), "-",'HFSVs LA'!H43/'HFSVs LA'!C43), "-")</f>
        <v>2.6594056062141167</v>
      </c>
      <c r="F44" s="947">
        <f>IF(OR($B$9 = "2021-22", $B$9 = "2022-23"), "-", 'HFSVs LA'!H43/'HFSVs LA'!E43)</f>
        <v>0.42868419620011977</v>
      </c>
    </row>
    <row r="45" spans="1:9" x14ac:dyDescent="0.25">
      <c r="B45" s="12"/>
      <c r="C45" s="281"/>
      <c r="D45" s="281"/>
      <c r="E45" s="230"/>
      <c r="F45" s="15"/>
    </row>
    <row r="46" spans="1:9" x14ac:dyDescent="0.25">
      <c r="A46" s="317" t="s">
        <v>8</v>
      </c>
      <c r="B46" s="341"/>
    </row>
    <row r="47" spans="1:9" ht="45" customHeight="1" x14ac:dyDescent="0.25">
      <c r="A47" s="992" t="s">
        <v>1235</v>
      </c>
      <c r="B47" s="992"/>
      <c r="C47" s="992"/>
      <c r="D47" s="992"/>
      <c r="E47" s="992"/>
      <c r="F47" s="992"/>
      <c r="G47" s="992"/>
      <c r="H47" s="992"/>
      <c r="I47" s="992"/>
    </row>
    <row r="48" spans="1:9" ht="45.6" customHeight="1" x14ac:dyDescent="0.25">
      <c r="A48" s="992" t="s">
        <v>1237</v>
      </c>
      <c r="B48" s="992"/>
      <c r="C48" s="992"/>
      <c r="D48" s="992"/>
      <c r="E48" s="992"/>
      <c r="F48" s="992"/>
      <c r="G48" s="992"/>
      <c r="H48" s="992"/>
      <c r="I48" s="992"/>
    </row>
  </sheetData>
  <sheetProtection algorithmName="SHA-512" hashValue="PTZDbDo8Krv6OmTNkIZXHXohZTZ/30uIWULHkmFYi8JmN3WY/QKhhyuGUJuF6KHSHtVeO5Gv4UkVNmPMv78L7w==" saltValue="6vU2PzTgb+klEhkRWXn8Dw==" spinCount="100000" sheet="1" scenarios="1" formatCells="0" sort="0" autoFilter="0" pivotTables="0"/>
  <mergeCells count="3">
    <mergeCell ref="E10:F10"/>
    <mergeCell ref="A47:I47"/>
    <mergeCell ref="A48:I48"/>
  </mergeCells>
  <hyperlinks>
    <hyperlink ref="A2" location="'Table of Contents'!A1" display="Back to Table of Contents" xr:uid="{00000000-0004-0000-91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31">
    <tabColor theme="7" tint="-0.249977111117893"/>
    <pageSetUpPr fitToPage="1"/>
  </sheetPr>
  <dimension ref="A1:K50"/>
  <sheetViews>
    <sheetView showGridLines="0" zoomScaleNormal="100" workbookViewId="0">
      <pane ySplit="2" topLeftCell="A3" activePane="bottomLeft" state="frozen"/>
      <selection pane="bottomLeft"/>
    </sheetView>
  </sheetViews>
  <sheetFormatPr defaultRowHeight="15" x14ac:dyDescent="0.25"/>
  <cols>
    <col min="1" max="1" width="19.5703125" customWidth="1"/>
    <col min="2" max="2" width="22.28515625" customWidth="1"/>
    <col min="3" max="3" width="13" customWidth="1"/>
    <col min="4" max="6" width="11" customWidth="1"/>
    <col min="7" max="7" width="14.140625" customWidth="1"/>
  </cols>
  <sheetData>
    <row r="1" spans="1:7" ht="35.1" customHeight="1" x14ac:dyDescent="0.25">
      <c r="A1" s="522" t="s">
        <v>533</v>
      </c>
    </row>
    <row r="2" spans="1:7" x14ac:dyDescent="0.25">
      <c r="A2" s="507" t="s">
        <v>511</v>
      </c>
    </row>
    <row r="3" spans="1:7" x14ac:dyDescent="0.25">
      <c r="A3" s="25"/>
    </row>
    <row r="4" spans="1:7" ht="15.75" x14ac:dyDescent="0.25">
      <c r="A4" s="447" t="s">
        <v>620</v>
      </c>
      <c r="B4" s="508"/>
    </row>
    <row r="5" spans="1:7" x14ac:dyDescent="0.25">
      <c r="A5" t="s">
        <v>328</v>
      </c>
      <c r="B5" t="s">
        <v>709</v>
      </c>
    </row>
    <row r="6" spans="1:7" x14ac:dyDescent="0.25">
      <c r="A6" t="s">
        <v>329</v>
      </c>
      <c r="B6" t="s">
        <v>331</v>
      </c>
    </row>
    <row r="7" spans="1:7" x14ac:dyDescent="0.25">
      <c r="A7" t="s">
        <v>330</v>
      </c>
      <c r="B7" t="s">
        <v>534</v>
      </c>
    </row>
    <row r="9" spans="1:7" x14ac:dyDescent="0.25">
      <c r="A9" s="317" t="s">
        <v>1</v>
      </c>
      <c r="B9" s="317" t="str">
        <f>HFSVLAPivot!C2</f>
        <v>2023-24</v>
      </c>
    </row>
    <row r="10" spans="1:7" x14ac:dyDescent="0.25">
      <c r="B10" s="15"/>
      <c r="C10" s="228"/>
      <c r="D10" s="228"/>
      <c r="E10" s="229" t="s">
        <v>551</v>
      </c>
      <c r="F10" s="229"/>
      <c r="G10" s="544" t="s">
        <v>6</v>
      </c>
    </row>
    <row r="11" spans="1:7" ht="39" x14ac:dyDescent="0.25">
      <c r="A11" s="78" t="s">
        <v>458</v>
      </c>
      <c r="B11" s="36" t="s">
        <v>116</v>
      </c>
      <c r="C11" s="217" t="s">
        <v>122</v>
      </c>
      <c r="D11" s="170" t="s">
        <v>127</v>
      </c>
      <c r="E11" s="538" t="s">
        <v>553</v>
      </c>
      <c r="F11" s="546" t="s">
        <v>552</v>
      </c>
      <c r="G11" s="545" t="s">
        <v>434</v>
      </c>
    </row>
    <row r="12" spans="1:7" ht="21" customHeight="1" x14ac:dyDescent="0.25">
      <c r="A12" t="s">
        <v>285</v>
      </c>
      <c r="B12" s="45" t="s">
        <v>31</v>
      </c>
      <c r="C12" s="780">
        <f>IF(OR($B$9 = "2021-22", $B$9 = "2022-23"), "-", HFSVLAPivot!C5/HFSVLAPivot!L5*100)</f>
        <v>0.14231157227266178</v>
      </c>
      <c r="D12" s="780">
        <f>IF(OR($B$9 = "2021-22", $B$9 = "2022-23"), "-", HFSVLAPivot!D5/HFSVLAPivot!L5*100)</f>
        <v>1.3699740596627756</v>
      </c>
      <c r="E12" s="781">
        <f>HFSVLAPivot!E5/HFSVLAPivot!L5*100</f>
        <v>1.5122856319354374</v>
      </c>
      <c r="F12" s="781">
        <f>IF(OR($B$9 = "2021-22", $B$9 = "2022-23"), "-", HFSVLAPivot!N5)</f>
        <v>0.433</v>
      </c>
      <c r="G12" s="610">
        <f>GETPIVOTDATA("Sum of Households",HFSVLAPivot!$B$4,"Council",B12)</f>
        <v>111024</v>
      </c>
    </row>
    <row r="13" spans="1:7" x14ac:dyDescent="0.25">
      <c r="A13" t="s">
        <v>286</v>
      </c>
      <c r="B13" s="48" t="s">
        <v>32</v>
      </c>
      <c r="C13" s="782">
        <f>IF(OR($B$9 = "2021-22", $B$9 = "2022-23"), "-", HFSVLAPivot!C6/HFSVLAPivot!L6*100)</f>
        <v>9.1604099069405087E-2</v>
      </c>
      <c r="D13" s="782">
        <f>IF(OR($B$9 = "2021-22", $B$9 = "2022-23"), "-", HFSVLAPivot!D6/HFSVLAPivot!L6*100)</f>
        <v>0.99052282825515592</v>
      </c>
      <c r="E13" s="783">
        <f>HFSVLAPivot!E6/HFSVLAPivot!L6*100</f>
        <v>1.0821269273245611</v>
      </c>
      <c r="F13" s="783">
        <f>IF(OR($B$9 = "2021-22", $B$9 = "2022-23"), "-", HFSVLAPivot!N6)</f>
        <v>0.26500000000000001</v>
      </c>
      <c r="G13" s="914">
        <f>GETPIVOTDATA("Sum of Households",HFSVLAPivot!$B$4,"Council",B13)</f>
        <v>116807</v>
      </c>
    </row>
    <row r="14" spans="1:7" x14ac:dyDescent="0.25">
      <c r="A14" t="s">
        <v>292</v>
      </c>
      <c r="B14" s="48" t="s">
        <v>33</v>
      </c>
      <c r="C14" s="782">
        <f>IF(OR($B$9 = "2021-22", $B$9 = "2022-23"), "-", HFSVLAPivot!C7/HFSVLAPivot!L7*100)</f>
        <v>0.19524122326837456</v>
      </c>
      <c r="D14" s="782">
        <f>IF(OR($B$9 = "2021-22", $B$9 = "2022-23"), "-", HFSVLAPivot!D7/HFSVLAPivot!L7*100)</f>
        <v>1.5820013137727174</v>
      </c>
      <c r="E14" s="783">
        <f>HFSVLAPivot!E7/HFSVLAPivot!L7*100</f>
        <v>1.7772425370410918</v>
      </c>
      <c r="F14" s="783">
        <f>IF(OR($B$9 = "2021-22", $B$9 = "2022-23"), "-", HFSVLAPivot!N7)</f>
        <v>0.49299999999999999</v>
      </c>
      <c r="G14" s="914">
        <f>GETPIVOTDATA("Sum of Households",HFSVLAPivot!$B$4,"Council",B14)</f>
        <v>54804</v>
      </c>
    </row>
    <row r="15" spans="1:7" x14ac:dyDescent="0.25">
      <c r="A15" t="s">
        <v>287</v>
      </c>
      <c r="B15" s="48" t="s">
        <v>34</v>
      </c>
      <c r="C15" s="782">
        <f>IF(OR($B$9 = "2021-22", $B$9 = "2022-23"), "-", HFSVLAPivot!C8/HFSVLAPivot!L8*100)</f>
        <v>0.22764609246655718</v>
      </c>
      <c r="D15" s="782">
        <f>IF(OR($B$9 = "2021-22", $B$9 = "2022-23"), "-", HFSVLAPivot!D8/HFSVLAPivot!L8*100)</f>
        <v>1.7343346632245953</v>
      </c>
      <c r="E15" s="783">
        <f>HFSVLAPivot!E8/HFSVLAPivot!L8*100</f>
        <v>1.9619807556911524</v>
      </c>
      <c r="F15" s="783">
        <f>IF(OR($B$9 = "2021-22", $B$9 = "2022-23"), "-", HFSVLAPivot!N8)</f>
        <v>0.62</v>
      </c>
      <c r="G15" s="914">
        <f>GETPIVOTDATA("Sum of Households",HFSVLAPivot!$B$4,"Council",B15)</f>
        <v>42610</v>
      </c>
    </row>
    <row r="16" spans="1:7" x14ac:dyDescent="0.25">
      <c r="A16" t="s">
        <v>288</v>
      </c>
      <c r="B16" s="48" t="s">
        <v>243</v>
      </c>
      <c r="C16" s="782">
        <f>IF(OR($B$9 = "2021-22", $B$9 = "2022-23"), "-", HFSVLAPivot!C9/HFSVLAPivot!L9*100)</f>
        <v>0.1078418814896228</v>
      </c>
      <c r="D16" s="782">
        <f>IF(OR($B$9 = "2021-22", $B$9 = "2022-23"), "-", HFSVLAPivot!D9/HFSVLAPivot!L9*100)</f>
        <v>0.95446262927597192</v>
      </c>
      <c r="E16" s="783">
        <f>HFSVLAPivot!E9/HFSVLAPivot!L9*100</f>
        <v>1.0623045107655948</v>
      </c>
      <c r="F16" s="783">
        <f>IF(OR($B$9 = "2021-22", $B$9 = "2022-23"), "-", HFSVLAPivot!N9)</f>
        <v>0.29599999999999999</v>
      </c>
      <c r="G16" s="914">
        <f>GETPIVOTDATA("Sum of Households",HFSVLAPivot!$B$4,"Council",B16)</f>
        <v>242021</v>
      </c>
    </row>
    <row r="17" spans="1:7" x14ac:dyDescent="0.25">
      <c r="A17" t="s">
        <v>266</v>
      </c>
      <c r="B17" s="48" t="s">
        <v>35</v>
      </c>
      <c r="C17" s="782">
        <f>IF(OR($B$9 = "2021-22", $B$9 = "2022-23"), "-", HFSVLAPivot!C10/HFSVLAPivot!L10*100)</f>
        <v>0.23863402592059246</v>
      </c>
      <c r="D17" s="782">
        <f>IF(OR($B$9 = "2021-22", $B$9 = "2022-23"), "-", HFSVLAPivot!D10/HFSVLAPivot!L10*100)</f>
        <v>1.6375231433861346</v>
      </c>
      <c r="E17" s="783">
        <f>HFSVLAPivot!E10/HFSVLAPivot!L10*100</f>
        <v>1.8761571693067272</v>
      </c>
      <c r="F17" s="783">
        <f>IF(OR($B$9 = "2021-22", $B$9 = "2022-23"), "-", HFSVLAPivot!N10)</f>
        <v>0.53900000000000003</v>
      </c>
      <c r="G17" s="914">
        <f>GETPIVOTDATA("Sum of Households",HFSVLAPivot!$B$4,"Council",B17)</f>
        <v>24305</v>
      </c>
    </row>
    <row r="18" spans="1:7" x14ac:dyDescent="0.25">
      <c r="A18" t="s">
        <v>267</v>
      </c>
      <c r="B18" s="48" t="s">
        <v>36</v>
      </c>
      <c r="C18" s="782">
        <f>IF(OR($B$9 = "2021-22", $B$9 = "2022-23"), "-", HFSVLAPivot!C11/HFSVLAPivot!L11*100)</f>
        <v>0.33523820301007129</v>
      </c>
      <c r="D18" s="782">
        <f>IF(OR($B$9 = "2021-22", $B$9 = "2022-23"), "-", HFSVLAPivot!D11/HFSVLAPivot!L11*100)</f>
        <v>1.2023311078420278</v>
      </c>
      <c r="E18" s="783">
        <f>HFSVLAPivot!E11/HFSVLAPivot!L11*100</f>
        <v>1.5375693108520991</v>
      </c>
      <c r="F18" s="783">
        <f>IF(OR($B$9 = "2021-22", $B$9 = "2022-23"), "-", HFSVLAPivot!N11)</f>
        <v>0.88300000000000001</v>
      </c>
      <c r="G18" s="914">
        <f>GETPIVOTDATA("Sum of Households",HFSVLAPivot!$B$4,"Council",B18)</f>
        <v>70696</v>
      </c>
    </row>
    <row r="19" spans="1:7" x14ac:dyDescent="0.25">
      <c r="A19" t="s">
        <v>293</v>
      </c>
      <c r="B19" s="48" t="s">
        <v>37</v>
      </c>
      <c r="C19" s="782">
        <f>IF(OR($B$9 = "2021-22", $B$9 = "2022-23"), "-", HFSVLAPivot!C12/HFSVLAPivot!L12*100)</f>
        <v>0.19031657884645428</v>
      </c>
      <c r="D19" s="782">
        <f>IF(OR($B$9 = "2021-22", $B$9 = "2022-23"), "-", HFSVLAPivot!D12/HFSVLAPivot!L12*100)</f>
        <v>1.8548765072646962</v>
      </c>
      <c r="E19" s="783">
        <f>HFSVLAPivot!E12/HFSVLAPivot!L12*100</f>
        <v>2.0451930861111505</v>
      </c>
      <c r="F19" s="783">
        <f>IF(OR($B$9 = "2021-22", $B$9 = "2022-23"), "-", HFSVLAPivot!N12)</f>
        <v>0.39100000000000001</v>
      </c>
      <c r="G19" s="914">
        <f>GETPIVOTDATA("Sum of Households",HFSVLAPivot!$B$4,"Council",B19)</f>
        <v>70409</v>
      </c>
    </row>
    <row r="20" spans="1:7" x14ac:dyDescent="0.25">
      <c r="A20" t="s">
        <v>268</v>
      </c>
      <c r="B20" s="48" t="s">
        <v>38</v>
      </c>
      <c r="C20" s="782">
        <f>IF(OR($B$9 = "2021-22", $B$9 = "2022-23"), "-", HFSVLAPivot!C13/HFSVLAPivot!L13*100)</f>
        <v>0.47302503090788556</v>
      </c>
      <c r="D20" s="782">
        <f>IF(OR($B$9 = "2021-22", $B$9 = "2022-23"), "-", HFSVLAPivot!D13/HFSVLAPivot!L13*100)</f>
        <v>1.4853702675099891</v>
      </c>
      <c r="E20" s="783">
        <f>HFSVLAPivot!E13/HFSVLAPivot!L13*100</f>
        <v>1.9583952984178747</v>
      </c>
      <c r="F20" s="783">
        <f>IF(OR($B$9 = "2021-22", $B$9 = "2022-23"), "-", HFSVLAPivot!N13)</f>
        <v>1.258</v>
      </c>
      <c r="G20" s="914">
        <f>GETPIVOTDATA("Sum of Households",HFSVLAPivot!$B$4,"Council",B20)</f>
        <v>55811</v>
      </c>
    </row>
    <row r="21" spans="1:7" x14ac:dyDescent="0.25">
      <c r="A21" t="s">
        <v>295</v>
      </c>
      <c r="B21" s="48" t="s">
        <v>39</v>
      </c>
      <c r="C21" s="782">
        <f>IF(OR($B$9 = "2021-22", $B$9 = "2022-23"), "-", HFSVLAPivot!C14/HFSVLAPivot!L14*100)</f>
        <v>0.35614674962454412</v>
      </c>
      <c r="D21" s="782">
        <f>IF(OR($B$9 = "2021-22", $B$9 = "2022-23"), "-", HFSVLAPivot!D14/HFSVLAPivot!L14*100)</f>
        <v>1.8343703068011155</v>
      </c>
      <c r="E21" s="783">
        <f>HFSVLAPivot!E14/HFSVLAPivot!L14*100</f>
        <v>2.19051705642566</v>
      </c>
      <c r="F21" s="783">
        <f>IF(OR($B$9 = "2021-22", $B$9 = "2022-23"), "-", HFSVLAPivot!N14)</f>
        <v>0.89500000000000002</v>
      </c>
      <c r="G21" s="914">
        <f>GETPIVOTDATA("Sum of Households",HFSVLAPivot!$B$4,"Council",B21)</f>
        <v>46610</v>
      </c>
    </row>
    <row r="22" spans="1:7" x14ac:dyDescent="0.25">
      <c r="A22" t="s">
        <v>269</v>
      </c>
      <c r="B22" s="48" t="s">
        <v>40</v>
      </c>
      <c r="C22" s="782">
        <f>IF(OR($B$9 = "2021-22", $B$9 = "2022-23"), "-", HFSVLAPivot!C15/HFSVLAPivot!L15*100)</f>
        <v>0.12880892001771121</v>
      </c>
      <c r="D22" s="782">
        <f>IF(OR($B$9 = "2021-22", $B$9 = "2022-23"), "-", HFSVLAPivot!D15/HFSVLAPivot!L15*100)</f>
        <v>1.1250654107796965</v>
      </c>
      <c r="E22" s="783">
        <f>HFSVLAPivot!E15/HFSVLAPivot!L15*100</f>
        <v>1.2538743307974076</v>
      </c>
      <c r="F22" s="783">
        <f>IF(OR($B$9 = "2021-22", $B$9 = "2022-23"), "-", HFSVLAPivot!N15)</f>
        <v>0.316</v>
      </c>
      <c r="G22" s="914">
        <f>GETPIVOTDATA("Sum of Households",HFSVLAPivot!$B$4,"Council",B22)</f>
        <v>49686</v>
      </c>
    </row>
    <row r="23" spans="1:7" x14ac:dyDescent="0.25">
      <c r="A23" t="s">
        <v>270</v>
      </c>
      <c r="B23" s="48" t="s">
        <v>41</v>
      </c>
      <c r="C23" s="782">
        <f>IF(OR($B$9 = "2021-22", $B$9 = "2022-23"), "-", HFSVLAPivot!C16/HFSVLAPivot!L16*100)</f>
        <v>0.39493293591654244</v>
      </c>
      <c r="D23" s="782">
        <f>IF(OR($B$9 = "2021-22", $B$9 = "2022-23"), "-", HFSVLAPivot!D16/HFSVLAPivot!L16*100)</f>
        <v>1.2096373571783408</v>
      </c>
      <c r="E23" s="783">
        <f>HFSVLAPivot!E16/HFSVLAPivot!L16*100</f>
        <v>1.6045702930948833</v>
      </c>
      <c r="F23" s="783">
        <f>IF(OR($B$9 = "2021-22", $B$9 = "2022-23"), "-", HFSVLAPivot!N16)</f>
        <v>0.94899999999999995</v>
      </c>
      <c r="G23" s="914">
        <f>GETPIVOTDATA("Sum of Households",HFSVLAPivot!$B$4,"Council",B23)</f>
        <v>40260</v>
      </c>
    </row>
    <row r="24" spans="1:7" x14ac:dyDescent="0.25">
      <c r="A24" t="s">
        <v>272</v>
      </c>
      <c r="B24" s="48" t="s">
        <v>42</v>
      </c>
      <c r="C24" s="782">
        <f>IF(OR($B$9 = "2021-22", $B$9 = "2022-23"), "-", HFSVLAPivot!C17/HFSVLAPivot!L17*100)</f>
        <v>0.17145130097247177</v>
      </c>
      <c r="D24" s="782">
        <f>IF(OR($B$9 = "2021-22", $B$9 = "2022-23"), "-", HFSVLAPivot!D17/HFSVLAPivot!L17*100)</f>
        <v>0.93132346688246681</v>
      </c>
      <c r="E24" s="783">
        <f>HFSVLAPivot!E17/HFSVLAPivot!L17*100</f>
        <v>1.1027747678549384</v>
      </c>
      <c r="F24" s="783">
        <f>IF(OR($B$9 = "2021-22", $B$9 = "2022-23"), "-", HFSVLAPivot!N17)</f>
        <v>0.502</v>
      </c>
      <c r="G24" s="914">
        <f>GETPIVOTDATA("Sum of Households",HFSVLAPivot!$B$4,"Council",B24)</f>
        <v>72907</v>
      </c>
    </row>
    <row r="25" spans="1:7" x14ac:dyDescent="0.25">
      <c r="A25" t="s">
        <v>388</v>
      </c>
      <c r="B25" s="48" t="s">
        <v>43</v>
      </c>
      <c r="C25" s="782">
        <f>IF(OR($B$9 = "2021-22", $B$9 = "2022-23"), "-", HFSVLAPivot!C18/HFSVLAPivot!L18*100)</f>
        <v>0.2824858757062147</v>
      </c>
      <c r="D25" s="782">
        <f>IF(OR($B$9 = "2021-22", $B$9 = "2022-23"), "-", HFSVLAPivot!D18/HFSVLAPivot!L18*100)</f>
        <v>1.0814003813266895</v>
      </c>
      <c r="E25" s="783">
        <f>HFSVLAPivot!E18/HFSVLAPivot!L18*100</f>
        <v>1.363886257032904</v>
      </c>
      <c r="F25" s="783">
        <f>IF(OR($B$9 = "2021-22", $B$9 = "2022-23"), "-", HFSVLAPivot!N18)</f>
        <v>0.71199999999999997</v>
      </c>
      <c r="G25" s="914">
        <f>GETPIVOTDATA("Sum of Households",HFSVLAPivot!$B$4,"Council",B25)</f>
        <v>170982</v>
      </c>
    </row>
    <row r="26" spans="1:7" x14ac:dyDescent="0.25">
      <c r="A26" t="s">
        <v>296</v>
      </c>
      <c r="B26" s="48" t="s">
        <v>117</v>
      </c>
      <c r="C26" s="782">
        <f>IF(OR($B$9 = "2021-22", $B$9 = "2022-23"), "-", HFSVLAPivot!C19/HFSVLAPivot!L19*100)</f>
        <v>0.25219748071529929</v>
      </c>
      <c r="D26" s="782">
        <f>IF(OR($B$9 = "2021-22", $B$9 = "2022-23"), "-", HFSVLAPivot!D19/HFSVLAPivot!L19*100)</f>
        <v>1.1308535035274021</v>
      </c>
      <c r="E26" s="783">
        <f>HFSVLAPivot!E19/HFSVLAPivot!L19*100</f>
        <v>1.3830509842427015</v>
      </c>
      <c r="F26" s="783">
        <f>IF(OR($B$9 = "2021-22", $B$9 = "2022-23"), "-", HFSVLAPivot!N19)</f>
        <v>0.64700000000000002</v>
      </c>
      <c r="G26" s="914">
        <f>GETPIVOTDATA("Sum of Households",HFSVLAPivot!$B$4,"Council",B26)</f>
        <v>297386</v>
      </c>
    </row>
    <row r="27" spans="1:7" x14ac:dyDescent="0.25">
      <c r="A27" t="s">
        <v>273</v>
      </c>
      <c r="B27" s="48" t="s">
        <v>44</v>
      </c>
      <c r="C27" s="782">
        <f>IF(OR($B$9 = "2021-22", $B$9 = "2022-23"), "-", HFSVLAPivot!C20/HFSVLAPivot!L20*100)</f>
        <v>0.12848117529262695</v>
      </c>
      <c r="D27" s="782">
        <f>IF(OR($B$9 = "2021-22", $B$9 = "2022-23"), "-", HFSVLAPivot!D20/HFSVLAPivot!L20*100)</f>
        <v>1.7056983616434955</v>
      </c>
      <c r="E27" s="783">
        <f>HFSVLAPivot!E20/HFSVLAPivot!L20*100</f>
        <v>1.8341795369361227</v>
      </c>
      <c r="F27" s="783">
        <f>IF(OR($B$9 = "2021-22", $B$9 = "2022-23"), "-", HFSVLAPivot!N20)</f>
        <v>0.40500000000000003</v>
      </c>
      <c r="G27" s="914">
        <f>GETPIVOTDATA("Sum of Households",HFSVLAPivot!$B$4,"Council",B27)</f>
        <v>112857</v>
      </c>
    </row>
    <row r="28" spans="1:7" x14ac:dyDescent="0.25">
      <c r="A28" t="s">
        <v>274</v>
      </c>
      <c r="B28" s="48" t="s">
        <v>45</v>
      </c>
      <c r="C28" s="782">
        <f>IF(OR($B$9 = "2021-22", $B$9 = "2022-23"), "-", HFSVLAPivot!C21/HFSVLAPivot!L21*100)</f>
        <v>0.46064543614868458</v>
      </c>
      <c r="D28" s="782">
        <f>IF(OR($B$9 = "2021-22", $B$9 = "2022-23"), "-", HFSVLAPivot!D21/HFSVLAPivot!L21*100)</f>
        <v>0.84939823197358622</v>
      </c>
      <c r="E28" s="783">
        <f>HFSVLAPivot!E21/HFSVLAPivot!L21*100</f>
        <v>1.3100436681222707</v>
      </c>
      <c r="F28" s="783">
        <f>IF(OR($B$9 = "2021-22", $B$9 = "2022-23"), "-", HFSVLAPivot!N21)</f>
        <v>1.1639999999999999</v>
      </c>
      <c r="G28" s="914">
        <f>GETPIVOTDATA("Sum of Households",HFSVLAPivot!$B$4,"Council",B28)</f>
        <v>37556</v>
      </c>
    </row>
    <row r="29" spans="1:7" x14ac:dyDescent="0.25">
      <c r="A29" t="s">
        <v>275</v>
      </c>
      <c r="B29" s="48" t="s">
        <v>46</v>
      </c>
      <c r="C29" s="782">
        <f>IF(OR($B$9 = "2021-22", $B$9 = "2022-23"), "-", HFSVLAPivot!C22/HFSVLAPivot!L22*100)</f>
        <v>0.1620668287334954</v>
      </c>
      <c r="D29" s="782">
        <f>IF(OR($B$9 = "2021-22", $B$9 = "2022-23"), "-", HFSVLAPivot!D22/HFSVLAPivot!L22*100)</f>
        <v>0.83416750083416746</v>
      </c>
      <c r="E29" s="783">
        <f>HFSVLAPivot!E22/HFSVLAPivot!L22*100</f>
        <v>0.99623432956766289</v>
      </c>
      <c r="F29" s="783">
        <f>IF(OR($B$9 = "2021-22", $B$9 = "2022-23"), "-", HFSVLAPivot!N22)</f>
        <v>0.42899999999999999</v>
      </c>
      <c r="G29" s="914">
        <f>GETPIVOTDATA("Sum of Households",HFSVLAPivot!$B$4,"Council",B29)</f>
        <v>41958</v>
      </c>
    </row>
    <row r="30" spans="1:7" x14ac:dyDescent="0.25">
      <c r="A30" t="s">
        <v>276</v>
      </c>
      <c r="B30" s="48" t="s">
        <v>47</v>
      </c>
      <c r="C30" s="782">
        <f>IF(OR($B$9 = "2021-22", $B$9 = "2022-23"), "-", HFSVLAPivot!C23/HFSVLAPivot!L23*100)</f>
        <v>0.13214554236631657</v>
      </c>
      <c r="D30" s="782">
        <f>IF(OR($B$9 = "2021-22", $B$9 = "2022-23"), "-", HFSVLAPivot!D23/HFSVLAPivot!L23*100)</f>
        <v>1.410311909047413</v>
      </c>
      <c r="E30" s="783">
        <f>HFSVLAPivot!E23/HFSVLAPivot!L23*100</f>
        <v>1.5424574514137295</v>
      </c>
      <c r="F30" s="783">
        <f>IF(OR($B$9 = "2021-22", $B$9 = "2022-23"), "-", HFSVLAPivot!N23)</f>
        <v>0.39900000000000002</v>
      </c>
      <c r="G30" s="914">
        <f>GETPIVOTDATA("Sum of Households",HFSVLAPivot!$B$4,"Council",B30)</f>
        <v>43891</v>
      </c>
    </row>
    <row r="31" spans="1:7" x14ac:dyDescent="0.25">
      <c r="A31" t="s">
        <v>271</v>
      </c>
      <c r="B31" s="48" t="s">
        <v>48</v>
      </c>
      <c r="C31" s="782">
        <f>IF(OR($B$9 = "2021-22", $B$9 = "2022-23"), "-", HFSVLAPivot!C24/HFSVLAPivot!L24*100)</f>
        <v>9.3706075277213807E-2</v>
      </c>
      <c r="D31" s="782">
        <f>IF(OR($B$9 = "2021-22", $B$9 = "2022-23"), "-", HFSVLAPivot!D24/HFSVLAPivot!L24*100)</f>
        <v>0.70279556457910353</v>
      </c>
      <c r="E31" s="783">
        <f>HFSVLAPivot!E24/HFSVLAPivot!L24*100</f>
        <v>0.79650163985631739</v>
      </c>
      <c r="F31" s="783">
        <f>IF(OR($B$9 = "2021-22", $B$9 = "2022-23"), "-", HFSVLAPivot!N24)</f>
        <v>0.35899999999999999</v>
      </c>
      <c r="G31" s="914">
        <f>GETPIVOTDATA("Sum of Households",HFSVLAPivot!$B$4,"Council",B31)</f>
        <v>12806</v>
      </c>
    </row>
    <row r="32" spans="1:7" x14ac:dyDescent="0.25">
      <c r="A32" t="s">
        <v>277</v>
      </c>
      <c r="B32" s="48" t="s">
        <v>49</v>
      </c>
      <c r="C32" s="782">
        <f>IF(OR($B$9 = "2021-22", $B$9 = "2022-23"), "-", HFSVLAPivot!C25/HFSVLAPivot!L25*100)</f>
        <v>0.31098664768771367</v>
      </c>
      <c r="D32" s="782">
        <f>IF(OR($B$9 = "2021-22", $B$9 = "2022-23"), "-", HFSVLAPivot!D25/HFSVLAPivot!L25*100)</f>
        <v>1.030433369950335</v>
      </c>
      <c r="E32" s="783">
        <f>HFSVLAPivot!E25/HFSVLAPivot!L25*100</f>
        <v>1.3414200176380486</v>
      </c>
      <c r="F32" s="783">
        <f>IF(OR($B$9 = "2021-22", $B$9 = "2022-23"), "-", HFSVLAPivot!N25)</f>
        <v>0.753</v>
      </c>
      <c r="G32" s="914">
        <f>GETPIVOTDATA("Sum of Households",HFSVLAPivot!$B$4,"Council",B32)</f>
        <v>64633</v>
      </c>
    </row>
    <row r="33" spans="1:11" x14ac:dyDescent="0.25">
      <c r="A33" t="s">
        <v>294</v>
      </c>
      <c r="B33" s="48" t="s">
        <v>50</v>
      </c>
      <c r="C33" s="782">
        <f>IF(OR($B$9 = "2021-22", $B$9 = "2022-23"), "-", HFSVLAPivot!C26/HFSVLAPivot!L26*100)</f>
        <v>0.23189848872934041</v>
      </c>
      <c r="D33" s="782">
        <f>IF(OR($B$9 = "2021-22", $B$9 = "2022-23"), "-", HFSVLAPivot!D26/HFSVLAPivot!L26*100)</f>
        <v>1.122807936955055</v>
      </c>
      <c r="E33" s="783">
        <f>HFSVLAPivot!E26/HFSVLAPivot!L26*100</f>
        <v>1.3547064256843953</v>
      </c>
      <c r="F33" s="783">
        <f>IF(OR($B$9 = "2021-22", $B$9 = "2022-23"), "-", HFSVLAPivot!N26)</f>
        <v>0.623</v>
      </c>
      <c r="G33" s="914">
        <f>GETPIVOTDATA("Sum of Households",HFSVLAPivot!$B$4,"Council",B33)</f>
        <v>152653</v>
      </c>
    </row>
    <row r="34" spans="1:11" x14ac:dyDescent="0.25">
      <c r="A34" t="s">
        <v>278</v>
      </c>
      <c r="B34" s="48" t="s">
        <v>51</v>
      </c>
      <c r="C34" s="782">
        <f>IF(OR($B$9 = "2021-22", $B$9 = "2022-23"), "-", HFSVLAPivot!C27/HFSVLAPivot!L27*100)</f>
        <v>0.28674498196281561</v>
      </c>
      <c r="D34" s="782">
        <f>IF(OR($B$9 = "2021-22", $B$9 = "2022-23"), "-", HFSVLAPivot!D27/HFSVLAPivot!L27*100)</f>
        <v>1.6187216723707334</v>
      </c>
      <c r="E34" s="783">
        <f>HFSVLAPivot!E27/HFSVLAPivot!L27*100</f>
        <v>1.9054666543335492</v>
      </c>
      <c r="F34" s="783">
        <f>IF(OR($B$9 = "2021-22", $B$9 = "2022-23"), "-", HFSVLAPivot!N27)</f>
        <v>1.0269999999999999</v>
      </c>
      <c r="G34" s="914">
        <f>GETPIVOTDATA("Sum of Households",HFSVLAPivot!$B$4,"Council",B34)</f>
        <v>10811</v>
      </c>
    </row>
    <row r="35" spans="1:11" x14ac:dyDescent="0.25">
      <c r="A35" t="s">
        <v>279</v>
      </c>
      <c r="B35" s="48" t="s">
        <v>52</v>
      </c>
      <c r="C35" s="782">
        <f>IF(OR($B$9 = "2021-22", $B$9 = "2022-23"), "-", HFSVLAPivot!C28/HFSVLAPivot!L28*100)</f>
        <v>0.15528607930883578</v>
      </c>
      <c r="D35" s="782">
        <f>IF(OR($B$9 = "2021-22", $B$9 = "2022-23"), "-", HFSVLAPivot!D28/HFSVLAPivot!L28*100)</f>
        <v>0.90348264325140815</v>
      </c>
      <c r="E35" s="783">
        <f>HFSVLAPivot!E28/HFSVLAPivot!L28*100</f>
        <v>1.058768722560244</v>
      </c>
      <c r="F35" s="783">
        <f>IF(OR($B$9 = "2021-22", $B$9 = "2022-23"), "-", HFSVLAPivot!N28)</f>
        <v>0.438</v>
      </c>
      <c r="G35" s="914">
        <f>GETPIVOTDATA("Sum of Households",HFSVLAPivot!$B$4,"Council",B35)</f>
        <v>70837</v>
      </c>
    </row>
    <row r="36" spans="1:11" x14ac:dyDescent="0.25">
      <c r="A36" t="s">
        <v>289</v>
      </c>
      <c r="B36" s="48" t="s">
        <v>53</v>
      </c>
      <c r="C36" s="782">
        <f>IF(OR($B$9 = "2021-22", $B$9 = "2022-23"), "-", HFSVLAPivot!C29/HFSVLAPivot!L29*100)</f>
        <v>0.39051795012332147</v>
      </c>
      <c r="D36" s="782">
        <f>IF(OR($B$9 = "2021-22", $B$9 = "2022-23"), "-", HFSVLAPivot!D29/HFSVLAPivot!L29*100)</f>
        <v>0.94318078012240802</v>
      </c>
      <c r="E36" s="783">
        <f>HFSVLAPivot!E29/HFSVLAPivot!L29*100</f>
        <v>1.3336987302457293</v>
      </c>
      <c r="F36" s="783">
        <f>IF(OR($B$9 = "2021-22", $B$9 = "2022-23"), "-", HFSVLAPivot!N29)</f>
        <v>0.97899999999999998</v>
      </c>
      <c r="G36" s="914">
        <f>GETPIVOTDATA("Sum of Households",HFSVLAPivot!$B$4,"Council",B36)</f>
        <v>87576</v>
      </c>
    </row>
    <row r="37" spans="1:11" x14ac:dyDescent="0.25">
      <c r="A37" t="s">
        <v>280</v>
      </c>
      <c r="B37" s="48" t="s">
        <v>54</v>
      </c>
      <c r="C37" s="782">
        <f>IF(OR($B$9 = "2021-22", $B$9 = "2022-23"), "-", HFSVLAPivot!C30/HFSVLAPivot!L30*100)</f>
        <v>0.22928384623652062</v>
      </c>
      <c r="D37" s="782">
        <f>IF(OR($B$9 = "2021-22", $B$9 = "2022-23"), "-", HFSVLAPivot!D30/HFSVLAPivot!L30*100)</f>
        <v>1.3900333178089062</v>
      </c>
      <c r="E37" s="783">
        <f>HFSVLAPivot!E30/HFSVLAPivot!L30*100</f>
        <v>1.6193171640454269</v>
      </c>
      <c r="F37" s="783">
        <f>IF(OR($B$9 = "2021-22", $B$9 = "2022-23"), "-", HFSVLAPivot!N30)</f>
        <v>0.63400000000000001</v>
      </c>
      <c r="G37" s="914">
        <f>GETPIVOTDATA("Sum of Households",HFSVLAPivot!$B$4,"Council",B37)</f>
        <v>55826</v>
      </c>
    </row>
    <row r="38" spans="1:11" x14ac:dyDescent="0.25">
      <c r="A38" t="s">
        <v>281</v>
      </c>
      <c r="B38" s="48" t="s">
        <v>55</v>
      </c>
      <c r="C38" s="782">
        <f>IF(OR($B$9 = "2021-22", $B$9 = "2022-23"), "-", HFSVLAPivot!C31/HFSVLAPivot!L31*100)</f>
        <v>0.20713680444402596</v>
      </c>
      <c r="D38" s="782">
        <f>IF(OR($B$9 = "2021-22", $B$9 = "2022-23"), "-", HFSVLAPivot!D31/HFSVLAPivot!L31*100)</f>
        <v>1.8265700028245928</v>
      </c>
      <c r="E38" s="783">
        <f>HFSVLAPivot!E31/HFSVLAPivot!L31*100</f>
        <v>2.0337068072686186</v>
      </c>
      <c r="F38" s="783">
        <f>IF(OR($B$9 = "2021-22", $B$9 = "2022-23"), "-", HFSVLAPivot!N31)</f>
        <v>0.67800000000000005</v>
      </c>
      <c r="G38" s="914">
        <f>GETPIVOTDATA("Sum of Households",HFSVLAPivot!$B$4,"Council",B38)</f>
        <v>10621</v>
      </c>
    </row>
    <row r="39" spans="1:11" x14ac:dyDescent="0.25">
      <c r="A39" t="s">
        <v>282</v>
      </c>
      <c r="B39" s="48" t="s">
        <v>56</v>
      </c>
      <c r="C39" s="782">
        <f>IF(OR($B$9 = "2021-22", $B$9 = "2022-23"), "-", HFSVLAPivot!C32/HFSVLAPivot!L32*100)</f>
        <v>0.30462999754025466</v>
      </c>
      <c r="D39" s="782">
        <f>IF(OR($B$9 = "2021-22", $B$9 = "2022-23"), "-", HFSVLAPivot!D32/HFSVLAPivot!L32*100)</f>
        <v>1.0009271347751225</v>
      </c>
      <c r="E39" s="783">
        <f>HFSVLAPivot!E32/HFSVLAPivot!L32*100</f>
        <v>1.3055571323153772</v>
      </c>
      <c r="F39" s="783">
        <f>IF(OR($B$9 = "2021-22", $B$9 = "2022-23"), "-", HFSVLAPivot!N32)</f>
        <v>0.78</v>
      </c>
      <c r="G39" s="914">
        <f>GETPIVOTDATA("Sum of Households",HFSVLAPivot!$B$4,"Council",B39)</f>
        <v>52851</v>
      </c>
    </row>
    <row r="40" spans="1:11" x14ac:dyDescent="0.25">
      <c r="A40" t="s">
        <v>283</v>
      </c>
      <c r="B40" s="48" t="s">
        <v>57</v>
      </c>
      <c r="C40" s="782">
        <f>IF(OR($B$9 = "2021-22", $B$9 = "2022-23"), "-", HFSVLAPivot!C33/HFSVLAPivot!L33*100)</f>
        <v>0.28369933223600574</v>
      </c>
      <c r="D40" s="782">
        <f>IF(OR($B$9 = "2021-22", $B$9 = "2022-23"), "-", HFSVLAPivot!D33/HFSVLAPivot!L33*100)</f>
        <v>1.2672795642806483</v>
      </c>
      <c r="E40" s="783">
        <f>HFSVLAPivot!E33/HFSVLAPivot!L33*100</f>
        <v>1.5509788965166538</v>
      </c>
      <c r="F40" s="783">
        <f>IF(OR($B$9 = "2021-22", $B$9 = "2022-23"), "-", HFSVLAPivot!N33)</f>
        <v>0.80800000000000005</v>
      </c>
      <c r="G40" s="914">
        <f>GETPIVOTDATA("Sum of Households",HFSVLAPivot!$B$4,"Council",B40)</f>
        <v>149454</v>
      </c>
    </row>
    <row r="41" spans="1:11" x14ac:dyDescent="0.25">
      <c r="A41" t="s">
        <v>284</v>
      </c>
      <c r="B41" s="48" t="s">
        <v>58</v>
      </c>
      <c r="C41" s="782">
        <f>IF(OR($B$9 = "2021-22", $B$9 = "2022-23"), "-", HFSVLAPivot!C34/HFSVLAPivot!L34*100)</f>
        <v>0.25238912031364863</v>
      </c>
      <c r="D41" s="782">
        <f>IF(OR($B$9 = "2021-22", $B$9 = "2022-23"), "-", HFSVLAPivot!D34/HFSVLAPivot!L34*100)</f>
        <v>1.2643959813771135</v>
      </c>
      <c r="E41" s="783">
        <f>HFSVLAPivot!E34/HFSVLAPivot!L34*100</f>
        <v>1.5167851016907621</v>
      </c>
      <c r="F41" s="783">
        <f>IF(OR($B$9 = "2021-22", $B$9 = "2022-23"), "-", HFSVLAPivot!N34)</f>
        <v>0.65200000000000002</v>
      </c>
      <c r="G41" s="914">
        <f>GETPIVOTDATA("Sum of Households",HFSVLAPivot!$B$4,"Council",B41)</f>
        <v>40810</v>
      </c>
    </row>
    <row r="42" spans="1:11" x14ac:dyDescent="0.25">
      <c r="A42" t="s">
        <v>290</v>
      </c>
      <c r="B42" s="48" t="s">
        <v>59</v>
      </c>
      <c r="C42" s="782">
        <f>IF(OR($B$9 = "2021-22", $B$9 = "2022-23"), "-", HFSVLAPivot!C35/HFSVLAPivot!L35*100)</f>
        <v>0.44836766148241558</v>
      </c>
      <c r="D42" s="782">
        <f>IF(OR($B$9 = "2021-22", $B$9 = "2022-23"), "-", HFSVLAPivot!D35/HFSVLAPivot!L35*100)</f>
        <v>1.7537714259025734</v>
      </c>
      <c r="E42" s="783">
        <f>HFSVLAPivot!E35/HFSVLAPivot!L35*100</f>
        <v>2.2021390873849889</v>
      </c>
      <c r="F42" s="783">
        <f>IF(OR($B$9 = "2021-22", $B$9 = "2022-23"), "-", HFSVLAPivot!N35)</f>
        <v>0.94099999999999995</v>
      </c>
      <c r="G42" s="914">
        <f>GETPIVOTDATA("Sum of Households",HFSVLAPivot!$B$4,"Council",B42)</f>
        <v>42822</v>
      </c>
    </row>
    <row r="43" spans="1:11" x14ac:dyDescent="0.25">
      <c r="A43" t="s">
        <v>291</v>
      </c>
      <c r="B43" s="48" t="s">
        <v>60</v>
      </c>
      <c r="C43" s="782">
        <f>IF(OR($B$9 = "2021-22", $B$9 = "2022-23"), "-", HFSVLAPivot!C36/HFSVLAPivot!L36*100)</f>
        <v>0.28138074022880699</v>
      </c>
      <c r="D43" s="782">
        <f>IF(OR($B$9 = "2021-22", $B$9 = "2022-23"), "-", HFSVLAPivot!D36/HFSVLAPivot!L36*100)</f>
        <v>1.3118759950141308</v>
      </c>
      <c r="E43" s="783">
        <f>HFSVLAPivot!E36/HFSVLAPivot!L36*100</f>
        <v>1.5932567352429376</v>
      </c>
      <c r="F43" s="783">
        <f>IF(OR($B$9 = "2021-22", $B$9 = "2022-23"), "-", HFSVLAPivot!N36)</f>
        <v>0.97</v>
      </c>
      <c r="G43" s="914">
        <f>GETPIVOTDATA("Sum of Households",HFSVLAPivot!$B$4,"Council",B43)</f>
        <v>81029</v>
      </c>
    </row>
    <row r="44" spans="1:11" ht="19.5" customHeight="1" thickBot="1" x14ac:dyDescent="0.3">
      <c r="A44" s="33"/>
      <c r="B44" s="33" t="s">
        <v>731</v>
      </c>
      <c r="C44" s="916">
        <f>IF(OR($B$9 = "2021-22", $B$9 = "2022-23"), "-", HFSVLAPivot!C37/HFSVLAPivot!L37*100)</f>
        <v>0.23358099545262531</v>
      </c>
      <c r="D44" s="916">
        <f>IF(OR($B$9 = "2021-22", $B$9 = "2022-23"), "-", HFSVLAPivot!D37/HFSVLAPivot!L37*100)</f>
        <v>1.2154731435103177</v>
      </c>
      <c r="E44" s="917">
        <f>HFSVLAPivot!E37/HFSVLAPivot!L37*100</f>
        <v>1.449054138962943</v>
      </c>
      <c r="F44" s="917">
        <f>IF(OR($B$9 = "2021-22", $B$9 = "2022-23"), "-", HFSVLAPivot!N37)</f>
        <v>21.238</v>
      </c>
      <c r="G44" s="915">
        <f>SUM(G12:G43)</f>
        <v>2535309</v>
      </c>
    </row>
    <row r="45" spans="1:11" x14ac:dyDescent="0.25">
      <c r="B45" s="12"/>
      <c r="C45" s="230"/>
      <c r="D45" s="230"/>
      <c r="E45" s="231"/>
      <c r="F45" s="231"/>
      <c r="G45" s="62"/>
    </row>
    <row r="46" spans="1:11" x14ac:dyDescent="0.25">
      <c r="A46" s="341" t="s">
        <v>8</v>
      </c>
      <c r="B46" s="343"/>
      <c r="C46" s="343"/>
      <c r="D46" s="343"/>
      <c r="E46" s="343"/>
      <c r="F46" s="343"/>
    </row>
    <row r="47" spans="1:11" x14ac:dyDescent="0.25">
      <c r="A47" s="524" t="s">
        <v>738</v>
      </c>
      <c r="B47" s="427"/>
      <c r="C47" s="427"/>
      <c r="D47" s="427"/>
      <c r="E47" s="427"/>
      <c r="F47" s="427"/>
      <c r="G47" s="427"/>
      <c r="H47" s="378"/>
      <c r="I47" s="388"/>
      <c r="J47" s="388"/>
      <c r="K47" s="388"/>
    </row>
    <row r="48" spans="1:11" x14ac:dyDescent="0.25">
      <c r="A48" s="507" t="s">
        <v>739</v>
      </c>
      <c r="B48" s="370"/>
      <c r="C48" s="568"/>
      <c r="D48" s="568"/>
      <c r="E48" s="568"/>
      <c r="F48" s="568"/>
      <c r="G48" s="371"/>
      <c r="H48" s="378"/>
    </row>
    <row r="49" spans="1:9" ht="45.6" customHeight="1" x14ac:dyDescent="0.25">
      <c r="A49" s="992" t="s">
        <v>1236</v>
      </c>
      <c r="B49" s="992"/>
      <c r="C49" s="992"/>
      <c r="D49" s="992"/>
      <c r="E49" s="992"/>
      <c r="F49" s="992"/>
      <c r="G49" s="992"/>
      <c r="H49" s="992"/>
      <c r="I49" s="992"/>
    </row>
    <row r="50" spans="1:9" ht="48.6" customHeight="1" x14ac:dyDescent="0.25">
      <c r="A50" s="992" t="s">
        <v>1237</v>
      </c>
      <c r="B50" s="992"/>
      <c r="C50" s="992"/>
      <c r="D50" s="992"/>
      <c r="E50" s="992"/>
      <c r="F50" s="992"/>
      <c r="G50" s="992"/>
      <c r="H50" s="992"/>
      <c r="I50" s="992"/>
    </row>
  </sheetData>
  <sheetProtection algorithmName="SHA-512" hashValue="rSakXZamFCNjCBGVjG4Qbflc/HrA34SJh4vnqcgBsCstYoU/0mEdpcYyqgbM2rJOPXa9kdvD5mbHzJSyW1BRYw==" saltValue="yx/haLqKjeXN+RW/+1dIaw==" spinCount="100000" sheet="1" scenarios="1" formatCells="0" sort="0" autoFilter="0" pivotTables="0"/>
  <mergeCells count="2">
    <mergeCell ref="A49:I49"/>
    <mergeCell ref="A50:I50"/>
  </mergeCells>
  <hyperlinks>
    <hyperlink ref="A2" location="'Table of Contents'!A1" display="Back to Table of Contents" xr:uid="{00000000-0004-0000-9200-000000000000}"/>
    <hyperlink ref="A47:G47" r:id="rId1" display="https://www.nrscotland.gov.uk/statistics-and-data/statistics/statistics-by-theme/households/household-estimates/2016/list-of-tables" xr:uid="{00000000-0004-0000-9200-000001000000}"/>
    <hyperlink ref="A48" r:id="rId2" xr:uid="{00000000-0004-0000-9200-000002000000}"/>
  </hyperlinks>
  <pageMargins left="0.70866141732283472" right="0.70866141732283472" top="0.74803149606299213" bottom="0.74803149606299213" header="0.31496062992125984" footer="0.31496062992125984"/>
  <pageSetup paperSize="9" orientation="portrait" r:id="rId3"/>
  <drawing r:id="rId4"/>
  <extLst>
    <ext xmlns:x14="http://schemas.microsoft.com/office/spreadsheetml/2009/9/main" uri="{A8765BA9-456A-4dab-B4F3-ACF838C121DE}">
      <x14:slicerList>
        <x14:slicer r:id="rId5"/>
      </x14:slicerList>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theme="7" tint="-0.249977111117893"/>
    <pageSetUpPr fitToPage="1"/>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522" t="s">
        <v>555</v>
      </c>
      <c r="B1" s="522"/>
      <c r="C1" s="522"/>
    </row>
    <row r="2" spans="1:8" ht="15.75" x14ac:dyDescent="0.25">
      <c r="A2" s="507" t="s">
        <v>511</v>
      </c>
      <c r="B2" s="449"/>
      <c r="C2" s="449"/>
    </row>
    <row r="4" spans="1:8" ht="15.75" x14ac:dyDescent="0.25">
      <c r="A4" s="994" t="s">
        <v>554</v>
      </c>
      <c r="B4" s="994"/>
      <c r="C4" s="994"/>
      <c r="D4" s="994"/>
      <c r="E4" s="994"/>
      <c r="F4" s="994"/>
      <c r="G4" s="994"/>
      <c r="H4" s="994"/>
    </row>
    <row r="5" spans="1:8" x14ac:dyDescent="0.25">
      <c r="A5" s="571" t="s">
        <v>721</v>
      </c>
    </row>
    <row r="6" spans="1:8" x14ac:dyDescent="0.25">
      <c r="A6" s="571" t="s">
        <v>664</v>
      </c>
    </row>
  </sheetData>
  <sheetProtection algorithmName="SHA-512" hashValue="mC1Y/oHOtpR9l360XsiuS3+4MLjTBiu67/eHdTPSIEdGQkJ49b8FygyQFW9T0J/2gRap6texNFNK1zxx/z6Pvw==" saltValue="EKg6XAlB1/yoQkuOyVsP+Q==" spinCount="100000" sheet="1" scenarios="1" formatCells="0" sort="0" autoFilter="0" pivotTables="0"/>
  <mergeCells count="1">
    <mergeCell ref="A4:H4"/>
  </mergeCells>
  <hyperlinks>
    <hyperlink ref="A2" location="'Table of Contents'!A1" display="Back to Table of Contents" xr:uid="{00000000-0004-0000-9300-00000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522" t="s">
        <v>555</v>
      </c>
      <c r="B1" s="522"/>
      <c r="C1" s="522"/>
    </row>
    <row r="2" spans="1:8" ht="15.75" x14ac:dyDescent="0.25">
      <c r="A2" s="507" t="s">
        <v>511</v>
      </c>
      <c r="B2" s="449"/>
      <c r="C2" s="449"/>
    </row>
    <row r="4" spans="1:8" ht="15.75" x14ac:dyDescent="0.25">
      <c r="A4" s="994" t="s">
        <v>435</v>
      </c>
      <c r="B4" s="994"/>
      <c r="C4" s="994"/>
      <c r="D4" s="994"/>
      <c r="E4" s="994"/>
      <c r="F4" s="994"/>
      <c r="G4" s="994"/>
      <c r="H4" s="994"/>
    </row>
    <row r="5" spans="1:8" x14ac:dyDescent="0.25">
      <c r="A5" s="571" t="s">
        <v>721</v>
      </c>
    </row>
    <row r="6" spans="1:8" x14ac:dyDescent="0.25">
      <c r="A6" s="571" t="s">
        <v>665</v>
      </c>
    </row>
  </sheetData>
  <sheetProtection algorithmName="SHA-512" hashValue="/7HBuV/Q6lhyK5mvbH3dW1NSN7mCcOc8sQxqGXbdWdcze7uy0Fz4UJ+kpiMBfyewjcmDWWS/JMUVOGjvBzFNlw==" saltValue="dGwKF/aIb+8PP/vZd8EW2g==" spinCount="100000" sheet="1" scenarios="1" formatCells="0" sort="0" autoFilter="0" pivotTables="0"/>
  <mergeCells count="1">
    <mergeCell ref="A4:H4"/>
  </mergeCells>
  <hyperlinks>
    <hyperlink ref="A2" location="'Table of Contents'!A1" display="Back to Table of Contents" xr:uid="{00000000-0004-0000-9400-000000000000}"/>
  </hyperlink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522" t="s">
        <v>555</v>
      </c>
      <c r="B1" s="522"/>
      <c r="C1" s="522"/>
    </row>
    <row r="2" spans="1:8" ht="15.75" x14ac:dyDescent="0.25">
      <c r="A2" s="507" t="s">
        <v>511</v>
      </c>
      <c r="B2" s="449"/>
      <c r="C2" s="449"/>
    </row>
    <row r="4" spans="1:8" ht="15.75" x14ac:dyDescent="0.25">
      <c r="A4" s="994" t="s">
        <v>556</v>
      </c>
      <c r="B4" s="994"/>
      <c r="C4" s="994"/>
      <c r="D4" s="994"/>
      <c r="E4" s="994"/>
      <c r="F4" s="994"/>
      <c r="G4" s="994"/>
      <c r="H4" s="994"/>
    </row>
    <row r="5" spans="1:8" x14ac:dyDescent="0.25">
      <c r="A5" s="571" t="s">
        <v>721</v>
      </c>
    </row>
    <row r="6" spans="1:8" x14ac:dyDescent="0.25">
      <c r="A6" s="571" t="s">
        <v>667</v>
      </c>
    </row>
  </sheetData>
  <sheetProtection algorithmName="SHA-512" hashValue="rR2isvPhAHU/mbviOB2oPYkuDZhFPUV3F2fUB4kT+OPzu91QDj0q4x3TSvM24uY+6HJ9Ptkuj3LpmWzVrc13Sg==" saltValue="nhdbRpizZsuweCVhrIRQsg==" spinCount="100000" sheet="1" scenarios="1" formatCells="0" sort="0" autoFilter="0" pivotTables="0"/>
  <mergeCells count="1">
    <mergeCell ref="A4:H4"/>
  </mergeCells>
  <hyperlinks>
    <hyperlink ref="A2" location="'Table of Contents'!A1" display="Back to Table of Contents" xr:uid="{00000000-0004-0000-9500-000000000000}"/>
  </hyperlink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theme="7" tint="-0.249977111117893"/>
  </sheetPr>
  <dimension ref="A1:H6"/>
  <sheetViews>
    <sheetView showGridLines="0" workbookViewId="0">
      <pane ySplit="2" topLeftCell="A3" activePane="bottomLeft" state="frozen"/>
      <selection pane="bottomLeft"/>
    </sheetView>
  </sheetViews>
  <sheetFormatPr defaultColWidth="9.140625" defaultRowHeight="15" x14ac:dyDescent="0.25"/>
  <sheetData>
    <row r="1" spans="1:8" ht="15.75" x14ac:dyDescent="0.25">
      <c r="A1" s="522" t="s">
        <v>555</v>
      </c>
      <c r="B1" s="522"/>
      <c r="C1" s="522"/>
    </row>
    <row r="2" spans="1:8" ht="15.75" x14ac:dyDescent="0.25">
      <c r="A2" s="601" t="s">
        <v>511</v>
      </c>
      <c r="B2" s="449"/>
      <c r="C2" s="449"/>
    </row>
    <row r="4" spans="1:8" ht="15.75" x14ac:dyDescent="0.25">
      <c r="A4" s="1004" t="s">
        <v>773</v>
      </c>
      <c r="B4" s="1004"/>
      <c r="C4" s="1004"/>
      <c r="D4" s="1004"/>
      <c r="E4" s="1004"/>
      <c r="F4" s="1004"/>
      <c r="G4" s="1004"/>
      <c r="H4" s="1004"/>
    </row>
    <row r="5" spans="1:8" x14ac:dyDescent="0.25">
      <c r="A5" s="571" t="s">
        <v>721</v>
      </c>
    </row>
    <row r="6" spans="1:8" x14ac:dyDescent="0.25">
      <c r="A6" s="571" t="s">
        <v>899</v>
      </c>
    </row>
  </sheetData>
  <sheetProtection algorithmName="SHA-512" hashValue="t682evlXYApxKcW8Shhz7hyxWRIOLTjbhQUe3eGoKaXk1umhJQKWjGa9cuE93Q6R11eipLMHcVtbU23+nGDGzQ==" saltValue="WGlxqn8CkTPBvLjk1pu/hA==" spinCount="100000" sheet="1" scenarios="1" formatCells="0" sort="0" autoFilter="0" pivotTables="0"/>
  <mergeCells count="1">
    <mergeCell ref="A4:H4"/>
  </mergeCells>
  <hyperlinks>
    <hyperlink ref="A2" location="'Table of Contents'!A1" display="Back to Table of Contents" xr:uid="{00000000-0004-0000-9600-000000000000}"/>
  </hyperlinks>
  <pageMargins left="0.7" right="0.7" top="0.75" bottom="0.75" header="0.3" footer="0.3"/>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theme="7" tint="-0.249977111117893"/>
  </sheetPr>
  <dimension ref="A1:H7"/>
  <sheetViews>
    <sheetView showGridLines="0" workbookViewId="0"/>
  </sheetViews>
  <sheetFormatPr defaultColWidth="9.140625" defaultRowHeight="15" x14ac:dyDescent="0.25"/>
  <sheetData>
    <row r="1" spans="1:8" ht="15.75" x14ac:dyDescent="0.25">
      <c r="A1" s="522" t="s">
        <v>555</v>
      </c>
      <c r="B1" s="522"/>
      <c r="C1" s="522"/>
    </row>
    <row r="2" spans="1:8" ht="15.75" x14ac:dyDescent="0.25">
      <c r="A2" s="601" t="s">
        <v>511</v>
      </c>
      <c r="B2" s="449"/>
      <c r="C2" s="449"/>
    </row>
    <row r="4" spans="1:8" ht="15.75" customHeight="1" x14ac:dyDescent="0.25">
      <c r="A4" s="447" t="s">
        <v>900</v>
      </c>
      <c r="B4" s="447"/>
      <c r="C4" s="447"/>
      <c r="D4" s="447"/>
      <c r="E4" s="447"/>
      <c r="F4" s="447"/>
      <c r="G4" s="447"/>
      <c r="H4" s="447"/>
    </row>
    <row r="5" spans="1:8" x14ac:dyDescent="0.25">
      <c r="A5" s="571" t="s">
        <v>721</v>
      </c>
    </row>
    <row r="6" spans="1:8" x14ac:dyDescent="0.25">
      <c r="A6" s="571" t="s">
        <v>902</v>
      </c>
    </row>
    <row r="7" spans="1:8" x14ac:dyDescent="0.25">
      <c r="A7" s="571"/>
    </row>
  </sheetData>
  <sheetProtection algorithmName="SHA-512" hashValue="2/SoMWAYPfuzJvO3OGTHs463886z3yM2CYQ0UZhuYQ6VzbPrHv9B70V0rUpNw/VkMvLIJuo0ltNIqUea4JMOgA==" saltValue="9qPzA9kCAJUAtyyMwT2v3g==" spinCount="100000" sheet="1" scenarios="1" formatCells="0" sort="0" autoFilter="0" pivotTables="0"/>
  <hyperlinks>
    <hyperlink ref="A2" location="'Table of Contents'!A1" display="Back to Table of Contents" xr:uid="{00000000-0004-0000-9700-000000000000}"/>
  </hyperlink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theme="7" tint="-0.249977111117893"/>
  </sheetPr>
  <dimension ref="A1:H6"/>
  <sheetViews>
    <sheetView showGridLines="0" workbookViewId="0"/>
  </sheetViews>
  <sheetFormatPr defaultColWidth="9.140625" defaultRowHeight="15" x14ac:dyDescent="0.25"/>
  <sheetData>
    <row r="1" spans="1:8" ht="15.75" x14ac:dyDescent="0.25">
      <c r="A1" s="522" t="s">
        <v>555</v>
      </c>
      <c r="B1" s="522"/>
      <c r="C1" s="522"/>
    </row>
    <row r="2" spans="1:8" ht="15.75" x14ac:dyDescent="0.25">
      <c r="A2" s="601" t="s">
        <v>511</v>
      </c>
      <c r="B2" s="449"/>
      <c r="C2" s="449"/>
    </row>
    <row r="4" spans="1:8" ht="15.75" x14ac:dyDescent="0.25">
      <c r="A4" s="447" t="s">
        <v>893</v>
      </c>
      <c r="B4" s="447"/>
      <c r="C4" s="447"/>
      <c r="D4" s="447"/>
      <c r="E4" s="447"/>
      <c r="F4" s="447"/>
      <c r="G4" s="447"/>
      <c r="H4" s="447"/>
    </row>
    <row r="5" spans="1:8" x14ac:dyDescent="0.25">
      <c r="A5" s="571" t="s">
        <v>721</v>
      </c>
    </row>
    <row r="6" spans="1:8" x14ac:dyDescent="0.25">
      <c r="A6" s="571" t="s">
        <v>901</v>
      </c>
    </row>
  </sheetData>
  <sheetProtection algorithmName="SHA-512" hashValue="ePA9d9mIhGZfkEE55BOccxWlU5j2X4FXKldp3cP1+mBR8hKYRS4SqGGriQTtN/DamQ6V1iUeGk30QtFhzVCP9g==" saltValue="KKImygUV20Pd+AtWAPMQvw==" spinCount="100000" sheet="1" scenarios="1" formatCells="0" sort="0" autoFilter="0" pivotTables="0"/>
  <hyperlinks>
    <hyperlink ref="A2" location="'Table of Contents'!A1" display="Back to Table of Contents" xr:uid="{00000000-0004-0000-98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H20"/>
  <sheetViews>
    <sheetView showGridLines="0" workbookViewId="0">
      <pane ySplit="2" topLeftCell="A3" activePane="bottomLeft" state="frozen"/>
      <selection pane="bottomLeft" sqref="A1:C1"/>
    </sheetView>
  </sheetViews>
  <sheetFormatPr defaultRowHeight="15" x14ac:dyDescent="0.25"/>
  <cols>
    <col min="1" max="1" width="11" bestFit="1" customWidth="1"/>
    <col min="2" max="2" width="24" bestFit="1" customWidth="1"/>
  </cols>
  <sheetData>
    <row r="1" spans="1:8" ht="15.75" x14ac:dyDescent="0.25">
      <c r="A1" s="993" t="s">
        <v>523</v>
      </c>
      <c r="B1" s="993"/>
      <c r="C1" s="993"/>
    </row>
    <row r="2" spans="1:8" ht="15.75" x14ac:dyDescent="0.25">
      <c r="A2" s="507" t="s">
        <v>511</v>
      </c>
      <c r="B2" s="449"/>
      <c r="C2" s="449"/>
    </row>
    <row r="4" spans="1:8" ht="15.75" x14ac:dyDescent="0.25">
      <c r="A4" s="994" t="s">
        <v>526</v>
      </c>
      <c r="B4" s="994"/>
      <c r="C4" s="994"/>
      <c r="D4" s="994"/>
      <c r="E4" s="994"/>
      <c r="F4" s="994"/>
      <c r="G4" s="994"/>
      <c r="H4" s="994"/>
    </row>
    <row r="5" spans="1:8" ht="15.75" customHeight="1" x14ac:dyDescent="0.25">
      <c r="A5" s="571" t="s">
        <v>721</v>
      </c>
    </row>
    <row r="6" spans="1:8" x14ac:dyDescent="0.25">
      <c r="A6" s="571" t="s">
        <v>638</v>
      </c>
      <c r="B6" s="521"/>
      <c r="C6" s="521"/>
      <c r="D6" s="521"/>
      <c r="E6" s="521" t="s">
        <v>115</v>
      </c>
      <c r="F6" s="521">
        <v>74</v>
      </c>
    </row>
    <row r="7" spans="1:8" x14ac:dyDescent="0.25">
      <c r="A7" s="521"/>
      <c r="B7" s="521"/>
      <c r="C7" s="521"/>
      <c r="D7" s="521"/>
      <c r="E7" s="521" t="s">
        <v>183</v>
      </c>
      <c r="F7" s="521">
        <v>240</v>
      </c>
    </row>
    <row r="8" spans="1:8" ht="15.75" customHeight="1" x14ac:dyDescent="0.25">
      <c r="A8" s="521"/>
      <c r="B8" s="521"/>
      <c r="C8" s="521"/>
      <c r="D8" s="521"/>
      <c r="E8" s="521" t="s">
        <v>29</v>
      </c>
      <c r="F8" s="521">
        <v>42</v>
      </c>
    </row>
    <row r="9" spans="1:8" x14ac:dyDescent="0.25">
      <c r="A9" s="521"/>
      <c r="B9" s="521"/>
      <c r="C9" s="521"/>
      <c r="D9" s="521"/>
      <c r="E9" s="521"/>
      <c r="F9" s="521"/>
    </row>
    <row r="10" spans="1:8" x14ac:dyDescent="0.25">
      <c r="A10" s="521"/>
      <c r="B10" s="521"/>
      <c r="C10" s="521"/>
      <c r="D10" s="521"/>
      <c r="E10" s="521"/>
      <c r="F10" s="521"/>
    </row>
    <row r="11" spans="1:8" x14ac:dyDescent="0.25">
      <c r="A11" s="521"/>
      <c r="B11" s="521"/>
      <c r="C11" s="521"/>
      <c r="D11" s="521"/>
      <c r="E11" s="521"/>
      <c r="F11" s="521"/>
    </row>
    <row r="12" spans="1:8" x14ac:dyDescent="0.25">
      <c r="A12" s="521"/>
      <c r="B12" s="521"/>
      <c r="C12" s="521"/>
      <c r="D12" s="521"/>
      <c r="E12" s="521"/>
      <c r="F12" s="521"/>
    </row>
    <row r="13" spans="1:8" x14ac:dyDescent="0.25">
      <c r="A13" s="521"/>
      <c r="B13" s="521" t="s">
        <v>115</v>
      </c>
      <c r="C13" s="521">
        <v>74</v>
      </c>
      <c r="D13" s="521"/>
      <c r="E13" s="521"/>
      <c r="F13" s="521"/>
    </row>
    <row r="14" spans="1:8" x14ac:dyDescent="0.25">
      <c r="A14" s="521"/>
      <c r="B14" s="521" t="s">
        <v>183</v>
      </c>
      <c r="C14" s="521">
        <v>240</v>
      </c>
      <c r="D14" s="521"/>
      <c r="E14" s="521"/>
      <c r="F14" s="521"/>
    </row>
    <row r="15" spans="1:8" x14ac:dyDescent="0.25">
      <c r="A15" s="521"/>
      <c r="B15" s="521" t="s">
        <v>29</v>
      </c>
      <c r="C15" s="521">
        <v>42</v>
      </c>
      <c r="D15" s="521"/>
      <c r="E15" s="521"/>
      <c r="F15" s="521"/>
    </row>
    <row r="16" spans="1:8" x14ac:dyDescent="0.25">
      <c r="A16" s="521"/>
      <c r="B16" s="521"/>
      <c r="C16" s="521"/>
      <c r="D16" s="521"/>
      <c r="E16" s="521"/>
      <c r="F16" s="521"/>
    </row>
    <row r="17" spans="1:6" x14ac:dyDescent="0.25">
      <c r="A17" s="521"/>
      <c r="B17" s="521"/>
      <c r="C17" s="521"/>
      <c r="D17" s="521"/>
      <c r="E17" s="521"/>
      <c r="F17" s="521"/>
    </row>
    <row r="18" spans="1:6" x14ac:dyDescent="0.25">
      <c r="A18" s="521"/>
      <c r="B18" s="521"/>
      <c r="C18" s="521"/>
      <c r="D18" s="521"/>
      <c r="E18" s="521"/>
      <c r="F18" s="521"/>
    </row>
    <row r="19" spans="1:6" x14ac:dyDescent="0.25">
      <c r="A19" s="521"/>
      <c r="B19" s="521"/>
      <c r="C19" s="521"/>
      <c r="D19" s="521"/>
      <c r="E19" s="521"/>
      <c r="F19" s="521"/>
    </row>
    <row r="20" spans="1:6" x14ac:dyDescent="0.25">
      <c r="A20" s="521"/>
      <c r="B20" s="521"/>
      <c r="C20" s="521"/>
      <c r="D20" s="521"/>
      <c r="E20" s="521"/>
      <c r="F20" s="521"/>
    </row>
  </sheetData>
  <sheetProtection algorithmName="SHA-512" hashValue="4m0OYamqtR4V23W4T3eTTzDX7XcrdGCk4GjXQyvRA2OK5xSyrZk/e4zGx88ie6OqLY7Nq48cYinutmffgy203A==" saltValue="dENLHbeNRa0estQnbRp5gQ==" spinCount="100000" sheet="1" scenarios="1" formatCells="0" sort="0" autoFilter="0" pivotTables="0"/>
  <mergeCells count="2">
    <mergeCell ref="A1:C1"/>
    <mergeCell ref="A4:H4"/>
  </mergeCells>
  <hyperlinks>
    <hyperlink ref="A2" location="'Table of Contents'!A1" display="Back to Table of Contents" xr:uid="{00000000-0004-0000-0F00-000000000000}"/>
  </hyperlinks>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theme="7" tint="-0.249977111117893"/>
  </sheetPr>
  <dimension ref="A1:H6"/>
  <sheetViews>
    <sheetView showGridLines="0" workbookViewId="0"/>
  </sheetViews>
  <sheetFormatPr defaultColWidth="9.140625" defaultRowHeight="15" x14ac:dyDescent="0.25"/>
  <sheetData>
    <row r="1" spans="1:8" ht="15.75" x14ac:dyDescent="0.25">
      <c r="A1" s="522" t="s">
        <v>555</v>
      </c>
      <c r="B1" s="522"/>
      <c r="C1" s="522"/>
    </row>
    <row r="2" spans="1:8" ht="15.75" x14ac:dyDescent="0.25">
      <c r="A2" s="601" t="s">
        <v>511</v>
      </c>
      <c r="B2" s="449"/>
      <c r="C2" s="449"/>
    </row>
    <row r="4" spans="1:8" ht="15.75" customHeight="1" x14ac:dyDescent="0.25">
      <c r="A4" s="447" t="s">
        <v>893</v>
      </c>
      <c r="B4" s="447"/>
      <c r="C4" s="447"/>
      <c r="D4" s="447"/>
      <c r="E4" s="447"/>
      <c r="F4" s="447"/>
      <c r="G4" s="447"/>
      <c r="H4" s="447"/>
    </row>
    <row r="5" spans="1:8" x14ac:dyDescent="0.25">
      <c r="A5" s="571" t="s">
        <v>721</v>
      </c>
    </row>
    <row r="6" spans="1:8" x14ac:dyDescent="0.25">
      <c r="A6" s="571" t="s">
        <v>903</v>
      </c>
    </row>
  </sheetData>
  <sheetProtection algorithmName="SHA-512" hashValue="PhkQtJfQWaP57rptXYjA8DvyRSF9EHKQZw+IbxTLb1w+AB1DMHG+EaUuVgvgZO5vNsXUg/hGIu0gple22QU1gw==" saltValue="glH/vtl432fYjfEALK2GuQ==" spinCount="100000" sheet="1" scenarios="1" formatCells="0" sort="0" autoFilter="0" pivotTables="0"/>
  <hyperlinks>
    <hyperlink ref="A2" location="'Table of Contents'!A1" display="Back to Table of Contents" xr:uid="{00000000-0004-0000-9900-000000000000}"/>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theme="7" tint="-0.249977111117893"/>
  </sheetPr>
  <dimension ref="A1:H6"/>
  <sheetViews>
    <sheetView showGridLines="0" workbookViewId="0"/>
  </sheetViews>
  <sheetFormatPr defaultColWidth="9.140625" defaultRowHeight="15" x14ac:dyDescent="0.25"/>
  <sheetData>
    <row r="1" spans="1:8" ht="15.75" x14ac:dyDescent="0.25">
      <c r="A1" s="522" t="s">
        <v>555</v>
      </c>
      <c r="B1" s="522"/>
      <c r="C1" s="522"/>
    </row>
    <row r="2" spans="1:8" ht="15.75" x14ac:dyDescent="0.25">
      <c r="A2" s="601" t="s">
        <v>511</v>
      </c>
      <c r="B2" s="449"/>
      <c r="C2" s="449"/>
    </row>
    <row r="4" spans="1:8" ht="15.75" customHeight="1" x14ac:dyDescent="0.25">
      <c r="A4" s="447" t="s">
        <v>895</v>
      </c>
      <c r="B4" s="447"/>
      <c r="C4" s="447"/>
      <c r="D4" s="447"/>
      <c r="E4" s="447"/>
      <c r="F4" s="447"/>
      <c r="G4" s="447"/>
      <c r="H4" s="447"/>
    </row>
    <row r="5" spans="1:8" x14ac:dyDescent="0.25">
      <c r="A5" s="571" t="s">
        <v>721</v>
      </c>
    </row>
    <row r="6" spans="1:8" x14ac:dyDescent="0.25">
      <c r="A6" s="571" t="s">
        <v>910</v>
      </c>
    </row>
  </sheetData>
  <sheetProtection algorithmName="SHA-512" hashValue="R7uNgEpa9A6rUoiZOfcG8tQAxnd5PCcWCAe7WPdT125jIxhoPEus0Wu3avsXu4x1qqz4dFxDSUWXqcXHLL+iww==" saltValue="5tgG7RZYEE1yIEPak9aulg==" spinCount="100000" sheet="1" scenarios="1" formatCells="0" sort="0" autoFilter="0" pivotTables="0"/>
  <hyperlinks>
    <hyperlink ref="A2" location="'Table of Contents'!A1" display="Back to Table of Contents" xr:uid="{00000000-0004-0000-9A00-000000000000}"/>
  </hyperlink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522" t="s">
        <v>555</v>
      </c>
      <c r="B1" s="522"/>
      <c r="C1" s="522"/>
    </row>
    <row r="2" spans="1:8" ht="15.75" x14ac:dyDescent="0.25">
      <c r="A2" s="507" t="s">
        <v>511</v>
      </c>
      <c r="B2" s="449"/>
      <c r="C2" s="449"/>
    </row>
    <row r="4" spans="1:8" ht="15.75" x14ac:dyDescent="0.25">
      <c r="A4" s="994" t="s">
        <v>557</v>
      </c>
      <c r="B4" s="994"/>
      <c r="C4" s="994"/>
      <c r="D4" s="994"/>
      <c r="E4" s="994"/>
      <c r="F4" s="994"/>
      <c r="G4" s="994"/>
      <c r="H4" s="994"/>
    </row>
    <row r="5" spans="1:8" x14ac:dyDescent="0.25">
      <c r="A5" s="571" t="s">
        <v>721</v>
      </c>
    </row>
    <row r="6" spans="1:8" x14ac:dyDescent="0.25">
      <c r="A6" s="571" t="s">
        <v>666</v>
      </c>
    </row>
  </sheetData>
  <sheetProtection algorithmName="SHA-512" hashValue="nNaCzW5iz88z2r2txeXmg8+UFEinHa+llMzQuW2XXOsIkzsuHVc/YoMYDmS8V7v6Ib+gfABLG+SO62oAiWQ3KA==" saltValue="RuZtPheNJx9VRn8lN7uzMw==" spinCount="100000" sheet="1" scenarios="1" formatCells="0" sort="0" autoFilter="0" pivotTables="0"/>
  <mergeCells count="1">
    <mergeCell ref="A4:H4"/>
  </mergeCells>
  <hyperlinks>
    <hyperlink ref="A2" location="'Table of Contents'!A1" display="Back to Table of Contents" xr:uid="{00000000-0004-0000-9B00-000000000000}"/>
  </hyperlink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tabColor theme="7" tint="-0.249977111117893"/>
  </sheetPr>
  <dimension ref="A1:H32"/>
  <sheetViews>
    <sheetView showGridLines="0" workbookViewId="0">
      <pane ySplit="2" topLeftCell="A3" activePane="bottomLeft" state="frozen"/>
      <selection pane="bottomLeft"/>
    </sheetView>
  </sheetViews>
  <sheetFormatPr defaultRowHeight="15" x14ac:dyDescent="0.25"/>
  <sheetData>
    <row r="1" spans="1:8" ht="15.75" x14ac:dyDescent="0.25">
      <c r="A1" s="522" t="s">
        <v>555</v>
      </c>
      <c r="B1" s="522"/>
      <c r="C1" s="522"/>
    </row>
    <row r="2" spans="1:8" ht="15.75" x14ac:dyDescent="0.25">
      <c r="A2" s="507" t="s">
        <v>511</v>
      </c>
      <c r="B2" s="449"/>
      <c r="C2" s="449"/>
    </row>
    <row r="4" spans="1:8" ht="15.75" x14ac:dyDescent="0.25">
      <c r="A4" s="994" t="s">
        <v>558</v>
      </c>
      <c r="B4" s="994"/>
      <c r="C4" s="994"/>
      <c r="D4" s="994"/>
      <c r="E4" s="994"/>
      <c r="F4" s="994"/>
      <c r="G4" s="994"/>
      <c r="H4" s="994"/>
    </row>
    <row r="5" spans="1:8" x14ac:dyDescent="0.25">
      <c r="A5" s="571" t="s">
        <v>721</v>
      </c>
    </row>
    <row r="6" spans="1:8" x14ac:dyDescent="0.25">
      <c r="A6" s="571" t="s">
        <v>668</v>
      </c>
    </row>
    <row r="32" spans="1:1" x14ac:dyDescent="0.25">
      <c r="A32" s="317"/>
    </row>
  </sheetData>
  <sheetProtection algorithmName="SHA-512" hashValue="7OEFHrh3Oozqv7Tm9PEZxl4UtUTNsRoCOzjxnPCfJBlfkYeymd1u8MlWjqjphTezvHcpi9W6220MWjOFScXCrg==" saltValue="Qm+U3PBewBnsjpmob6R2Sw==" spinCount="100000" sheet="1" scenarios="1" formatCells="0" sort="0" autoFilter="0" pivotTables="0"/>
  <mergeCells count="1">
    <mergeCell ref="A4:H4"/>
  </mergeCells>
  <hyperlinks>
    <hyperlink ref="A2" location="'Table of Contents'!A1" display="Back to Table of Contents" xr:uid="{00000000-0004-0000-9C00-000000000000}"/>
  </hyperlinks>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522" t="s">
        <v>555</v>
      </c>
      <c r="B1" s="522"/>
      <c r="C1" s="522"/>
    </row>
    <row r="2" spans="1:8" ht="15.75" x14ac:dyDescent="0.25">
      <c r="A2" s="507" t="s">
        <v>511</v>
      </c>
      <c r="B2" s="449"/>
      <c r="C2" s="449"/>
    </row>
    <row r="4" spans="1:8" ht="15.75" customHeight="1" x14ac:dyDescent="0.25">
      <c r="A4" s="523" t="s">
        <v>1105</v>
      </c>
      <c r="B4" s="523"/>
      <c r="C4" s="523"/>
      <c r="D4" s="523"/>
      <c r="E4" s="523"/>
      <c r="F4" s="523"/>
      <c r="G4" s="523"/>
      <c r="H4" s="523"/>
    </row>
    <row r="5" spans="1:8" x14ac:dyDescent="0.25">
      <c r="A5" s="571" t="s">
        <v>721</v>
      </c>
    </row>
    <row r="6" spans="1:8" x14ac:dyDescent="0.25">
      <c r="A6" s="571" t="s">
        <v>911</v>
      </c>
    </row>
  </sheetData>
  <sheetProtection algorithmName="SHA-512" hashValue="1S4aHNcF5y2FOWtSfdPeq/UXWNQWz+XqoHe8fn3SSl/KJHYZPGbQJpIQHIlQx53CLPbwloikM3TgFTqfpgQq7A==" saltValue="xhbEOEU+8uLVHQUzm/5mDA==" spinCount="100000" sheet="1" scenarios="1" formatCells="0" sort="0" autoFilter="0" pivotTables="0"/>
  <hyperlinks>
    <hyperlink ref="A2" location="'Table of Contents'!A1" display="Back to Table of Contents" xr:uid="{00000000-0004-0000-9D00-000000000000}"/>
  </hyperlink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522" t="s">
        <v>555</v>
      </c>
      <c r="B1" s="522"/>
      <c r="C1" s="522"/>
    </row>
    <row r="2" spans="1:8" ht="15.75" x14ac:dyDescent="0.25">
      <c r="A2" s="507" t="s">
        <v>511</v>
      </c>
      <c r="B2" s="449"/>
      <c r="C2" s="449"/>
    </row>
    <row r="4" spans="1:8" ht="15.75" customHeight="1" x14ac:dyDescent="0.25">
      <c r="A4" s="523" t="s">
        <v>1248</v>
      </c>
      <c r="B4" s="523"/>
      <c r="C4" s="523"/>
      <c r="D4" s="523"/>
      <c r="E4" s="523"/>
      <c r="F4" s="523"/>
      <c r="G4" s="523"/>
      <c r="H4" s="523"/>
    </row>
    <row r="5" spans="1:8" x14ac:dyDescent="0.25">
      <c r="A5" s="571" t="s">
        <v>721</v>
      </c>
    </row>
    <row r="6" spans="1:8" x14ac:dyDescent="0.25">
      <c r="A6" s="571" t="s">
        <v>912</v>
      </c>
    </row>
  </sheetData>
  <sheetProtection algorithmName="SHA-512" hashValue="t8sVtNnHFmkIo1blzmObtGf3myJz5nmlqt/15sBAMiTS2HyZTQ3a0zs5U9phtFIfzukuq8XVPPTPJ+N4gyKOZw==" saltValue="7YCMTQaXVXl3nnpeQV+aFw==" spinCount="100000" sheet="1" scenarios="1" formatCells="0" sort="0" autoFilter="0" pivotTables="0"/>
  <hyperlinks>
    <hyperlink ref="A2" location="'Table of Contents'!A1" display="Back to Table of Contents" xr:uid="{00000000-0004-0000-9E00-000000000000}"/>
  </hyperlink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tabColor theme="7" tint="-0.249977111117893"/>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522" t="s">
        <v>555</v>
      </c>
      <c r="B1" s="522"/>
      <c r="C1" s="522"/>
    </row>
    <row r="2" spans="1:8" ht="15.75" x14ac:dyDescent="0.25">
      <c r="A2" s="507" t="s">
        <v>511</v>
      </c>
      <c r="B2" s="449"/>
      <c r="C2" s="449"/>
    </row>
    <row r="4" spans="1:8" ht="15.75" customHeight="1" x14ac:dyDescent="0.25">
      <c r="A4" s="523" t="s">
        <v>913</v>
      </c>
      <c r="B4" s="523"/>
      <c r="C4" s="523"/>
      <c r="D4" s="523"/>
      <c r="E4" s="523"/>
      <c r="F4" s="523"/>
      <c r="G4" s="523"/>
      <c r="H4" s="523"/>
    </row>
    <row r="5" spans="1:8" x14ac:dyDescent="0.25">
      <c r="A5" s="571" t="s">
        <v>721</v>
      </c>
    </row>
    <row r="6" spans="1:8" x14ac:dyDescent="0.25">
      <c r="A6" s="571" t="s">
        <v>914</v>
      </c>
    </row>
  </sheetData>
  <sheetProtection algorithmName="SHA-512" hashValue="UC1QxKNUWSf0acGLyfP3tpD4ttxG4aaAWot1cbfaSkQTSIZtaUs2uoSy4aUPzIBKVWoKvbsRuDK09pbN35Ejug==" saltValue="M2zkT+YBl638erlKmn/RLA==" spinCount="100000" sheet="1" scenarios="1" formatCells="0" sort="0" autoFilter="0" pivotTables="0"/>
  <hyperlinks>
    <hyperlink ref="A2" location="'Table of Contents'!A1" display="Back to Table of Contents" xr:uid="{00000000-0004-0000-9F00-000000000000}"/>
  </hyperlink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32">
    <tabColor theme="3" tint="0.39997558519241921"/>
    <pageSetUpPr fitToPage="1"/>
  </sheetPr>
  <dimension ref="A1:M54"/>
  <sheetViews>
    <sheetView showGridLines="0" workbookViewId="0">
      <pane ySplit="2" topLeftCell="A3" activePane="bottomLeft" state="frozen"/>
      <selection pane="bottomLeft"/>
    </sheetView>
  </sheetViews>
  <sheetFormatPr defaultRowHeight="15" x14ac:dyDescent="0.25"/>
  <cols>
    <col min="1" max="1" width="19" customWidth="1"/>
    <col min="2" max="2" width="6.5703125" bestFit="1" customWidth="1"/>
    <col min="3" max="3" width="19.42578125" bestFit="1" customWidth="1"/>
    <col min="4" max="4" width="9.28515625" bestFit="1" customWidth="1"/>
    <col min="5" max="5" width="12.5703125" bestFit="1" customWidth="1"/>
    <col min="6" max="6" width="28.140625" customWidth="1"/>
    <col min="7" max="7" width="10.5703125" customWidth="1"/>
    <col min="8" max="8" width="8.42578125" customWidth="1"/>
  </cols>
  <sheetData>
    <row r="1" spans="1:11" ht="15.75" x14ac:dyDescent="0.25">
      <c r="A1" s="522" t="s">
        <v>560</v>
      </c>
    </row>
    <row r="2" spans="1:11" x14ac:dyDescent="0.25">
      <c r="A2" s="507" t="s">
        <v>511</v>
      </c>
    </row>
    <row r="3" spans="1:11" x14ac:dyDescent="0.25">
      <c r="A3" s="25"/>
    </row>
    <row r="4" spans="1:11" ht="15.75" x14ac:dyDescent="0.25">
      <c r="A4" s="1033" t="s">
        <v>559</v>
      </c>
      <c r="B4" s="1033"/>
      <c r="C4" s="1033"/>
      <c r="D4" s="1033"/>
      <c r="E4" s="1033"/>
      <c r="F4" s="1033"/>
      <c r="G4" s="1033"/>
      <c r="H4" s="1033"/>
      <c r="I4" s="1033"/>
      <c r="J4" s="1033"/>
      <c r="K4" s="1033"/>
    </row>
    <row r="5" spans="1:11" ht="15.75" x14ac:dyDescent="0.25">
      <c r="A5" t="s">
        <v>328</v>
      </c>
      <c r="B5" t="s">
        <v>710</v>
      </c>
      <c r="C5" s="508"/>
      <c r="D5" s="508"/>
      <c r="E5" s="508"/>
      <c r="F5" s="508"/>
      <c r="G5" s="508"/>
      <c r="H5" s="508"/>
      <c r="I5" s="508"/>
      <c r="J5" s="508"/>
      <c r="K5" s="508"/>
    </row>
    <row r="6" spans="1:11" ht="15.75" customHeight="1" x14ac:dyDescent="0.25">
      <c r="A6" t="s">
        <v>329</v>
      </c>
      <c r="B6" t="s">
        <v>331</v>
      </c>
      <c r="C6" s="508"/>
      <c r="D6" s="508"/>
      <c r="E6" s="508"/>
      <c r="F6" s="508"/>
      <c r="G6" s="508"/>
      <c r="H6" s="508"/>
      <c r="I6" s="508"/>
      <c r="J6" s="508"/>
      <c r="K6" s="508"/>
    </row>
    <row r="7" spans="1:11" ht="15.75" x14ac:dyDescent="0.25">
      <c r="A7" t="s">
        <v>330</v>
      </c>
      <c r="B7" t="s">
        <v>332</v>
      </c>
      <c r="C7" s="508"/>
      <c r="D7" s="508"/>
      <c r="E7" s="508"/>
      <c r="F7" s="508"/>
      <c r="G7" s="508"/>
      <c r="H7" s="508"/>
      <c r="I7" s="508"/>
      <c r="J7" s="508"/>
      <c r="K7" s="508"/>
    </row>
    <row r="8" spans="1:11" ht="15.75" x14ac:dyDescent="0.25">
      <c r="C8" s="508"/>
      <c r="D8" s="508"/>
      <c r="E8" s="508"/>
      <c r="F8" s="508"/>
      <c r="G8" s="508"/>
      <c r="H8" s="508"/>
      <c r="I8" s="508"/>
      <c r="J8" s="508"/>
      <c r="K8" s="508"/>
    </row>
    <row r="9" spans="1:11" ht="30" x14ac:dyDescent="0.25">
      <c r="A9" s="677" t="s">
        <v>1</v>
      </c>
      <c r="B9" s="918" t="s">
        <v>157</v>
      </c>
      <c r="C9" s="919" t="s">
        <v>1116</v>
      </c>
      <c r="D9" s="919" t="s">
        <v>941</v>
      </c>
      <c r="E9" s="919" t="s">
        <v>180</v>
      </c>
      <c r="F9" s="919" t="s">
        <v>1114</v>
      </c>
      <c r="G9" s="919" t="s">
        <v>26</v>
      </c>
      <c r="H9" s="508"/>
      <c r="I9" s="508"/>
      <c r="J9" s="508"/>
      <c r="K9" s="508"/>
    </row>
    <row r="10" spans="1:11" ht="15.75" x14ac:dyDescent="0.25">
      <c r="A10" s="815" t="s">
        <v>191</v>
      </c>
      <c r="B10" s="614">
        <f>GETPIVOTDATA("Sum of Audits",WorkflowsPivot!$C$7,"Year",A10)</f>
        <v>8206</v>
      </c>
      <c r="C10" s="614"/>
      <c r="D10" s="614">
        <f>GETPIVOTDATA("Sum of Site Visits",WorkflowsPivot!$C$7,"Year",A10)</f>
        <v>1648</v>
      </c>
      <c r="E10" s="614">
        <f>GETPIVOTDATA("Sum of Consultations",WorkflowsPivot!$C$7,"Year",A10)</f>
        <v>2038</v>
      </c>
      <c r="F10" s="816"/>
      <c r="G10" s="817">
        <f>SUM(B10:F10)</f>
        <v>11892</v>
      </c>
      <c r="H10" s="508"/>
      <c r="I10" s="508"/>
      <c r="J10" s="508"/>
      <c r="K10" s="508"/>
    </row>
    <row r="11" spans="1:11" ht="15.75" x14ac:dyDescent="0.25">
      <c r="A11" s="317" t="s">
        <v>190</v>
      </c>
      <c r="B11" s="614">
        <f>GETPIVOTDATA("Sum of Audits",WorkflowsPivot!$C$7,"Year",A11)</f>
        <v>9834</v>
      </c>
      <c r="C11" s="614"/>
      <c r="D11" s="614">
        <f>GETPIVOTDATA("Sum of Site Visits",WorkflowsPivot!$C$7,"Year",A11)</f>
        <v>2373</v>
      </c>
      <c r="E11" s="614">
        <f>GETPIVOTDATA("Sum of Consultations",WorkflowsPivot!$C$7,"Year",A11)</f>
        <v>3501</v>
      </c>
      <c r="F11" s="816"/>
      <c r="G11" s="817">
        <f t="shared" ref="G11:G18" si="0">SUM(B11:F11)</f>
        <v>15708</v>
      </c>
      <c r="H11" s="508"/>
      <c r="I11" s="508"/>
      <c r="J11" s="508"/>
      <c r="K11" s="508"/>
    </row>
    <row r="12" spans="1:11" ht="15.75" x14ac:dyDescent="0.25">
      <c r="A12" s="317" t="s">
        <v>257</v>
      </c>
      <c r="B12" s="614">
        <f>GETPIVOTDATA("Sum of Audits",WorkflowsPivot!$C$7,"Year",A12)</f>
        <v>8939</v>
      </c>
      <c r="C12" s="614"/>
      <c r="D12" s="614">
        <f>GETPIVOTDATA("Sum of Site Visits",WorkflowsPivot!$C$7,"Year",A12)</f>
        <v>1461</v>
      </c>
      <c r="E12" s="614">
        <f>GETPIVOTDATA("Sum of Consultations",WorkflowsPivot!$C$7,"Year",A12)</f>
        <v>2582</v>
      </c>
      <c r="F12" s="816"/>
      <c r="G12" s="817">
        <f t="shared" si="0"/>
        <v>12982</v>
      </c>
      <c r="H12" s="508"/>
      <c r="I12" s="508"/>
      <c r="J12" s="508"/>
      <c r="K12" s="508"/>
    </row>
    <row r="13" spans="1:11" ht="15.75" x14ac:dyDescent="0.25">
      <c r="A13" s="317" t="s">
        <v>240</v>
      </c>
      <c r="B13" s="614">
        <f>GETPIVOTDATA("Sum of Audits",WorkflowsPivot!$C$7,"Year",A13)</f>
        <v>7635</v>
      </c>
      <c r="C13" s="614"/>
      <c r="D13" s="614">
        <f>GETPIVOTDATA("Sum of Site Visits",WorkflowsPivot!$C$7,"Year",A13)</f>
        <v>2592</v>
      </c>
      <c r="E13" s="614">
        <f>GETPIVOTDATA("Sum of Consultations",WorkflowsPivot!$C$7,"Year",A13)</f>
        <v>3241</v>
      </c>
      <c r="F13" s="816"/>
      <c r="G13" s="817">
        <f t="shared" si="0"/>
        <v>13468</v>
      </c>
      <c r="H13" s="508"/>
      <c r="I13" s="508"/>
      <c r="J13" s="508"/>
      <c r="K13" s="508"/>
    </row>
    <row r="14" spans="1:11" ht="15.75" x14ac:dyDescent="0.25">
      <c r="A14" s="317" t="s">
        <v>239</v>
      </c>
      <c r="B14" s="614">
        <f>GETPIVOTDATA("Sum of Audits",WorkflowsPivot!$C$7,"Year",A14)</f>
        <v>7872</v>
      </c>
      <c r="C14" s="614"/>
      <c r="D14" s="614">
        <f>GETPIVOTDATA("Sum of Site Visits",WorkflowsPivot!$C$7,"Year",A14)</f>
        <v>1973</v>
      </c>
      <c r="E14" s="614">
        <f>GETPIVOTDATA("Sum of Consultations",WorkflowsPivot!$C$7,"Year",A14)</f>
        <v>2746</v>
      </c>
      <c r="F14" s="818"/>
      <c r="G14" s="817">
        <f t="shared" si="0"/>
        <v>12591</v>
      </c>
      <c r="H14" s="508"/>
      <c r="I14" s="508"/>
      <c r="J14" s="508"/>
      <c r="K14" s="508"/>
    </row>
    <row r="15" spans="1:11" ht="15.75" x14ac:dyDescent="0.25">
      <c r="A15" s="317" t="s">
        <v>760</v>
      </c>
      <c r="B15" s="614">
        <f>GETPIVOTDATA("Sum of Audits",WorkflowsPivot!$C$7,"Year",A15)</f>
        <v>7261</v>
      </c>
      <c r="C15" s="614">
        <f>GETPIVOTDATA("Sum of Post Fire Short Audits",WorkflowsPivot!$C$7,"Year",A15)</f>
        <v>202</v>
      </c>
      <c r="D15" s="614">
        <f>GETPIVOTDATA("Sum of Site Visits",WorkflowsPivot!$C$7,"Year",A15)</f>
        <v>918</v>
      </c>
      <c r="E15" s="614">
        <f>GETPIVOTDATA("Sum of Consultations",WorkflowsPivot!$C$7,"Year",A15)</f>
        <v>2460</v>
      </c>
      <c r="F15" s="818">
        <f>GETPIVOTDATA("Count",WorkflowsPivot!$J$7,"Fiscal_Yr",A15)</f>
        <v>551</v>
      </c>
      <c r="G15" s="817">
        <f t="shared" si="0"/>
        <v>11392</v>
      </c>
      <c r="H15" s="508"/>
      <c r="I15" s="508"/>
      <c r="J15" s="508"/>
      <c r="K15" s="508"/>
    </row>
    <row r="16" spans="1:11" ht="15.75" x14ac:dyDescent="0.25">
      <c r="A16" s="317" t="s">
        <v>917</v>
      </c>
      <c r="B16" s="614">
        <f>GETPIVOTDATA("Sum of Audits",WorkflowsPivot!$C$7,"Year",A16)</f>
        <v>3319</v>
      </c>
      <c r="C16" s="614">
        <f>GETPIVOTDATA("Sum of Post Fire Short Audits",WorkflowsPivot!$C$7,"Year",A16)</f>
        <v>192</v>
      </c>
      <c r="D16" s="614">
        <f>GETPIVOTDATA("Sum of Site Visits",WorkflowsPivot!$C$7,"Year",A16)</f>
        <v>603</v>
      </c>
      <c r="E16" s="614">
        <f>GETPIVOTDATA("Sum of Consultations",WorkflowsPivot!$C$7,"Year",A16)</f>
        <v>2502</v>
      </c>
      <c r="F16" s="818">
        <f>GETPIVOTDATA("Count",WorkflowsPivot!$J$7,"Fiscal_Yr",A16)</f>
        <v>668</v>
      </c>
      <c r="G16" s="817">
        <f t="shared" si="0"/>
        <v>7284</v>
      </c>
      <c r="H16" s="508"/>
      <c r="I16" s="508"/>
      <c r="J16" s="508"/>
      <c r="K16" s="508"/>
    </row>
    <row r="17" spans="1:13" ht="15.75" x14ac:dyDescent="0.25">
      <c r="A17" s="317" t="s">
        <v>1010</v>
      </c>
      <c r="B17" s="614">
        <f>GETPIVOTDATA("Sum of Audits",WorkflowsPivot!$C$7,"Year",A17)</f>
        <v>5688</v>
      </c>
      <c r="C17" s="614">
        <f>GETPIVOTDATA("Sum of Post Fire Short Audits",WorkflowsPivot!$C$7,"Year",A17)</f>
        <v>192</v>
      </c>
      <c r="D17" s="614">
        <f>GETPIVOTDATA("Sum of Site Visits",WorkflowsPivot!$C$7,"Year",A17)</f>
        <v>1158</v>
      </c>
      <c r="E17" s="614">
        <f>GETPIVOTDATA("Sum of Consultations",WorkflowsPivot!$C$7,"Year",A17)</f>
        <v>2106</v>
      </c>
      <c r="F17" s="818">
        <f>GETPIVOTDATA("Count",WorkflowsPivot!$J$7,"Fiscal_Yr",A17)</f>
        <v>722</v>
      </c>
      <c r="G17" s="817">
        <f t="shared" si="0"/>
        <v>9866</v>
      </c>
      <c r="H17" s="508"/>
      <c r="I17" s="508"/>
      <c r="J17" s="508"/>
      <c r="K17" s="508"/>
    </row>
    <row r="18" spans="1:13" ht="15.75" x14ac:dyDescent="0.25">
      <c r="A18" s="317" t="s">
        <v>1061</v>
      </c>
      <c r="B18" s="614">
        <f>GETPIVOTDATA("Sum of Audits",WorkflowsPivot!$C$7,"Year",A18)</f>
        <v>6712</v>
      </c>
      <c r="C18" s="614">
        <f>GETPIVOTDATA("Sum of Post Fire Short Audits",WorkflowsPivot!$C$7,"Year",A18)</f>
        <v>203</v>
      </c>
      <c r="D18" s="614">
        <f>GETPIVOTDATA("Sum of Site Visits",WorkflowsPivot!$C$7,"Year",A18)</f>
        <v>1389</v>
      </c>
      <c r="E18" s="614">
        <f>GETPIVOTDATA("Sum of Consultations",WorkflowsPivot!$C$7,"Year",A18)</f>
        <v>1829</v>
      </c>
      <c r="F18" s="818">
        <f>GETPIVOTDATA("Count",WorkflowsPivot!$J$7,"Fiscal_Yr",A18)</f>
        <v>812</v>
      </c>
      <c r="G18" s="817">
        <f t="shared" si="0"/>
        <v>10945</v>
      </c>
      <c r="K18" s="508"/>
    </row>
    <row r="19" spans="1:13" ht="16.5" thickBot="1" x14ac:dyDescent="0.3">
      <c r="A19" s="533" t="s">
        <v>1108</v>
      </c>
      <c r="B19" s="619">
        <f>GETPIVOTDATA("Sum of Audits",WorkflowsPivot!$C$7,"Year",A19)</f>
        <v>7654</v>
      </c>
      <c r="C19" s="619">
        <f>GETPIVOTDATA("Sum of Post Fire Short Audits",WorkflowsPivot!$C$7,"Year",A19)</f>
        <v>208</v>
      </c>
      <c r="D19" s="619">
        <f>GETPIVOTDATA("Sum of Site Visits",WorkflowsPivot!$C$7,"Year",A19)</f>
        <v>1218</v>
      </c>
      <c r="E19" s="619">
        <f>GETPIVOTDATA("Sum of Consultations",WorkflowsPivot!$C$7,"Year",A19)</f>
        <v>3466</v>
      </c>
      <c r="F19" s="920">
        <f>GETPIVOTDATA("Count",WorkflowsPivot!$J$7,"Fiscal_Yr",A19)</f>
        <v>816</v>
      </c>
      <c r="G19" s="819">
        <f t="shared" ref="G19" si="1">SUM(B19:F19)</f>
        <v>13362</v>
      </c>
      <c r="K19" s="508"/>
    </row>
    <row r="20" spans="1:13" ht="15.75" x14ac:dyDescent="0.25">
      <c r="A20" s="317"/>
      <c r="C20" s="508"/>
      <c r="D20" s="508"/>
      <c r="E20" s="508"/>
      <c r="F20" s="508"/>
      <c r="K20" s="508"/>
    </row>
    <row r="21" spans="1:13" x14ac:dyDescent="0.25">
      <c r="A21" s="339" t="s">
        <v>8</v>
      </c>
      <c r="B21" s="25"/>
      <c r="C21" s="25"/>
      <c r="D21" s="25"/>
      <c r="E21" s="25"/>
      <c r="G21" s="568"/>
      <c r="H21" s="568"/>
      <c r="I21" s="568"/>
      <c r="K21" s="15"/>
      <c r="L21" s="236"/>
      <c r="M21" s="236"/>
    </row>
    <row r="22" spans="1:13" ht="30.95" customHeight="1" x14ac:dyDescent="0.25">
      <c r="A22" s="1026" t="s">
        <v>872</v>
      </c>
      <c r="B22" s="1026"/>
      <c r="C22" s="1026"/>
      <c r="D22" s="1026"/>
      <c r="E22" s="1026"/>
      <c r="F22" s="1026"/>
      <c r="G22" s="1026"/>
      <c r="H22" s="1026"/>
      <c r="I22" s="568"/>
      <c r="J22" s="568"/>
    </row>
    <row r="23" spans="1:13" ht="30.6" customHeight="1" x14ac:dyDescent="0.25">
      <c r="A23" s="1026" t="s">
        <v>224</v>
      </c>
      <c r="B23" s="1026"/>
      <c r="C23" s="1026"/>
      <c r="D23" s="1026"/>
      <c r="E23" s="1026"/>
      <c r="F23" s="1026"/>
      <c r="G23" s="1026"/>
      <c r="H23" s="1026"/>
      <c r="I23" s="569"/>
      <c r="J23" s="569"/>
    </row>
    <row r="24" spans="1:13" ht="30.6" customHeight="1" x14ac:dyDescent="0.25">
      <c r="A24" s="996" t="s">
        <v>1265</v>
      </c>
      <c r="B24" s="996"/>
      <c r="C24" s="996"/>
      <c r="D24" s="996"/>
      <c r="E24" s="996"/>
      <c r="F24" s="996"/>
      <c r="G24" s="996"/>
      <c r="H24" s="996"/>
      <c r="I24" s="569"/>
    </row>
    <row r="25" spans="1:13" ht="30.95" customHeight="1" x14ac:dyDescent="0.25">
      <c r="A25" s="996" t="s">
        <v>1267</v>
      </c>
      <c r="B25" s="996"/>
      <c r="C25" s="996"/>
      <c r="D25" s="996"/>
      <c r="E25" s="996"/>
      <c r="F25" s="996"/>
      <c r="G25" s="996"/>
      <c r="H25" s="996"/>
    </row>
    <row r="26" spans="1:13" ht="15.75" customHeight="1" x14ac:dyDescent="0.25"/>
    <row r="51" spans="1:8" ht="30" customHeight="1" x14ac:dyDescent="0.25"/>
    <row r="52" spans="1:8" x14ac:dyDescent="0.25">
      <c r="G52" s="568"/>
      <c r="H52" s="568"/>
    </row>
    <row r="54" spans="1:8" x14ac:dyDescent="0.25">
      <c r="A54" s="362"/>
      <c r="C54" s="370"/>
      <c r="D54" s="568"/>
      <c r="E54" s="568"/>
      <c r="F54" s="568"/>
    </row>
  </sheetData>
  <sheetProtection algorithmName="SHA-512" hashValue="8z8A8Jt6t7WLmvcOGHr4uReTqgGs/xVI9mZw5l+rq6GhOeG883AaonbGDE5PfyjLIsewEtGmmNTxugED2HBQnQ==" saltValue="abFCgtsYvZu1N5pli6n0Qg==" spinCount="100000" sheet="1" scenarios="1" formatCells="0" sort="0" autoFilter="0" pivotTables="0"/>
  <mergeCells count="5">
    <mergeCell ref="A22:H22"/>
    <mergeCell ref="A23:H23"/>
    <mergeCell ref="A24:H24"/>
    <mergeCell ref="A25:H25"/>
    <mergeCell ref="A4:K4"/>
  </mergeCells>
  <hyperlinks>
    <hyperlink ref="A2" location="'Table of Contents'!A1" display="Back to Table of Contents" xr:uid="{00000000-0004-0000-A000-000000000000}"/>
  </hyperlinks>
  <pageMargins left="0.70866141732283472" right="0.70866141732283472" top="0.74803149606299213" bottom="0.74803149606299213" header="0.31496062992125984" footer="0.31496062992125984"/>
  <pageSetup paperSize="9" scale="81"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7BDD3-432E-41AD-AF6D-8B20DF027600}">
  <sheetPr>
    <tabColor theme="3" tint="0.39997558519241921"/>
  </sheetPr>
  <dimension ref="C7:K18"/>
  <sheetViews>
    <sheetView topLeftCell="E1" workbookViewId="0">
      <selection activeCell="J9" sqref="J9"/>
    </sheetView>
  </sheetViews>
  <sheetFormatPr defaultRowHeight="15" x14ac:dyDescent="0.25"/>
  <cols>
    <col min="3" max="4" width="12.42578125" bestFit="1" customWidth="1"/>
    <col min="5" max="5" width="25.5703125" bestFit="1" customWidth="1"/>
    <col min="6" max="6" width="15.140625" bestFit="1" customWidth="1"/>
    <col min="7" max="7" width="18.85546875" bestFit="1" customWidth="1"/>
    <col min="10" max="10" width="12.42578125" bestFit="1" customWidth="1"/>
    <col min="11" max="11" width="12.140625" bestFit="1" customWidth="1"/>
  </cols>
  <sheetData>
    <row r="7" spans="3:11" x14ac:dyDescent="0.25">
      <c r="C7" s="394" t="s">
        <v>231</v>
      </c>
      <c r="D7" t="s">
        <v>1109</v>
      </c>
      <c r="E7" t="s">
        <v>1110</v>
      </c>
      <c r="F7" t="s">
        <v>1111</v>
      </c>
      <c r="G7" t="s">
        <v>1112</v>
      </c>
      <c r="J7" s="394" t="s">
        <v>231</v>
      </c>
      <c r="K7" t="s">
        <v>1113</v>
      </c>
    </row>
    <row r="8" spans="3:11" x14ac:dyDescent="0.25">
      <c r="C8" s="395" t="s">
        <v>191</v>
      </c>
      <c r="D8">
        <v>8206</v>
      </c>
      <c r="F8">
        <v>1648</v>
      </c>
      <c r="G8">
        <v>2038</v>
      </c>
      <c r="J8" s="395" t="s">
        <v>760</v>
      </c>
      <c r="K8">
        <v>551</v>
      </c>
    </row>
    <row r="9" spans="3:11" x14ac:dyDescent="0.25">
      <c r="C9" s="395" t="s">
        <v>190</v>
      </c>
      <c r="D9">
        <v>9834</v>
      </c>
      <c r="F9">
        <v>2373</v>
      </c>
      <c r="G9">
        <v>3501</v>
      </c>
      <c r="J9" s="395" t="s">
        <v>917</v>
      </c>
      <c r="K9">
        <v>668</v>
      </c>
    </row>
    <row r="10" spans="3:11" x14ac:dyDescent="0.25">
      <c r="C10" s="395" t="s">
        <v>257</v>
      </c>
      <c r="D10">
        <v>8939</v>
      </c>
      <c r="F10">
        <v>1461</v>
      </c>
      <c r="G10">
        <v>2582</v>
      </c>
      <c r="J10" s="395" t="s">
        <v>1010</v>
      </c>
      <c r="K10">
        <v>722</v>
      </c>
    </row>
    <row r="11" spans="3:11" x14ac:dyDescent="0.25">
      <c r="C11" s="395" t="s">
        <v>240</v>
      </c>
      <c r="D11">
        <v>7635</v>
      </c>
      <c r="F11">
        <v>2592</v>
      </c>
      <c r="G11">
        <v>3241</v>
      </c>
      <c r="J11" s="395" t="s">
        <v>1061</v>
      </c>
      <c r="K11">
        <v>812</v>
      </c>
    </row>
    <row r="12" spans="3:11" x14ac:dyDescent="0.25">
      <c r="C12" s="395" t="s">
        <v>239</v>
      </c>
      <c r="D12">
        <v>7872</v>
      </c>
      <c r="F12">
        <v>1973</v>
      </c>
      <c r="G12">
        <v>2746</v>
      </c>
      <c r="J12" s="395" t="s">
        <v>1108</v>
      </c>
      <c r="K12">
        <v>816</v>
      </c>
    </row>
    <row r="13" spans="3:11" x14ac:dyDescent="0.25">
      <c r="C13" s="395" t="s">
        <v>760</v>
      </c>
      <c r="D13">
        <v>7261</v>
      </c>
      <c r="E13">
        <v>202</v>
      </c>
      <c r="F13">
        <v>918</v>
      </c>
      <c r="G13">
        <v>2460</v>
      </c>
      <c r="J13" s="395" t="s">
        <v>236</v>
      </c>
      <c r="K13">
        <v>3569</v>
      </c>
    </row>
    <row r="14" spans="3:11" x14ac:dyDescent="0.25">
      <c r="C14" s="395" t="s">
        <v>917</v>
      </c>
      <c r="D14">
        <v>3319</v>
      </c>
      <c r="E14">
        <v>192</v>
      </c>
      <c r="F14">
        <v>603</v>
      </c>
      <c r="G14">
        <v>2502</v>
      </c>
    </row>
    <row r="15" spans="3:11" x14ac:dyDescent="0.25">
      <c r="C15" s="395" t="s">
        <v>1010</v>
      </c>
      <c r="D15">
        <v>5688</v>
      </c>
      <c r="E15">
        <v>192</v>
      </c>
      <c r="F15">
        <v>1158</v>
      </c>
      <c r="G15">
        <v>2106</v>
      </c>
    </row>
    <row r="16" spans="3:11" x14ac:dyDescent="0.25">
      <c r="C16" s="395" t="s">
        <v>1061</v>
      </c>
      <c r="D16">
        <v>6712</v>
      </c>
      <c r="E16">
        <v>203</v>
      </c>
      <c r="F16">
        <v>1389</v>
      </c>
      <c r="G16">
        <v>1829</v>
      </c>
    </row>
    <row r="17" spans="3:7" x14ac:dyDescent="0.25">
      <c r="C17" s="395" t="s">
        <v>1108</v>
      </c>
      <c r="D17">
        <v>7654</v>
      </c>
      <c r="E17">
        <v>208</v>
      </c>
      <c r="F17">
        <v>1218</v>
      </c>
      <c r="G17">
        <v>3466</v>
      </c>
    </row>
    <row r="18" spans="3:7" x14ac:dyDescent="0.25">
      <c r="C18" s="395" t="s">
        <v>236</v>
      </c>
      <c r="D18">
        <v>73120</v>
      </c>
      <c r="E18">
        <v>997</v>
      </c>
      <c r="F18">
        <v>15333</v>
      </c>
      <c r="G18">
        <v>26471</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E6192-9E92-4E0C-BD44-AB20E562CE77}">
  <sheetPr>
    <tabColor theme="3" tint="0.39997558519241921"/>
  </sheetPr>
  <dimension ref="A3:J13"/>
  <sheetViews>
    <sheetView workbookViewId="0">
      <selection activeCell="J10" sqref="J10"/>
    </sheetView>
  </sheetViews>
  <sheetFormatPr defaultRowHeight="15" x14ac:dyDescent="0.25"/>
  <cols>
    <col min="1" max="1" width="7.5703125" bestFit="1" customWidth="1"/>
    <col min="2" max="2" width="8.42578125" bestFit="1" customWidth="1"/>
    <col min="3" max="3" width="21.42578125" bestFit="1" customWidth="1"/>
    <col min="4" max="4" width="11.140625" bestFit="1" customWidth="1"/>
    <col min="5" max="5" width="14.5703125" bestFit="1" customWidth="1"/>
    <col min="6" max="6" width="15.5703125" bestFit="1" customWidth="1"/>
    <col min="7" max="7" width="19.140625" bestFit="1" customWidth="1"/>
    <col min="9" max="9" width="10.28515625" bestFit="1" customWidth="1"/>
    <col min="10" max="10" width="8.140625" bestFit="1" customWidth="1"/>
    <col min="11" max="11" width="12.28515625" bestFit="1" customWidth="1"/>
  </cols>
  <sheetData>
    <row r="3" spans="1:10" x14ac:dyDescent="0.25">
      <c r="A3" t="s">
        <v>1</v>
      </c>
      <c r="B3" t="s">
        <v>157</v>
      </c>
      <c r="C3" t="s">
        <v>940</v>
      </c>
      <c r="D3" t="s">
        <v>941</v>
      </c>
      <c r="E3" t="s">
        <v>180</v>
      </c>
    </row>
    <row r="4" spans="1:10" x14ac:dyDescent="0.25">
      <c r="A4" t="s">
        <v>257</v>
      </c>
      <c r="B4">
        <v>8939</v>
      </c>
      <c r="D4">
        <v>1461</v>
      </c>
      <c r="E4">
        <v>2582</v>
      </c>
    </row>
    <row r="5" spans="1:10" x14ac:dyDescent="0.25">
      <c r="A5" t="s">
        <v>917</v>
      </c>
      <c r="B5">
        <v>3319</v>
      </c>
      <c r="C5">
        <v>192</v>
      </c>
      <c r="D5">
        <v>603</v>
      </c>
      <c r="E5">
        <v>2502</v>
      </c>
    </row>
    <row r="6" spans="1:10" x14ac:dyDescent="0.25">
      <c r="A6" t="s">
        <v>1010</v>
      </c>
      <c r="B6">
        <v>5688</v>
      </c>
      <c r="C6">
        <v>192</v>
      </c>
      <c r="D6">
        <v>1158</v>
      </c>
      <c r="E6">
        <v>2106</v>
      </c>
      <c r="I6" t="s">
        <v>1062</v>
      </c>
      <c r="J6" t="s">
        <v>1107</v>
      </c>
    </row>
    <row r="7" spans="1:10" x14ac:dyDescent="0.25">
      <c r="A7" t="s">
        <v>240</v>
      </c>
      <c r="B7">
        <v>7635</v>
      </c>
      <c r="D7">
        <v>2592</v>
      </c>
      <c r="E7">
        <v>3241</v>
      </c>
      <c r="I7" t="s">
        <v>760</v>
      </c>
      <c r="J7">
        <v>551</v>
      </c>
    </row>
    <row r="8" spans="1:10" x14ac:dyDescent="0.25">
      <c r="A8" t="s">
        <v>190</v>
      </c>
      <c r="B8">
        <v>9834</v>
      </c>
      <c r="D8">
        <v>2373</v>
      </c>
      <c r="E8">
        <v>3501</v>
      </c>
      <c r="I8" t="s">
        <v>917</v>
      </c>
      <c r="J8">
        <v>668</v>
      </c>
    </row>
    <row r="9" spans="1:10" x14ac:dyDescent="0.25">
      <c r="A9" t="s">
        <v>239</v>
      </c>
      <c r="B9">
        <v>7872</v>
      </c>
      <c r="D9">
        <v>1973</v>
      </c>
      <c r="E9">
        <v>2746</v>
      </c>
      <c r="I9" t="s">
        <v>1010</v>
      </c>
      <c r="J9">
        <v>722</v>
      </c>
    </row>
    <row r="10" spans="1:10" x14ac:dyDescent="0.25">
      <c r="A10" t="s">
        <v>191</v>
      </c>
      <c r="B10">
        <v>8206</v>
      </c>
      <c r="D10">
        <v>1648</v>
      </c>
      <c r="E10">
        <v>2038</v>
      </c>
      <c r="I10" t="s">
        <v>1061</v>
      </c>
      <c r="J10">
        <v>812</v>
      </c>
    </row>
    <row r="11" spans="1:10" x14ac:dyDescent="0.25">
      <c r="A11" t="s">
        <v>1061</v>
      </c>
      <c r="B11">
        <v>6712</v>
      </c>
      <c r="C11">
        <v>203</v>
      </c>
      <c r="D11">
        <v>1389</v>
      </c>
      <c r="E11">
        <v>1829</v>
      </c>
      <c r="I11" t="s">
        <v>1108</v>
      </c>
      <c r="J11">
        <v>816</v>
      </c>
    </row>
    <row r="12" spans="1:10" x14ac:dyDescent="0.25">
      <c r="A12" t="s">
        <v>1108</v>
      </c>
      <c r="B12">
        <v>7654</v>
      </c>
      <c r="C12">
        <v>208</v>
      </c>
      <c r="D12">
        <v>1218</v>
      </c>
      <c r="E12">
        <v>3466</v>
      </c>
    </row>
    <row r="13" spans="1:10" x14ac:dyDescent="0.25">
      <c r="A13" t="s">
        <v>760</v>
      </c>
      <c r="B13">
        <v>7261</v>
      </c>
      <c r="C13">
        <v>202</v>
      </c>
      <c r="D13">
        <v>918</v>
      </c>
      <c r="E13">
        <v>2460</v>
      </c>
    </row>
  </sheetData>
  <pageMargins left="0.7" right="0.7" top="0.75" bottom="0.75" header="0.3" footer="0.3"/>
  <tableParts count="2">
    <tablePart r:id="rId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H6"/>
  <sheetViews>
    <sheetView showGridLines="0" workbookViewId="0">
      <pane ySplit="2" topLeftCell="A3" activePane="bottomLeft" state="frozen"/>
      <selection pane="bottomLeft" sqref="A1:C1"/>
    </sheetView>
  </sheetViews>
  <sheetFormatPr defaultRowHeight="15" x14ac:dyDescent="0.25"/>
  <sheetData>
    <row r="1" spans="1:8" ht="15.75" x14ac:dyDescent="0.25">
      <c r="A1" s="993" t="s">
        <v>523</v>
      </c>
      <c r="B1" s="993"/>
      <c r="C1" s="993"/>
    </row>
    <row r="2" spans="1:8" ht="15.75" x14ac:dyDescent="0.25">
      <c r="A2" s="507" t="s">
        <v>511</v>
      </c>
      <c r="B2" s="449"/>
      <c r="C2" s="449"/>
    </row>
    <row r="4" spans="1:8" ht="15.75" x14ac:dyDescent="0.25">
      <c r="A4" s="994" t="s">
        <v>525</v>
      </c>
      <c r="B4" s="994"/>
      <c r="C4" s="994"/>
      <c r="D4" s="994"/>
      <c r="E4" s="994"/>
      <c r="F4" s="994"/>
      <c r="G4" s="994"/>
      <c r="H4" s="994"/>
    </row>
    <row r="5" spans="1:8" x14ac:dyDescent="0.25">
      <c r="A5" s="571" t="s">
        <v>721</v>
      </c>
    </row>
    <row r="6" spans="1:8" x14ac:dyDescent="0.25">
      <c r="A6" s="571" t="s">
        <v>643</v>
      </c>
    </row>
  </sheetData>
  <sheetProtection algorithmName="SHA-512" hashValue="RdIsf5fMmRYfshNuXYIwtltdK8HAVq4zRkRX3D22ETDCTQ/L+OdZWUhOxdxMBt3gsguqjpSHYPJD9VDN32fRrg==" saltValue="vVCfm480MJZTdWZoS7wdew==" spinCount="100000" sheet="1" scenarios="1" formatCells="0" sort="0" autoFilter="0" pivotTables="0"/>
  <mergeCells count="2">
    <mergeCell ref="A1:C1"/>
    <mergeCell ref="A4:H4"/>
  </mergeCells>
  <hyperlinks>
    <hyperlink ref="A2" location="'Table of Contents'!A1" display="Back to Table of Contents" xr:uid="{00000000-0004-0000-1000-000000000000}"/>
  </hyperlink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tabColor theme="3" tint="0.39997558519241921"/>
  </sheetPr>
  <dimension ref="A1:P33"/>
  <sheetViews>
    <sheetView showGridLines="0" zoomScaleNormal="100" workbookViewId="0">
      <pane ySplit="2" topLeftCell="A3" activePane="bottomLeft" state="frozen"/>
      <selection pane="bottomLeft"/>
    </sheetView>
  </sheetViews>
  <sheetFormatPr defaultRowHeight="15" x14ac:dyDescent="0.25"/>
  <cols>
    <col min="1" max="1" width="27.5703125" bestFit="1" customWidth="1"/>
    <col min="2" max="16" width="7.42578125" bestFit="1" customWidth="1"/>
    <col min="17" max="17" width="9.7109375" bestFit="1" customWidth="1"/>
  </cols>
  <sheetData>
    <row r="1" spans="1:16" ht="15.75" x14ac:dyDescent="0.25">
      <c r="A1" s="522" t="s">
        <v>560</v>
      </c>
    </row>
    <row r="2" spans="1:16" x14ac:dyDescent="0.25">
      <c r="A2" s="507" t="s">
        <v>511</v>
      </c>
    </row>
    <row r="3" spans="1:16" x14ac:dyDescent="0.25">
      <c r="A3" s="25"/>
    </row>
    <row r="4" spans="1:16" ht="15.75" x14ac:dyDescent="0.25">
      <c r="A4" s="1033" t="s">
        <v>561</v>
      </c>
      <c r="B4" s="1033"/>
      <c r="C4" s="1033"/>
      <c r="D4" s="1033"/>
      <c r="E4" s="1033"/>
      <c r="F4" s="1033"/>
      <c r="G4" s="1033"/>
      <c r="H4" s="1033"/>
      <c r="I4" s="1033"/>
      <c r="J4" s="1033"/>
      <c r="K4" s="1033"/>
    </row>
    <row r="5" spans="1:16" ht="15.75" x14ac:dyDescent="0.25">
      <c r="A5" t="s">
        <v>328</v>
      </c>
      <c r="B5" t="s">
        <v>711</v>
      </c>
      <c r="C5" s="508"/>
      <c r="D5" s="508"/>
      <c r="E5" s="508"/>
      <c r="F5" s="508"/>
      <c r="G5" s="508"/>
      <c r="H5" s="508"/>
      <c r="I5" s="508"/>
      <c r="J5" s="508"/>
      <c r="K5" s="508"/>
    </row>
    <row r="6" spans="1:16" ht="15.75" x14ac:dyDescent="0.25">
      <c r="A6" t="s">
        <v>329</v>
      </c>
      <c r="B6" t="s">
        <v>331</v>
      </c>
      <c r="C6" s="508"/>
      <c r="D6" s="508"/>
      <c r="E6" s="508"/>
      <c r="F6" s="508"/>
      <c r="G6" s="508"/>
      <c r="H6" s="508"/>
      <c r="I6" s="508"/>
      <c r="J6" s="508"/>
      <c r="K6" s="508"/>
    </row>
    <row r="7" spans="1:16" ht="15.75" x14ac:dyDescent="0.25">
      <c r="A7" t="s">
        <v>330</v>
      </c>
      <c r="B7" t="s">
        <v>332</v>
      </c>
      <c r="C7" s="508"/>
      <c r="D7" s="508"/>
      <c r="E7" s="508"/>
      <c r="F7" s="508"/>
      <c r="G7" s="508"/>
      <c r="H7" s="508"/>
      <c r="I7" s="508"/>
      <c r="J7" s="508"/>
      <c r="K7" s="508"/>
    </row>
    <row r="9" spans="1:16" ht="15.75" thickBot="1" x14ac:dyDescent="0.3">
      <c r="A9" s="533" t="s">
        <v>624</v>
      </c>
      <c r="B9" s="533" t="s">
        <v>942</v>
      </c>
      <c r="C9" s="533" t="s">
        <v>923</v>
      </c>
      <c r="D9" s="533" t="s">
        <v>309</v>
      </c>
      <c r="E9" s="533" t="s">
        <v>193</v>
      </c>
      <c r="F9" s="533" t="s">
        <v>192</v>
      </c>
      <c r="G9" s="533" t="s">
        <v>191</v>
      </c>
      <c r="H9" s="533" t="s">
        <v>190</v>
      </c>
      <c r="I9" s="533" t="s">
        <v>257</v>
      </c>
      <c r="J9" s="533" t="s">
        <v>240</v>
      </c>
      <c r="K9" s="533" t="s">
        <v>239</v>
      </c>
      <c r="L9" s="533" t="s">
        <v>760</v>
      </c>
      <c r="M9" s="533" t="s">
        <v>917</v>
      </c>
      <c r="N9" s="533" t="s">
        <v>1010</v>
      </c>
      <c r="O9" s="533" t="s">
        <v>1061</v>
      </c>
      <c r="P9" s="533" t="s">
        <v>1108</v>
      </c>
    </row>
    <row r="10" spans="1:16" x14ac:dyDescent="0.25">
      <c r="A10" s="317" t="s">
        <v>134</v>
      </c>
      <c r="B10" s="614">
        <v>972</v>
      </c>
      <c r="C10" s="614">
        <v>1212</v>
      </c>
      <c r="D10" s="614">
        <v>1286</v>
      </c>
      <c r="E10" s="614">
        <v>1454</v>
      </c>
      <c r="F10" s="719">
        <v>0</v>
      </c>
      <c r="G10" s="614">
        <v>1506</v>
      </c>
      <c r="H10" s="614">
        <v>1760</v>
      </c>
      <c r="I10" s="614">
        <v>1719</v>
      </c>
      <c r="J10" s="614">
        <v>1653</v>
      </c>
      <c r="K10" s="614">
        <v>1775</v>
      </c>
      <c r="L10" s="614">
        <v>1486</v>
      </c>
      <c r="M10" s="614">
        <v>1341</v>
      </c>
      <c r="N10" s="614">
        <v>1409</v>
      </c>
      <c r="O10" s="614">
        <v>1606</v>
      </c>
      <c r="P10" s="376">
        <v>1610</v>
      </c>
    </row>
    <row r="11" spans="1:16" x14ac:dyDescent="0.25">
      <c r="A11" s="317" t="s">
        <v>144</v>
      </c>
      <c r="B11" s="614">
        <v>282</v>
      </c>
      <c r="C11" s="614">
        <v>304</v>
      </c>
      <c r="D11" s="614">
        <v>288</v>
      </c>
      <c r="E11" s="614">
        <v>408</v>
      </c>
      <c r="F11" s="719">
        <v>0</v>
      </c>
      <c r="G11" s="614">
        <v>412</v>
      </c>
      <c r="H11" s="614">
        <v>485</v>
      </c>
      <c r="I11" s="614">
        <v>329</v>
      </c>
      <c r="J11" s="614">
        <v>228</v>
      </c>
      <c r="K11" s="614">
        <v>267</v>
      </c>
      <c r="L11" s="614">
        <v>241</v>
      </c>
      <c r="M11" s="614">
        <v>86</v>
      </c>
      <c r="N11" s="614">
        <v>166</v>
      </c>
      <c r="O11" s="614">
        <v>172</v>
      </c>
      <c r="P11" s="376">
        <v>222</v>
      </c>
    </row>
    <row r="12" spans="1:16" x14ac:dyDescent="0.25">
      <c r="A12" s="317" t="s">
        <v>138</v>
      </c>
      <c r="B12" s="614">
        <v>48</v>
      </c>
      <c r="C12" s="614">
        <v>49</v>
      </c>
      <c r="D12" s="614">
        <v>49</v>
      </c>
      <c r="E12" s="614">
        <v>62</v>
      </c>
      <c r="F12" s="719">
        <v>0</v>
      </c>
      <c r="G12" s="614">
        <v>28</v>
      </c>
      <c r="H12" s="614">
        <v>36</v>
      </c>
      <c r="I12" s="614">
        <v>21</v>
      </c>
      <c r="J12" s="614">
        <v>37</v>
      </c>
      <c r="K12" s="614">
        <v>31</v>
      </c>
      <c r="L12" s="614">
        <v>25</v>
      </c>
      <c r="M12" s="614">
        <v>10</v>
      </c>
      <c r="N12" s="614">
        <v>10</v>
      </c>
      <c r="O12" s="614">
        <v>25</v>
      </c>
      <c r="P12" s="376">
        <v>11</v>
      </c>
    </row>
    <row r="13" spans="1:16" x14ac:dyDescent="0.25">
      <c r="A13" s="317" t="s">
        <v>150</v>
      </c>
      <c r="B13" s="614">
        <v>0</v>
      </c>
      <c r="C13" s="614">
        <v>0</v>
      </c>
      <c r="D13" s="614">
        <v>0</v>
      </c>
      <c r="E13" s="614">
        <v>0</v>
      </c>
      <c r="F13" s="719">
        <v>0</v>
      </c>
      <c r="G13" s="614">
        <v>1947</v>
      </c>
      <c r="H13" s="614">
        <v>3062</v>
      </c>
      <c r="I13" s="614">
        <v>2650</v>
      </c>
      <c r="J13" s="614">
        <v>2077</v>
      </c>
      <c r="K13" s="614">
        <v>1862</v>
      </c>
      <c r="L13" s="614">
        <v>1951</v>
      </c>
      <c r="M13" s="614">
        <v>815</v>
      </c>
      <c r="N13" s="614">
        <v>1984</v>
      </c>
      <c r="O13" s="614">
        <v>1958</v>
      </c>
      <c r="P13" s="376">
        <v>1827</v>
      </c>
    </row>
    <row r="14" spans="1:16" x14ac:dyDescent="0.25">
      <c r="A14" s="317" t="s">
        <v>133</v>
      </c>
      <c r="B14" s="614">
        <v>136</v>
      </c>
      <c r="C14" s="614">
        <v>236</v>
      </c>
      <c r="D14" s="614">
        <v>197</v>
      </c>
      <c r="E14" s="614">
        <v>217</v>
      </c>
      <c r="F14" s="719">
        <v>0</v>
      </c>
      <c r="G14" s="614">
        <v>334</v>
      </c>
      <c r="H14" s="614">
        <v>451</v>
      </c>
      <c r="I14" s="614">
        <v>396</v>
      </c>
      <c r="J14" s="614">
        <v>367</v>
      </c>
      <c r="K14" s="614">
        <v>471</v>
      </c>
      <c r="L14" s="614">
        <v>298</v>
      </c>
      <c r="M14" s="614">
        <v>218</v>
      </c>
      <c r="N14" s="614">
        <v>238</v>
      </c>
      <c r="O14" s="614">
        <v>288</v>
      </c>
      <c r="P14" s="376">
        <v>287</v>
      </c>
    </row>
    <row r="15" spans="1:16" x14ac:dyDescent="0.25">
      <c r="A15" s="317" t="s">
        <v>135</v>
      </c>
      <c r="B15" s="614">
        <v>137</v>
      </c>
      <c r="C15" s="614">
        <v>126</v>
      </c>
      <c r="D15" s="614">
        <v>138</v>
      </c>
      <c r="E15" s="614">
        <v>296</v>
      </c>
      <c r="F15" s="719">
        <v>0</v>
      </c>
      <c r="G15" s="614">
        <v>138</v>
      </c>
      <c r="H15" s="614">
        <v>119</v>
      </c>
      <c r="I15" s="614">
        <v>128</v>
      </c>
      <c r="J15" s="614">
        <v>104</v>
      </c>
      <c r="K15" s="614">
        <v>88</v>
      </c>
      <c r="L15" s="614">
        <v>71</v>
      </c>
      <c r="M15" s="614">
        <v>39</v>
      </c>
      <c r="N15" s="614">
        <v>24</v>
      </c>
      <c r="O15" s="614">
        <v>60</v>
      </c>
      <c r="P15" s="376">
        <v>51</v>
      </c>
    </row>
    <row r="16" spans="1:16" x14ac:dyDescent="0.25">
      <c r="A16" s="317" t="s">
        <v>136</v>
      </c>
      <c r="B16" s="614">
        <v>1117</v>
      </c>
      <c r="C16" s="614">
        <v>1077</v>
      </c>
      <c r="D16" s="614">
        <v>1081</v>
      </c>
      <c r="E16" s="614">
        <v>1761</v>
      </c>
      <c r="F16" s="719">
        <v>0</v>
      </c>
      <c r="G16" s="614">
        <v>1109</v>
      </c>
      <c r="H16" s="614">
        <v>1263</v>
      </c>
      <c r="I16" s="614">
        <v>1138</v>
      </c>
      <c r="J16" s="614">
        <v>1167</v>
      </c>
      <c r="K16" s="614">
        <v>1030</v>
      </c>
      <c r="L16" s="614">
        <v>1081</v>
      </c>
      <c r="M16" s="614">
        <v>238</v>
      </c>
      <c r="N16" s="614">
        <v>656</v>
      </c>
      <c r="O16" s="614">
        <v>898</v>
      </c>
      <c r="P16" s="376">
        <v>1110</v>
      </c>
    </row>
    <row r="17" spans="1:16" x14ac:dyDescent="0.25">
      <c r="A17" s="317" t="s">
        <v>140</v>
      </c>
      <c r="B17" s="614">
        <v>794</v>
      </c>
      <c r="C17" s="614">
        <v>1016</v>
      </c>
      <c r="D17" s="614">
        <v>1014</v>
      </c>
      <c r="E17" s="614">
        <v>670</v>
      </c>
      <c r="F17" s="719">
        <v>0</v>
      </c>
      <c r="G17" s="614">
        <v>596</v>
      </c>
      <c r="H17" s="614">
        <v>494</v>
      </c>
      <c r="I17" s="614">
        <v>482</v>
      </c>
      <c r="J17" s="614">
        <v>332</v>
      </c>
      <c r="K17" s="614">
        <v>374</v>
      </c>
      <c r="L17" s="614">
        <v>289</v>
      </c>
      <c r="M17" s="614">
        <v>73</v>
      </c>
      <c r="N17" s="614">
        <v>132</v>
      </c>
      <c r="O17" s="614">
        <v>195</v>
      </c>
      <c r="P17" s="376">
        <v>205</v>
      </c>
    </row>
    <row r="18" spans="1:16" x14ac:dyDescent="0.25">
      <c r="A18" s="317" t="s">
        <v>145</v>
      </c>
      <c r="B18" s="614">
        <v>311</v>
      </c>
      <c r="C18" s="614">
        <v>405</v>
      </c>
      <c r="D18" s="614">
        <v>483</v>
      </c>
      <c r="E18" s="614">
        <v>389</v>
      </c>
      <c r="F18" s="719">
        <v>0</v>
      </c>
      <c r="G18" s="614">
        <v>344</v>
      </c>
      <c r="H18" s="614">
        <v>379</v>
      </c>
      <c r="I18" s="614">
        <v>275</v>
      </c>
      <c r="J18" s="614">
        <v>220</v>
      </c>
      <c r="K18" s="614">
        <v>267</v>
      </c>
      <c r="L18" s="614">
        <v>285</v>
      </c>
      <c r="M18" s="614">
        <v>63</v>
      </c>
      <c r="N18" s="614">
        <v>110</v>
      </c>
      <c r="O18" s="614">
        <v>110</v>
      </c>
      <c r="P18" s="376">
        <v>249</v>
      </c>
    </row>
    <row r="19" spans="1:16" x14ac:dyDescent="0.25">
      <c r="A19" s="317" t="s">
        <v>143</v>
      </c>
      <c r="B19" s="614">
        <v>287</v>
      </c>
      <c r="C19" s="614">
        <v>328</v>
      </c>
      <c r="D19" s="614">
        <v>260</v>
      </c>
      <c r="E19" s="614">
        <v>399</v>
      </c>
      <c r="F19" s="719">
        <v>0</v>
      </c>
      <c r="G19" s="614">
        <v>356</v>
      </c>
      <c r="H19" s="614">
        <v>320</v>
      </c>
      <c r="I19" s="614">
        <v>235</v>
      </c>
      <c r="J19" s="614">
        <v>240</v>
      </c>
      <c r="K19" s="614">
        <v>283</v>
      </c>
      <c r="L19" s="614">
        <v>279</v>
      </c>
      <c r="M19" s="614">
        <v>66</v>
      </c>
      <c r="N19" s="614">
        <v>176</v>
      </c>
      <c r="O19" s="614">
        <v>168</v>
      </c>
      <c r="P19" s="376">
        <v>172</v>
      </c>
    </row>
    <row r="20" spans="1:16" x14ac:dyDescent="0.25">
      <c r="A20" s="317" t="s">
        <v>137</v>
      </c>
      <c r="B20" s="614">
        <v>284</v>
      </c>
      <c r="C20" s="614">
        <v>395</v>
      </c>
      <c r="D20" s="614">
        <v>430</v>
      </c>
      <c r="E20" s="614">
        <v>415</v>
      </c>
      <c r="F20" s="719">
        <v>0</v>
      </c>
      <c r="G20" s="614">
        <v>251</v>
      </c>
      <c r="H20" s="614">
        <v>351</v>
      </c>
      <c r="I20" s="614">
        <v>371</v>
      </c>
      <c r="J20" s="614">
        <v>408</v>
      </c>
      <c r="K20" s="614">
        <v>323</v>
      </c>
      <c r="L20" s="614">
        <v>470</v>
      </c>
      <c r="M20" s="614">
        <v>119</v>
      </c>
      <c r="N20" s="614">
        <v>290</v>
      </c>
      <c r="O20" s="614">
        <v>547</v>
      </c>
      <c r="P20" s="376">
        <v>1256</v>
      </c>
    </row>
    <row r="21" spans="1:16" x14ac:dyDescent="0.25">
      <c r="A21" s="317" t="s">
        <v>943</v>
      </c>
      <c r="B21" s="614">
        <v>154</v>
      </c>
      <c r="C21" s="614">
        <v>176</v>
      </c>
      <c r="D21" s="614">
        <v>342</v>
      </c>
      <c r="E21" s="614">
        <v>340</v>
      </c>
      <c r="F21" s="719">
        <v>0</v>
      </c>
      <c r="G21" s="614">
        <v>174</v>
      </c>
      <c r="H21" s="614">
        <v>198</v>
      </c>
      <c r="I21" s="614">
        <v>243</v>
      </c>
      <c r="J21" s="614">
        <v>113</v>
      </c>
      <c r="K21" s="614">
        <v>189</v>
      </c>
      <c r="L21" s="614">
        <v>117</v>
      </c>
      <c r="M21" s="614">
        <v>50</v>
      </c>
      <c r="N21" s="614">
        <v>100</v>
      </c>
      <c r="O21" s="614">
        <v>104</v>
      </c>
      <c r="P21" s="376">
        <v>169</v>
      </c>
    </row>
    <row r="22" spans="1:16" x14ac:dyDescent="0.25">
      <c r="A22" s="317" t="s">
        <v>139</v>
      </c>
      <c r="B22" s="614">
        <v>68</v>
      </c>
      <c r="C22" s="614">
        <v>74</v>
      </c>
      <c r="D22" s="614">
        <v>77</v>
      </c>
      <c r="E22" s="614">
        <v>58</v>
      </c>
      <c r="F22" s="719">
        <v>0</v>
      </c>
      <c r="G22" s="614">
        <v>68</v>
      </c>
      <c r="H22" s="614">
        <v>49</v>
      </c>
      <c r="I22" s="614">
        <v>66</v>
      </c>
      <c r="J22" s="614">
        <v>59</v>
      </c>
      <c r="K22" s="614">
        <v>60</v>
      </c>
      <c r="L22" s="614">
        <v>39</v>
      </c>
      <c r="M22" s="614">
        <v>6</v>
      </c>
      <c r="N22" s="614">
        <v>21</v>
      </c>
      <c r="O22" s="614">
        <v>20</v>
      </c>
      <c r="P22" s="376">
        <v>25</v>
      </c>
    </row>
    <row r="23" spans="1:16" x14ac:dyDescent="0.25">
      <c r="A23" s="317" t="s">
        <v>141</v>
      </c>
      <c r="B23" s="614">
        <v>433</v>
      </c>
      <c r="C23" s="614">
        <v>264</v>
      </c>
      <c r="D23" s="614">
        <v>291</v>
      </c>
      <c r="E23" s="614">
        <v>231</v>
      </c>
      <c r="F23" s="719">
        <v>0</v>
      </c>
      <c r="G23" s="614">
        <v>260</v>
      </c>
      <c r="H23" s="614">
        <v>228</v>
      </c>
      <c r="I23" s="614">
        <v>363</v>
      </c>
      <c r="J23" s="614">
        <v>268</v>
      </c>
      <c r="K23" s="614">
        <v>470</v>
      </c>
      <c r="L23" s="614">
        <v>271</v>
      </c>
      <c r="M23" s="614">
        <v>69</v>
      </c>
      <c r="N23" s="614">
        <v>179</v>
      </c>
      <c r="O23" s="614">
        <v>219</v>
      </c>
      <c r="P23" s="376">
        <v>159</v>
      </c>
    </row>
    <row r="24" spans="1:16" x14ac:dyDescent="0.25">
      <c r="A24" s="317" t="s">
        <v>142</v>
      </c>
      <c r="B24" s="614">
        <v>1038</v>
      </c>
      <c r="C24" s="614">
        <v>1082</v>
      </c>
      <c r="D24" s="614">
        <v>1619</v>
      </c>
      <c r="E24" s="614">
        <v>1294</v>
      </c>
      <c r="F24" s="719">
        <v>0</v>
      </c>
      <c r="G24" s="614">
        <v>683</v>
      </c>
      <c r="H24" s="614">
        <v>639</v>
      </c>
      <c r="I24" s="614">
        <v>523</v>
      </c>
      <c r="J24" s="614">
        <v>362</v>
      </c>
      <c r="K24" s="614">
        <v>382</v>
      </c>
      <c r="L24" s="614">
        <v>358</v>
      </c>
      <c r="M24" s="614">
        <v>126</v>
      </c>
      <c r="N24" s="614">
        <v>193</v>
      </c>
      <c r="O24" s="614">
        <v>342</v>
      </c>
      <c r="P24" s="376">
        <v>301</v>
      </c>
    </row>
    <row r="25" spans="1:16" x14ac:dyDescent="0.25">
      <c r="F25" s="608"/>
    </row>
    <row r="26" spans="1:16" ht="18.600000000000001" customHeight="1" thickBot="1" x14ac:dyDescent="0.3">
      <c r="A26" s="238" t="s">
        <v>147</v>
      </c>
      <c r="B26" s="239">
        <f t="shared" ref="B26:O26" si="0">SUM(B10:B24)-B13</f>
        <v>6061</v>
      </c>
      <c r="C26" s="239">
        <f t="shared" si="0"/>
        <v>6744</v>
      </c>
      <c r="D26" s="239">
        <f t="shared" si="0"/>
        <v>7555</v>
      </c>
      <c r="E26" s="239">
        <f t="shared" si="0"/>
        <v>7994</v>
      </c>
      <c r="F26" s="611">
        <f t="shared" si="0"/>
        <v>0</v>
      </c>
      <c r="G26" s="239">
        <f t="shared" si="0"/>
        <v>6259</v>
      </c>
      <c r="H26" s="239">
        <f t="shared" si="0"/>
        <v>6772</v>
      </c>
      <c r="I26" s="239">
        <f t="shared" si="0"/>
        <v>6289</v>
      </c>
      <c r="J26" s="239">
        <f t="shared" si="0"/>
        <v>5558</v>
      </c>
      <c r="K26" s="239">
        <f t="shared" si="0"/>
        <v>6010</v>
      </c>
      <c r="L26" s="239">
        <f t="shared" si="0"/>
        <v>5310</v>
      </c>
      <c r="M26" s="239">
        <f t="shared" si="0"/>
        <v>2504</v>
      </c>
      <c r="N26" s="239">
        <f t="shared" si="0"/>
        <v>3704</v>
      </c>
      <c r="O26" s="239">
        <f t="shared" si="0"/>
        <v>4754</v>
      </c>
      <c r="P26" s="239">
        <f>SUM(P10:P24)-P13</f>
        <v>5827</v>
      </c>
    </row>
    <row r="27" spans="1:16" x14ac:dyDescent="0.25">
      <c r="A27" s="240"/>
      <c r="B27" s="140"/>
      <c r="C27" s="140"/>
      <c r="D27" s="140"/>
      <c r="E27" s="147"/>
      <c r="F27" s="718"/>
      <c r="G27" s="241"/>
      <c r="H27" s="241"/>
    </row>
    <row r="28" spans="1:16" ht="19.5" customHeight="1" thickBot="1" x14ac:dyDescent="0.3">
      <c r="A28" s="238" t="s">
        <v>148</v>
      </c>
      <c r="B28" s="239"/>
      <c r="C28" s="239"/>
      <c r="D28" s="239"/>
      <c r="E28" s="239"/>
      <c r="F28" s="374"/>
      <c r="G28" s="239">
        <f>SUM(G10:G24)</f>
        <v>8206</v>
      </c>
      <c r="H28" s="239">
        <f t="shared" ref="H28:M28" si="1">SUM(H10:H24)</f>
        <v>9834</v>
      </c>
      <c r="I28" s="239">
        <f t="shared" si="1"/>
        <v>8939</v>
      </c>
      <c r="J28" s="239">
        <f t="shared" si="1"/>
        <v>7635</v>
      </c>
      <c r="K28" s="239">
        <f t="shared" si="1"/>
        <v>7872</v>
      </c>
      <c r="L28" s="239">
        <f t="shared" si="1"/>
        <v>7261</v>
      </c>
      <c r="M28" s="239">
        <f t="shared" si="1"/>
        <v>3319</v>
      </c>
      <c r="N28" s="239">
        <f>SUM(N10:N24)</f>
        <v>5688</v>
      </c>
      <c r="O28" s="239">
        <f>SUM(O10:O24)</f>
        <v>6712</v>
      </c>
      <c r="P28" s="239">
        <f>SUM(P10:P24)</f>
        <v>7654</v>
      </c>
    </row>
    <row r="29" spans="1:16" x14ac:dyDescent="0.25">
      <c r="A29" s="25"/>
      <c r="B29" s="25"/>
      <c r="C29" s="25"/>
      <c r="D29" s="25"/>
      <c r="E29" s="25"/>
      <c r="F29" s="25"/>
      <c r="G29" s="25"/>
      <c r="H29" s="25"/>
    </row>
    <row r="30" spans="1:16" x14ac:dyDescent="0.25">
      <c r="A30" s="339" t="s">
        <v>8</v>
      </c>
      <c r="B30" s="344"/>
      <c r="C30" s="344"/>
      <c r="D30" s="344"/>
      <c r="E30" s="344"/>
      <c r="F30" s="344"/>
      <c r="G30" s="344"/>
      <c r="H30" s="344"/>
    </row>
    <row r="31" spans="1:16" x14ac:dyDescent="0.25">
      <c r="A31" s="344" t="s">
        <v>204</v>
      </c>
      <c r="B31" s="344"/>
      <c r="C31" s="344"/>
      <c r="D31" s="344"/>
      <c r="E31" s="344"/>
      <c r="F31" s="344"/>
      <c r="G31" s="344"/>
      <c r="H31" s="344"/>
    </row>
    <row r="32" spans="1:16" ht="30" customHeight="1" x14ac:dyDescent="0.25">
      <c r="A32" s="996" t="s">
        <v>1265</v>
      </c>
      <c r="B32" s="996"/>
      <c r="C32" s="996"/>
      <c r="D32" s="996"/>
      <c r="E32" s="996"/>
      <c r="F32" s="996"/>
      <c r="G32" s="996"/>
      <c r="H32" s="996"/>
      <c r="I32" s="996"/>
      <c r="J32" s="996"/>
      <c r="K32" s="996"/>
      <c r="L32" s="996"/>
    </row>
    <row r="33" spans="1:10" ht="45.95" customHeight="1" x14ac:dyDescent="0.25">
      <c r="A33" s="992" t="s">
        <v>1266</v>
      </c>
      <c r="B33" s="992"/>
      <c r="C33" s="992"/>
      <c r="D33" s="992"/>
      <c r="E33" s="992"/>
      <c r="F33" s="992"/>
      <c r="G33" s="992"/>
      <c r="H33" s="992"/>
      <c r="I33" s="992"/>
      <c r="J33" s="992"/>
    </row>
  </sheetData>
  <sheetProtection algorithmName="SHA-512" hashValue="c+a5XGyqAZuE1CtLArKdaqb7ZjcfSN72LKH8z6r1wNKqD6hSqo9xgZvvtDVVblojNYokPTagpiER1hqbcka6og==" saltValue="d8xNmKgghhK1oj9NaU7A4g==" spinCount="100000" sheet="1" scenarios="1" formatCells="0" sort="0" autoFilter="0" pivotTables="0"/>
  <mergeCells count="3">
    <mergeCell ref="A33:J33"/>
    <mergeCell ref="A4:K4"/>
    <mergeCell ref="A32:L32"/>
  </mergeCells>
  <phoneticPr fontId="53" type="noConversion"/>
  <hyperlinks>
    <hyperlink ref="A2" location="'Table of Contents'!A1" display="Back to Table of Contents" xr:uid="{00000000-0004-0000-A100-000000000000}"/>
  </hyperlinks>
  <pageMargins left="0.7" right="0.7" top="0.75" bottom="0.75" header="0.3" footer="0.3"/>
  <pageSetup paperSize="9" orientation="portrait" r:id="rId1"/>
  <tableParts count="1">
    <tablePart r:id="rId2"/>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33">
    <tabColor theme="3" tint="0.39997558519241921"/>
    <pageSetUpPr fitToPage="1"/>
  </sheetPr>
  <dimension ref="A1:S45"/>
  <sheetViews>
    <sheetView showGridLines="0" zoomScaleNormal="100" workbookViewId="0">
      <pane ySplit="2" topLeftCell="A3" activePane="bottomLeft" state="frozen"/>
      <selection pane="bottomLeft"/>
    </sheetView>
  </sheetViews>
  <sheetFormatPr defaultRowHeight="15" x14ac:dyDescent="0.25"/>
  <cols>
    <col min="1" max="1" width="17" customWidth="1"/>
    <col min="2" max="2" width="21.28515625" customWidth="1"/>
    <col min="3" max="3" width="9.85546875" customWidth="1"/>
    <col min="4" max="4" width="7.5703125" bestFit="1" customWidth="1"/>
    <col min="5" max="5" width="8" customWidth="1"/>
    <col min="6" max="6" width="7.28515625" customWidth="1"/>
    <col min="7" max="7" width="8.5703125" customWidth="1"/>
    <col min="8" max="8" width="10.42578125" customWidth="1"/>
    <col min="9" max="9" width="11.28515625" customWidth="1"/>
    <col min="10" max="10" width="9.42578125" customWidth="1"/>
    <col min="11" max="11" width="11" customWidth="1"/>
    <col min="12" max="12" width="8.28515625" customWidth="1"/>
    <col min="13" max="13" width="7" customWidth="1"/>
    <col min="14" max="14" width="12.7109375" customWidth="1"/>
    <col min="15" max="15" width="12.5703125" customWidth="1"/>
    <col min="16" max="16" width="7.140625" bestFit="1" customWidth="1"/>
    <col min="17" max="17" width="11.28515625" bestFit="1" customWidth="1"/>
    <col min="18" max="18" width="8.85546875" customWidth="1"/>
    <col min="19" max="19" width="15.42578125" bestFit="1" customWidth="1"/>
  </cols>
  <sheetData>
    <row r="1" spans="1:19" ht="32.450000000000003" customHeight="1" x14ac:dyDescent="0.25">
      <c r="A1" s="522" t="s">
        <v>560</v>
      </c>
    </row>
    <row r="2" spans="1:19" x14ac:dyDescent="0.25">
      <c r="A2" s="507" t="s">
        <v>511</v>
      </c>
    </row>
    <row r="3" spans="1:19" x14ac:dyDescent="0.25">
      <c r="A3" s="25"/>
    </row>
    <row r="4" spans="1:19" ht="15.75" x14ac:dyDescent="0.25">
      <c r="A4" s="1033" t="s">
        <v>597</v>
      </c>
      <c r="B4" s="1033"/>
      <c r="C4" s="1033"/>
      <c r="D4" s="1033"/>
      <c r="E4" s="1033"/>
      <c r="F4" s="1033"/>
      <c r="G4" s="1033"/>
      <c r="H4" s="1033"/>
      <c r="I4" s="1033"/>
      <c r="J4" s="1033"/>
      <c r="K4" s="1033"/>
    </row>
    <row r="5" spans="1:19" ht="15.75" x14ac:dyDescent="0.25">
      <c r="A5" t="s">
        <v>328</v>
      </c>
      <c r="B5" t="s">
        <v>712</v>
      </c>
      <c r="C5" s="508"/>
      <c r="D5" s="508"/>
      <c r="E5" s="508"/>
      <c r="F5" s="508"/>
      <c r="G5" s="508"/>
      <c r="H5" s="508"/>
      <c r="I5" s="508"/>
      <c r="J5" s="508"/>
      <c r="K5" s="508"/>
    </row>
    <row r="6" spans="1:19" ht="15.75" x14ac:dyDescent="0.25">
      <c r="A6" t="s">
        <v>329</v>
      </c>
      <c r="B6" t="s">
        <v>331</v>
      </c>
      <c r="C6" s="508"/>
      <c r="D6" s="508"/>
      <c r="E6" s="508"/>
      <c r="F6" s="508"/>
      <c r="G6" s="508"/>
      <c r="H6" s="508"/>
      <c r="I6" s="508"/>
      <c r="J6" s="508"/>
      <c r="K6" s="508"/>
    </row>
    <row r="7" spans="1:19" ht="15.75" x14ac:dyDescent="0.25">
      <c r="A7" t="s">
        <v>330</v>
      </c>
      <c r="B7" t="s">
        <v>332</v>
      </c>
      <c r="C7" s="508"/>
      <c r="D7" s="508"/>
      <c r="E7" s="508"/>
      <c r="F7" s="508"/>
      <c r="G7" s="508"/>
      <c r="H7" s="508"/>
      <c r="I7" s="508"/>
      <c r="J7" s="508"/>
      <c r="K7" s="508"/>
    </row>
    <row r="8" spans="1:19" ht="18.75" x14ac:dyDescent="0.3">
      <c r="F8" s="583"/>
      <c r="G8" s="604"/>
    </row>
    <row r="9" spans="1:19" ht="60" x14ac:dyDescent="0.25">
      <c r="A9" s="242" t="s">
        <v>458</v>
      </c>
      <c r="B9" s="242" t="s">
        <v>116</v>
      </c>
      <c r="C9" s="243" t="s">
        <v>149</v>
      </c>
      <c r="D9" s="243" t="s">
        <v>134</v>
      </c>
      <c r="E9" s="243" t="s">
        <v>150</v>
      </c>
      <c r="F9" s="243" t="s">
        <v>135</v>
      </c>
      <c r="G9" s="243" t="s">
        <v>136</v>
      </c>
      <c r="H9" s="243" t="s">
        <v>151</v>
      </c>
      <c r="I9" s="243" t="s">
        <v>138</v>
      </c>
      <c r="J9" s="243" t="s">
        <v>139</v>
      </c>
      <c r="K9" s="243" t="s">
        <v>140</v>
      </c>
      <c r="L9" s="243" t="s">
        <v>141</v>
      </c>
      <c r="M9" s="243" t="s">
        <v>142</v>
      </c>
      <c r="N9" s="243" t="s">
        <v>562</v>
      </c>
      <c r="O9" s="243" t="s">
        <v>144</v>
      </c>
      <c r="P9" s="243" t="s">
        <v>145</v>
      </c>
      <c r="Q9" s="243" t="s">
        <v>146</v>
      </c>
      <c r="R9" s="409" t="s">
        <v>152</v>
      </c>
      <c r="S9" s="243" t="s">
        <v>147</v>
      </c>
    </row>
    <row r="10" spans="1:19" x14ac:dyDescent="0.25">
      <c r="A10" s="396" t="s">
        <v>285</v>
      </c>
      <c r="B10" s="548" t="s">
        <v>31</v>
      </c>
      <c r="C10" s="50">
        <f>GETPIVOTDATA("Sum of Hospital / Prison",auditlapivot!$A$3,"Local Authority","Aberdeen City")</f>
        <v>14</v>
      </c>
      <c r="D10" s="50">
        <f>GETPIVOTDATA("Sum of Care home",auditlapivot!$A$3,"Local Authority","Aberdeen City")</f>
        <v>73</v>
      </c>
      <c r="E10" s="50">
        <f>GETPIVOTDATA("Sum of HMO",auditlapivot!$A$3,"Local Authority","Aberdeen City")</f>
        <v>132</v>
      </c>
      <c r="F10" s="50">
        <f>GETPIVOTDATA("Sum of Hostel",auditlapivot!$A$3,"Local Authority","Aberdeen City")</f>
        <v>1</v>
      </c>
      <c r="G10" s="50">
        <f>GETPIVOTDATA("Sum of Hotel",auditlapivot!$A$3,"Local Authority","Aberdeen City")</f>
        <v>68</v>
      </c>
      <c r="H10" s="50">
        <f>GETPIVOTDATA("Sum of Other Sleeping Accomm",auditlapivot!$A$3,"Local Authority","Aberdeen City")</f>
        <v>22</v>
      </c>
      <c r="I10" s="50">
        <f>GETPIVOTDATA("Sum of Further Education",auditlapivot!$A$3,"Local Authority","Aberdeen City")</f>
        <v>1</v>
      </c>
      <c r="J10" s="50">
        <f>GETPIVOTDATA("Sum of Public Building",auditlapivot!$A$3,"Local Authority","Aberdeen City")</f>
        <v>0</v>
      </c>
      <c r="K10" s="50">
        <f>GETPIVOTDATA("Sum of Licensed Premises",auditlapivot!$A$3,"Local Authority","Aberdeen City")</f>
        <v>5</v>
      </c>
      <c r="L10" s="50">
        <f>GETPIVOTDATA("Sum of School",auditlapivot!$A$3,"Local Authority","Aberdeen City")</f>
        <v>3</v>
      </c>
      <c r="M10" s="50">
        <f>GETPIVOTDATA("Sum of Shop",auditlapivot!$A$3,"Local Authority","Aberdeen City")</f>
        <v>2</v>
      </c>
      <c r="N10" s="50">
        <f>GETPIVOTDATA("Sum of Other Premises Open to Public",auditlapivot!$A$3,"Local Authority","Aberdeen City")</f>
        <v>6</v>
      </c>
      <c r="O10" s="50">
        <f>GETPIVOTDATA("Sum of Factory or Warehouse",auditlapivot!$A$3,"Local Authority","Aberdeen City")</f>
        <v>1</v>
      </c>
      <c r="P10" s="50">
        <f>GETPIVOTDATA("Sum of Office",auditlapivot!$A$3,"Local Authority","Aberdeen City")</f>
        <v>10</v>
      </c>
      <c r="Q10" s="50">
        <f>GETPIVOTDATA("Sum of Other Workplace",auditlapivot!$A$3,"Local Authority","Aberdeen City")</f>
        <v>10</v>
      </c>
      <c r="R10" s="785">
        <f>SUM(C10:Q10)</f>
        <v>348</v>
      </c>
      <c r="S10" s="69">
        <f>R10-E10</f>
        <v>216</v>
      </c>
    </row>
    <row r="11" spans="1:19" x14ac:dyDescent="0.25">
      <c r="A11" s="396" t="s">
        <v>286</v>
      </c>
      <c r="B11" s="548" t="s">
        <v>32</v>
      </c>
      <c r="C11" s="50">
        <f>GETPIVOTDATA("Sum of Hospital / Prison",auditlapivot!$A$3,"Local Authority","Aberdeenshire")</f>
        <v>8</v>
      </c>
      <c r="D11" s="50">
        <f>GETPIVOTDATA("Sum of Care home",auditlapivot!$A$3,"Local Authority","Aberdeenshire")</f>
        <v>67</v>
      </c>
      <c r="E11" s="50">
        <f>GETPIVOTDATA("Sum of HMO",auditlapivot!$A$3,"Local Authority","Aberdeenshire")</f>
        <v>16</v>
      </c>
      <c r="F11" s="50">
        <f>GETPIVOTDATA("Sum of Hostel",auditlapivot!$A$3,"Local Authority","Aberdeenshire")</f>
        <v>2</v>
      </c>
      <c r="G11" s="50">
        <f>GETPIVOTDATA("Sum of Hotel",auditlapivot!$A$3,"Local Authority","Aberdeenshire")</f>
        <v>28</v>
      </c>
      <c r="H11" s="50">
        <f>GETPIVOTDATA("Sum of Other Sleeping Accomm",auditlapivot!$A$3,"Local Authority","Aberdeenshire")</f>
        <v>147</v>
      </c>
      <c r="I11" s="50">
        <f>GETPIVOTDATA("Sum of Further Education",auditlapivot!$A$3,"Local Authority","Aberdeenshire")</f>
        <v>0</v>
      </c>
      <c r="J11" s="50">
        <f>GETPIVOTDATA("Sum of Public Building",auditlapivot!$A$3,"Local Authority","Aberdeenshire")</f>
        <v>5</v>
      </c>
      <c r="K11" s="50">
        <f>GETPIVOTDATA("Sum of Licensed Premises",auditlapivot!$A$3,"Local Authority","Aberdeenshire")</f>
        <v>3</v>
      </c>
      <c r="L11" s="50">
        <f>GETPIVOTDATA("Sum of School",auditlapivot!$A$3,"Local Authority","Aberdeenshire")</f>
        <v>7</v>
      </c>
      <c r="M11" s="50">
        <f>GETPIVOTDATA("Sum of Shop",auditlapivot!$A$3,"Local Authority","Aberdeenshire")</f>
        <v>11</v>
      </c>
      <c r="N11" s="50">
        <f>GETPIVOTDATA("Sum of Other Premises Open to Public",auditlapivot!$A$3,"Local Authority","Aberdeenshire")</f>
        <v>6</v>
      </c>
      <c r="O11" s="50">
        <f>GETPIVOTDATA("Sum of Factory or Warehouse",auditlapivot!$A$3,"Local Authority","Aberdeenshire")</f>
        <v>19</v>
      </c>
      <c r="P11" s="50">
        <f>GETPIVOTDATA("Sum of Office",auditlapivot!$A$3,"Local Authority","Aberdeenshire")</f>
        <v>4</v>
      </c>
      <c r="Q11" s="50">
        <f>GETPIVOTDATA("Sum of Other Workplace",auditlapivot!$A$3,"Local Authority","Aberdeenshire")</f>
        <v>10</v>
      </c>
      <c r="R11" s="785">
        <f>SUM(C11:Q11)</f>
        <v>333</v>
      </c>
      <c r="S11" s="69">
        <f t="shared" ref="S11:S41" si="0">R11-E11</f>
        <v>317</v>
      </c>
    </row>
    <row r="12" spans="1:19" x14ac:dyDescent="0.25">
      <c r="A12" s="396" t="s">
        <v>292</v>
      </c>
      <c r="B12" s="548" t="s">
        <v>33</v>
      </c>
      <c r="C12" s="50">
        <f>GETPIVOTDATA("Sum of Hospital / Prison",auditlapivot!$A$3,"Local Authority","Angus")</f>
        <v>7</v>
      </c>
      <c r="D12" s="50">
        <f>GETPIVOTDATA("Sum of Care home",auditlapivot!$A$3,"Local Authority","Angus")</f>
        <v>38</v>
      </c>
      <c r="E12" s="50">
        <f>GETPIVOTDATA("Sum of HMO",auditlapivot!$A$3,"Local Authority","Angus")</f>
        <v>6</v>
      </c>
      <c r="F12" s="50">
        <f>GETPIVOTDATA("Sum of Hostel",auditlapivot!$A$3,"Local Authority","Angus")</f>
        <v>0</v>
      </c>
      <c r="G12" s="50">
        <f>GETPIVOTDATA("Sum of Hotel",auditlapivot!$A$3,"Local Authority","Angus")</f>
        <v>9</v>
      </c>
      <c r="H12" s="50">
        <f>GETPIVOTDATA("Sum of Other Sleeping Accomm",auditlapivot!$A$3,"Local Authority","Angus")</f>
        <v>15</v>
      </c>
      <c r="I12" s="50">
        <f>GETPIVOTDATA("Sum of Further Education",auditlapivot!$A$3,"Local Authority","Angus")</f>
        <v>0</v>
      </c>
      <c r="J12" s="50">
        <f>GETPIVOTDATA("Sum of Public Building",auditlapivot!$A$3,"Local Authority","Angus")</f>
        <v>2</v>
      </c>
      <c r="K12" s="50">
        <f>GETPIVOTDATA("Sum of Licensed Premises",auditlapivot!$A$3,"Local Authority","Angus")</f>
        <v>4</v>
      </c>
      <c r="L12" s="50">
        <f>GETPIVOTDATA("Sum of School",auditlapivot!$A$3,"Local Authority","Angus")</f>
        <v>7</v>
      </c>
      <c r="M12" s="50">
        <f>GETPIVOTDATA("Sum of Shop",auditlapivot!$A$3,"Local Authority","Angus")</f>
        <v>3</v>
      </c>
      <c r="N12" s="50">
        <f>GETPIVOTDATA("Sum of Other Premises Open to Public",auditlapivot!$A$3,"Local Authority","Angus")</f>
        <v>2</v>
      </c>
      <c r="O12" s="50">
        <f>GETPIVOTDATA("Sum of Factory or Warehouse",auditlapivot!$A$3,"Local Authority","Angus")</f>
        <v>7</v>
      </c>
      <c r="P12" s="50">
        <f>GETPIVOTDATA("Sum of Office",auditlapivot!$A$3,"Local Authority","Angus")</f>
        <v>0</v>
      </c>
      <c r="Q12" s="50">
        <f>GETPIVOTDATA("Sum of Other Workplace",auditlapivot!$A$3,"Local Authority","Angus")</f>
        <v>3</v>
      </c>
      <c r="R12" s="785">
        <f t="shared" ref="R12:R41" si="1">SUM(C12:Q12)</f>
        <v>103</v>
      </c>
      <c r="S12" s="69">
        <f t="shared" si="0"/>
        <v>97</v>
      </c>
    </row>
    <row r="13" spans="1:19" x14ac:dyDescent="0.25">
      <c r="A13" s="396" t="s">
        <v>287</v>
      </c>
      <c r="B13" s="548" t="s">
        <v>34</v>
      </c>
      <c r="C13" s="50">
        <f>GETPIVOTDATA("Sum of Hospital / Prison",auditlapivot!$A$3,"Local Authority","Argyll and Bute")</f>
        <v>6</v>
      </c>
      <c r="D13" s="50">
        <f>GETPIVOTDATA("Sum of Care home",auditlapivot!$A$3,"Local Authority","Argyll and Bute")</f>
        <v>30</v>
      </c>
      <c r="E13" s="50">
        <f>GETPIVOTDATA("Sum of HMO",auditlapivot!$A$3,"Local Authority","Argyll and Bute")</f>
        <v>18</v>
      </c>
      <c r="F13" s="50">
        <f>GETPIVOTDATA("Sum of Hostel",auditlapivot!$A$3,"Local Authority","Argyll and Bute")</f>
        <v>2</v>
      </c>
      <c r="G13" s="50">
        <f>GETPIVOTDATA("Sum of Hotel",auditlapivot!$A$3,"Local Authority","Argyll and Bute")</f>
        <v>78</v>
      </c>
      <c r="H13" s="50">
        <f>GETPIVOTDATA("Sum of Other Sleeping Accomm",auditlapivot!$A$3,"Local Authority","Argyll and Bute")</f>
        <v>319</v>
      </c>
      <c r="I13" s="50">
        <f>GETPIVOTDATA("Sum of Further Education",auditlapivot!$A$3,"Local Authority","Argyll and Bute")</f>
        <v>0</v>
      </c>
      <c r="J13" s="50">
        <f>GETPIVOTDATA("Sum of Public Building",auditlapivot!$A$3,"Local Authority","Argyll and Bute")</f>
        <v>2</v>
      </c>
      <c r="K13" s="50">
        <f>GETPIVOTDATA("Sum of Licensed Premises",auditlapivot!$A$3,"Local Authority","Argyll and Bute")</f>
        <v>3</v>
      </c>
      <c r="L13" s="50">
        <f>GETPIVOTDATA("Sum of School",auditlapivot!$A$3,"Local Authority","Argyll and Bute")</f>
        <v>1</v>
      </c>
      <c r="M13" s="50">
        <f>GETPIVOTDATA("Sum of Shop",auditlapivot!$A$3,"Local Authority","Argyll and Bute")</f>
        <v>4</v>
      </c>
      <c r="N13" s="50">
        <f>GETPIVOTDATA("Sum of Other Premises Open to Public",auditlapivot!$A$3,"Local Authority","Argyll and Bute")</f>
        <v>10</v>
      </c>
      <c r="O13" s="50">
        <f>GETPIVOTDATA("Sum of Factory or Warehouse",auditlapivot!$A$3,"Local Authority","Argyll and Bute")</f>
        <v>5</v>
      </c>
      <c r="P13" s="50">
        <f>GETPIVOTDATA("Sum of Office",auditlapivot!$A$3,"Local Authority","Argyll and Bute")</f>
        <v>2</v>
      </c>
      <c r="Q13" s="50">
        <f>GETPIVOTDATA("Sum of Other Workplace",auditlapivot!$A$3,"Local Authority","Argyll and Bute")</f>
        <v>1</v>
      </c>
      <c r="R13" s="785">
        <f t="shared" si="1"/>
        <v>481</v>
      </c>
      <c r="S13" s="69">
        <f t="shared" si="0"/>
        <v>463</v>
      </c>
    </row>
    <row r="14" spans="1:19" x14ac:dyDescent="0.25">
      <c r="A14" s="396" t="s">
        <v>288</v>
      </c>
      <c r="B14" s="548" t="s">
        <v>243</v>
      </c>
      <c r="C14" s="50">
        <f>GETPIVOTDATA("Sum of Hospital / Prison",auditlapivot!$A$3,"Local Authority","City of Edinburgh")</f>
        <v>35</v>
      </c>
      <c r="D14" s="50">
        <f>GETPIVOTDATA("Sum of Care home",auditlapivot!$A$3,"Local Authority","City of Edinburgh")</f>
        <v>113</v>
      </c>
      <c r="E14" s="50">
        <f>GETPIVOTDATA("Sum of HMO",auditlapivot!$A$3,"Local Authority","City of Edinburgh")</f>
        <v>277</v>
      </c>
      <c r="F14" s="50">
        <f>GETPIVOTDATA("Sum of Hostel",auditlapivot!$A$3,"Local Authority","City of Edinburgh")</f>
        <v>12</v>
      </c>
      <c r="G14" s="50">
        <f>GETPIVOTDATA("Sum of Hotel",auditlapivot!$A$3,"Local Authority","City of Edinburgh")</f>
        <v>84</v>
      </c>
      <c r="H14" s="50">
        <f>GETPIVOTDATA("Sum of Other Sleeping Accomm",auditlapivot!$A$3,"Local Authority","City of Edinburgh")</f>
        <v>33</v>
      </c>
      <c r="I14" s="50">
        <f>GETPIVOTDATA("Sum of Further Education",auditlapivot!$A$3,"Local Authority","City of Edinburgh")</f>
        <v>1</v>
      </c>
      <c r="J14" s="50">
        <f>GETPIVOTDATA("Sum of Public Building",auditlapivot!$A$3,"Local Authority","City of Edinburgh")</f>
        <v>1</v>
      </c>
      <c r="K14" s="50">
        <f>GETPIVOTDATA("Sum of Licensed Premises",auditlapivot!$A$3,"Local Authority","City of Edinburgh")</f>
        <v>33</v>
      </c>
      <c r="L14" s="50">
        <f>GETPIVOTDATA("Sum of School",auditlapivot!$A$3,"Local Authority","City of Edinburgh")</f>
        <v>5</v>
      </c>
      <c r="M14" s="50">
        <f>GETPIVOTDATA("Sum of Shop",auditlapivot!$A$3,"Local Authority","City of Edinburgh")</f>
        <v>24</v>
      </c>
      <c r="N14" s="50">
        <f>GETPIVOTDATA("Sum of Other Premises Open to Public",auditlapivot!$A$3,"Local Authority","City of Edinburgh")</f>
        <v>8</v>
      </c>
      <c r="O14" s="50">
        <f>GETPIVOTDATA("Sum of Factory or Warehouse",auditlapivot!$A$3,"Local Authority","City of Edinburgh")</f>
        <v>5</v>
      </c>
      <c r="P14" s="50">
        <f>GETPIVOTDATA("Sum of Office",auditlapivot!$A$3,"Local Authority","City of Edinburgh")</f>
        <v>11</v>
      </c>
      <c r="Q14" s="50">
        <f>GETPIVOTDATA("Sum of Other Workplace",auditlapivot!$A$3,"Local Authority","City of Edinburgh")</f>
        <v>6</v>
      </c>
      <c r="R14" s="785">
        <f t="shared" si="1"/>
        <v>648</v>
      </c>
      <c r="S14" s="69">
        <f t="shared" si="0"/>
        <v>371</v>
      </c>
    </row>
    <row r="15" spans="1:19" x14ac:dyDescent="0.25">
      <c r="A15" s="396" t="s">
        <v>266</v>
      </c>
      <c r="B15" s="548" t="s">
        <v>35</v>
      </c>
      <c r="C15" s="50">
        <f>GETPIVOTDATA("Sum of Hospital / Prison",auditlapivot!$A$3,"Local Authority","Clackmannanshire")</f>
        <v>0</v>
      </c>
      <c r="D15" s="50">
        <f>GETPIVOTDATA("Sum of Care home",auditlapivot!$A$3,"Local Authority","Clackmannanshire")</f>
        <v>22</v>
      </c>
      <c r="E15" s="50">
        <f>GETPIVOTDATA("Sum of HMO",auditlapivot!$A$3,"Local Authority","Clackmannanshire")</f>
        <v>0</v>
      </c>
      <c r="F15" s="50">
        <f>GETPIVOTDATA("Sum of Hostel",auditlapivot!$A$3,"Local Authority","Clackmannanshire")</f>
        <v>0</v>
      </c>
      <c r="G15" s="50">
        <f>GETPIVOTDATA("Sum of Hotel",auditlapivot!$A$3,"Local Authority","Clackmannanshire")</f>
        <v>1</v>
      </c>
      <c r="H15" s="50">
        <f>GETPIVOTDATA("Sum of Other Sleeping Accomm",auditlapivot!$A$3,"Local Authority","Clackmannanshire")</f>
        <v>0</v>
      </c>
      <c r="I15" s="50">
        <f>GETPIVOTDATA("Sum of Further Education",auditlapivot!$A$3,"Local Authority","Clackmannanshire")</f>
        <v>0</v>
      </c>
      <c r="J15" s="50">
        <f>GETPIVOTDATA("Sum of Public Building",auditlapivot!$A$3,"Local Authority","Clackmannanshire")</f>
        <v>0</v>
      </c>
      <c r="K15" s="50">
        <f>GETPIVOTDATA("Sum of Licensed Premises",auditlapivot!$A$3,"Local Authority","Clackmannanshire")</f>
        <v>0</v>
      </c>
      <c r="L15" s="50">
        <f>GETPIVOTDATA("Sum of School",auditlapivot!$A$3,"Local Authority","Clackmannanshire")</f>
        <v>0</v>
      </c>
      <c r="M15" s="50">
        <f>GETPIVOTDATA("Sum of Shop",auditlapivot!$A$3,"Local Authority","Clackmannanshire")</f>
        <v>1</v>
      </c>
      <c r="N15" s="50">
        <f>GETPIVOTDATA("Sum of Other Premises Open to Public",auditlapivot!$A$3,"Local Authority","Clackmannanshire")</f>
        <v>1</v>
      </c>
      <c r="O15" s="50">
        <f>GETPIVOTDATA("Sum of Factory or Warehouse",auditlapivot!$A$3,"Local Authority","Clackmannanshire")</f>
        <v>0</v>
      </c>
      <c r="P15" s="50">
        <f>GETPIVOTDATA("Sum of Office",auditlapivot!$A$3,"Local Authority","Clackmannanshire")</f>
        <v>0</v>
      </c>
      <c r="Q15" s="50">
        <f>GETPIVOTDATA("Sum of Other Workplace",auditlapivot!$A$3,"Local Authority","Clackmannanshire")</f>
        <v>0</v>
      </c>
      <c r="R15" s="785">
        <f t="shared" si="1"/>
        <v>25</v>
      </c>
      <c r="S15" s="69">
        <f t="shared" si="0"/>
        <v>25</v>
      </c>
    </row>
    <row r="16" spans="1:19" x14ac:dyDescent="0.25">
      <c r="A16" s="396" t="s">
        <v>267</v>
      </c>
      <c r="B16" s="548" t="s">
        <v>36</v>
      </c>
      <c r="C16" s="50">
        <f>GETPIVOTDATA("Sum of Hospital / Prison",auditlapivot!$A$3,"Local Authority","Dumfries and Galloway")</f>
        <v>13</v>
      </c>
      <c r="D16" s="50">
        <f>GETPIVOTDATA("Sum of Care home",auditlapivot!$A$3,"Local Authority","Dumfries and Galloway")</f>
        <v>52</v>
      </c>
      <c r="E16" s="50">
        <f>GETPIVOTDATA("Sum of HMO",auditlapivot!$A$3,"Local Authority","Dumfries and Galloway")</f>
        <v>25</v>
      </c>
      <c r="F16" s="50">
        <f>GETPIVOTDATA("Sum of Hostel",auditlapivot!$A$3,"Local Authority","Dumfries and Galloway")</f>
        <v>0</v>
      </c>
      <c r="G16" s="50">
        <f>GETPIVOTDATA("Sum of Hotel",auditlapivot!$A$3,"Local Authority","Dumfries and Galloway")</f>
        <v>33</v>
      </c>
      <c r="H16" s="50">
        <f>GETPIVOTDATA("Sum of Other Sleeping Accomm",auditlapivot!$A$3,"Local Authority","Dumfries and Galloway")</f>
        <v>234</v>
      </c>
      <c r="I16" s="50">
        <f>GETPIVOTDATA("Sum of Further Education",auditlapivot!$A$3,"Local Authority","Dumfries and Galloway")</f>
        <v>0</v>
      </c>
      <c r="J16" s="50">
        <f>GETPIVOTDATA("Sum of Public Building",auditlapivot!$A$3,"Local Authority","Dumfries and Galloway")</f>
        <v>2</v>
      </c>
      <c r="K16" s="50">
        <f>GETPIVOTDATA("Sum of Licensed Premises",auditlapivot!$A$3,"Local Authority","Dumfries and Galloway")</f>
        <v>3</v>
      </c>
      <c r="L16" s="50">
        <f>GETPIVOTDATA("Sum of School",auditlapivot!$A$3,"Local Authority","Dumfries and Galloway")</f>
        <v>3</v>
      </c>
      <c r="M16" s="50">
        <f>GETPIVOTDATA("Sum of Shop",auditlapivot!$A$3,"Local Authority","Dumfries and Galloway")</f>
        <v>6</v>
      </c>
      <c r="N16" s="50">
        <f>GETPIVOTDATA("Sum of Other Premises Open to Public",auditlapivot!$A$3,"Local Authority","Dumfries and Galloway")</f>
        <v>4</v>
      </c>
      <c r="O16" s="50">
        <f>GETPIVOTDATA("Sum of Factory or Warehouse",auditlapivot!$A$3,"Local Authority","Dumfries and Galloway")</f>
        <v>6</v>
      </c>
      <c r="P16" s="50">
        <f>GETPIVOTDATA("Sum of Office",auditlapivot!$A$3,"Local Authority","Dumfries and Galloway")</f>
        <v>5</v>
      </c>
      <c r="Q16" s="50">
        <f>GETPIVOTDATA("Sum of Other Workplace",auditlapivot!$A$3,"Local Authority","Dumfries and Galloway")</f>
        <v>3</v>
      </c>
      <c r="R16" s="785">
        <f t="shared" si="1"/>
        <v>389</v>
      </c>
      <c r="S16" s="69">
        <f t="shared" si="0"/>
        <v>364</v>
      </c>
    </row>
    <row r="17" spans="1:19" x14ac:dyDescent="0.25">
      <c r="A17" s="396" t="s">
        <v>293</v>
      </c>
      <c r="B17" s="548" t="s">
        <v>37</v>
      </c>
      <c r="C17" s="50">
        <f>GETPIVOTDATA("Sum of Hospital / Prison",auditlapivot!$A$3,"Local Authority","Dundee City")</f>
        <v>16</v>
      </c>
      <c r="D17" s="50">
        <f>GETPIVOTDATA("Sum of Care home",auditlapivot!$A$3,"Local Authority","Dundee City")</f>
        <v>37</v>
      </c>
      <c r="E17" s="50">
        <f>GETPIVOTDATA("Sum of HMO",auditlapivot!$A$3,"Local Authority","Dundee City")</f>
        <v>197</v>
      </c>
      <c r="F17" s="50">
        <f>GETPIVOTDATA("Sum of Hostel",auditlapivot!$A$3,"Local Authority","Dundee City")</f>
        <v>1</v>
      </c>
      <c r="G17" s="50">
        <f>GETPIVOTDATA("Sum of Hotel",auditlapivot!$A$3,"Local Authority","Dundee City")</f>
        <v>18</v>
      </c>
      <c r="H17" s="50">
        <f>GETPIVOTDATA("Sum of Other Sleeping Accomm",auditlapivot!$A$3,"Local Authority","Dundee City")</f>
        <v>16</v>
      </c>
      <c r="I17" s="50">
        <f>GETPIVOTDATA("Sum of Further Education",auditlapivot!$A$3,"Local Authority","Dundee City")</f>
        <v>1</v>
      </c>
      <c r="J17" s="50">
        <f>GETPIVOTDATA("Sum of Public Building",auditlapivot!$A$3,"Local Authority","Dundee City")</f>
        <v>0</v>
      </c>
      <c r="K17" s="50">
        <f>GETPIVOTDATA("Sum of Licensed Premises",auditlapivot!$A$3,"Local Authority","Dundee City")</f>
        <v>8</v>
      </c>
      <c r="L17" s="50">
        <f>GETPIVOTDATA("Sum of School",auditlapivot!$A$3,"Local Authority","Dundee City")</f>
        <v>19</v>
      </c>
      <c r="M17" s="50">
        <f>GETPIVOTDATA("Sum of Shop",auditlapivot!$A$3,"Local Authority","Dundee City")</f>
        <v>4</v>
      </c>
      <c r="N17" s="50">
        <f>GETPIVOTDATA("Sum of Other Premises Open to Public",auditlapivot!$A$3,"Local Authority","Dundee City")</f>
        <v>4</v>
      </c>
      <c r="O17" s="50">
        <f>GETPIVOTDATA("Sum of Factory or Warehouse",auditlapivot!$A$3,"Local Authority","Dundee City")</f>
        <v>3</v>
      </c>
      <c r="P17" s="50">
        <f>GETPIVOTDATA("Sum of Office",auditlapivot!$A$3,"Local Authority","Dundee City")</f>
        <v>0</v>
      </c>
      <c r="Q17" s="50">
        <f>GETPIVOTDATA("Sum of Other Workplace",auditlapivot!$A$3,"Local Authority","Dundee City")</f>
        <v>4</v>
      </c>
      <c r="R17" s="785">
        <f t="shared" si="1"/>
        <v>328</v>
      </c>
      <c r="S17" s="69">
        <f t="shared" si="0"/>
        <v>131</v>
      </c>
    </row>
    <row r="18" spans="1:19" x14ac:dyDescent="0.25">
      <c r="A18" s="396" t="s">
        <v>268</v>
      </c>
      <c r="B18" s="548" t="s">
        <v>38</v>
      </c>
      <c r="C18" s="50">
        <f>GETPIVOTDATA("Sum of Hospital / Prison",auditlapivot!$A$3,"Local Authority","East Ayrshire")</f>
        <v>8</v>
      </c>
      <c r="D18" s="50">
        <f>GETPIVOTDATA("Sum of Care home",auditlapivot!$A$3,"Local Authority","East Ayrshire")</f>
        <v>54</v>
      </c>
      <c r="E18" s="50">
        <f>GETPIVOTDATA("Sum of HMO",auditlapivot!$A$3,"Local Authority","East Ayrshire")</f>
        <v>21</v>
      </c>
      <c r="F18" s="50">
        <f>GETPIVOTDATA("Sum of Hostel",auditlapivot!$A$3,"Local Authority","East Ayrshire")</f>
        <v>0</v>
      </c>
      <c r="G18" s="50">
        <f>GETPIVOTDATA("Sum of Hotel",auditlapivot!$A$3,"Local Authority","East Ayrshire")</f>
        <v>14</v>
      </c>
      <c r="H18" s="50">
        <f>GETPIVOTDATA("Sum of Other Sleeping Accomm",auditlapivot!$A$3,"Local Authority","East Ayrshire")</f>
        <v>31</v>
      </c>
      <c r="I18" s="50">
        <f>GETPIVOTDATA("Sum of Further Education",auditlapivot!$A$3,"Local Authority","East Ayrshire")</f>
        <v>0</v>
      </c>
      <c r="J18" s="50">
        <f>GETPIVOTDATA("Sum of Public Building",auditlapivot!$A$3,"Local Authority","East Ayrshire")</f>
        <v>0</v>
      </c>
      <c r="K18" s="50">
        <f>GETPIVOTDATA("Sum of Licensed Premises",auditlapivot!$A$3,"Local Authority","East Ayrshire")</f>
        <v>3</v>
      </c>
      <c r="L18" s="50">
        <f>GETPIVOTDATA("Sum of School",auditlapivot!$A$3,"Local Authority","East Ayrshire")</f>
        <v>2</v>
      </c>
      <c r="M18" s="50">
        <f>GETPIVOTDATA("Sum of Shop",auditlapivot!$A$3,"Local Authority","East Ayrshire")</f>
        <v>22</v>
      </c>
      <c r="N18" s="50">
        <f>GETPIVOTDATA("Sum of Other Premises Open to Public",auditlapivot!$A$3,"Local Authority","East Ayrshire")</f>
        <v>1</v>
      </c>
      <c r="O18" s="50">
        <f>GETPIVOTDATA("Sum of Factory or Warehouse",auditlapivot!$A$3,"Local Authority","East Ayrshire")</f>
        <v>20</v>
      </c>
      <c r="P18" s="50">
        <f>GETPIVOTDATA("Sum of Office",auditlapivot!$A$3,"Local Authority","East Ayrshire")</f>
        <v>4</v>
      </c>
      <c r="Q18" s="50">
        <f>GETPIVOTDATA("Sum of Other Workplace",auditlapivot!$A$3,"Local Authority","East Ayrshire")</f>
        <v>3</v>
      </c>
      <c r="R18" s="785">
        <f t="shared" si="1"/>
        <v>183</v>
      </c>
      <c r="S18" s="69">
        <f t="shared" si="0"/>
        <v>162</v>
      </c>
    </row>
    <row r="19" spans="1:19" x14ac:dyDescent="0.25">
      <c r="A19" s="396" t="s">
        <v>295</v>
      </c>
      <c r="B19" s="548" t="s">
        <v>39</v>
      </c>
      <c r="C19" s="50">
        <f>GETPIVOTDATA("Sum of Hospital / Prison",auditlapivot!$A$3,"Local Authority","East Dunbartonshire")</f>
        <v>4</v>
      </c>
      <c r="D19" s="50">
        <f>GETPIVOTDATA("Sum of Care home",auditlapivot!$A$3,"Local Authority","East Dunbartonshire")</f>
        <v>25</v>
      </c>
      <c r="E19" s="50">
        <f>GETPIVOTDATA("Sum of HMO",auditlapivot!$A$3,"Local Authority","East Dunbartonshire")</f>
        <v>23</v>
      </c>
      <c r="F19" s="50">
        <f>GETPIVOTDATA("Sum of Hostel",auditlapivot!$A$3,"Local Authority","East Dunbartonshire")</f>
        <v>0</v>
      </c>
      <c r="G19" s="50">
        <f>GETPIVOTDATA("Sum of Hotel",auditlapivot!$A$3,"Local Authority","East Dunbartonshire")</f>
        <v>2</v>
      </c>
      <c r="H19" s="50">
        <f>GETPIVOTDATA("Sum of Other Sleeping Accomm",auditlapivot!$A$3,"Local Authority","East Dunbartonshire")</f>
        <v>1</v>
      </c>
      <c r="I19" s="50">
        <f>GETPIVOTDATA("Sum of Further Education",auditlapivot!$A$3,"Local Authority","East Dunbartonshire")</f>
        <v>0</v>
      </c>
      <c r="J19" s="50">
        <f>GETPIVOTDATA("Sum of Public Building",auditlapivot!$A$3,"Local Authority","East Dunbartonshire")</f>
        <v>0</v>
      </c>
      <c r="K19" s="50">
        <f>GETPIVOTDATA("Sum of Licensed Premises",auditlapivot!$A$3,"Local Authority","East Dunbartonshire")</f>
        <v>2</v>
      </c>
      <c r="L19" s="50">
        <f>GETPIVOTDATA("Sum of School",auditlapivot!$A$3,"Local Authority","East Dunbartonshire")</f>
        <v>3</v>
      </c>
      <c r="M19" s="50">
        <f>GETPIVOTDATA("Sum of Shop",auditlapivot!$A$3,"Local Authority","East Dunbartonshire")</f>
        <v>0</v>
      </c>
      <c r="N19" s="50">
        <f>GETPIVOTDATA("Sum of Other Premises Open to Public",auditlapivot!$A$3,"Local Authority","East Dunbartonshire")</f>
        <v>1</v>
      </c>
      <c r="O19" s="50">
        <f>GETPIVOTDATA("Sum of Factory or Warehouse",auditlapivot!$A$3,"Local Authority","East Dunbartonshire")</f>
        <v>0</v>
      </c>
      <c r="P19" s="50">
        <f>GETPIVOTDATA("Sum of Office",auditlapivot!$A$3,"Local Authority","East Dunbartonshire")</f>
        <v>1</v>
      </c>
      <c r="Q19" s="50">
        <f>GETPIVOTDATA("Sum of Other Workplace",auditlapivot!$A$3,"Local Authority","East Dunbartonshire")</f>
        <v>1</v>
      </c>
      <c r="R19" s="785">
        <f t="shared" si="1"/>
        <v>63</v>
      </c>
      <c r="S19" s="69">
        <f t="shared" si="0"/>
        <v>40</v>
      </c>
    </row>
    <row r="20" spans="1:19" x14ac:dyDescent="0.25">
      <c r="A20" s="396" t="s">
        <v>269</v>
      </c>
      <c r="B20" s="548" t="s">
        <v>40</v>
      </c>
      <c r="C20" s="50">
        <f>GETPIVOTDATA("Sum of Hospital / Prison",auditlapivot!$A$3,"Local Authority","East Lothian")</f>
        <v>1</v>
      </c>
      <c r="D20" s="50">
        <f>GETPIVOTDATA("Sum of Care home",auditlapivot!$A$3,"Local Authority","East Lothian")</f>
        <v>25</v>
      </c>
      <c r="E20" s="50">
        <f>GETPIVOTDATA("Sum of HMO",auditlapivot!$A$3,"Local Authority","East Lothian")</f>
        <v>9</v>
      </c>
      <c r="F20" s="50">
        <f>GETPIVOTDATA("Sum of Hostel",auditlapivot!$A$3,"Local Authority","East Lothian")</f>
        <v>0</v>
      </c>
      <c r="G20" s="50">
        <f>GETPIVOTDATA("Sum of Hotel",auditlapivot!$A$3,"Local Authority","East Lothian")</f>
        <v>20</v>
      </c>
      <c r="H20" s="50">
        <f>GETPIVOTDATA("Sum of Other Sleeping Accomm",auditlapivot!$A$3,"Local Authority","East Lothian")</f>
        <v>10</v>
      </c>
      <c r="I20" s="50">
        <f>GETPIVOTDATA("Sum of Further Education",auditlapivot!$A$3,"Local Authority","East Lothian")</f>
        <v>0</v>
      </c>
      <c r="J20" s="50">
        <f>GETPIVOTDATA("Sum of Public Building",auditlapivot!$A$3,"Local Authority","East Lothian")</f>
        <v>0</v>
      </c>
      <c r="K20" s="50">
        <f>GETPIVOTDATA("Sum of Licensed Premises",auditlapivot!$A$3,"Local Authority","East Lothian")</f>
        <v>31</v>
      </c>
      <c r="L20" s="50">
        <f>GETPIVOTDATA("Sum of School",auditlapivot!$A$3,"Local Authority","East Lothian")</f>
        <v>8</v>
      </c>
      <c r="M20" s="50">
        <f>GETPIVOTDATA("Sum of Shop",auditlapivot!$A$3,"Local Authority","East Lothian")</f>
        <v>3</v>
      </c>
      <c r="N20" s="50">
        <f>GETPIVOTDATA("Sum of Other Premises Open to Public",auditlapivot!$A$3,"Local Authority","East Lothian")</f>
        <v>1</v>
      </c>
      <c r="O20" s="50">
        <f>GETPIVOTDATA("Sum of Factory or Warehouse",auditlapivot!$A$3,"Local Authority","East Lothian")</f>
        <v>6</v>
      </c>
      <c r="P20" s="50">
        <f>GETPIVOTDATA("Sum of Office",auditlapivot!$A$3,"Local Authority","East Lothian")</f>
        <v>1</v>
      </c>
      <c r="Q20" s="50">
        <f>GETPIVOTDATA("Sum of Other Workplace",auditlapivot!$A$3,"Local Authority","East Lothian")</f>
        <v>2</v>
      </c>
      <c r="R20" s="785">
        <f t="shared" si="1"/>
        <v>117</v>
      </c>
      <c r="S20" s="69">
        <f t="shared" si="0"/>
        <v>108</v>
      </c>
    </row>
    <row r="21" spans="1:19" x14ac:dyDescent="0.25">
      <c r="A21" s="396" t="s">
        <v>270</v>
      </c>
      <c r="B21" s="548" t="s">
        <v>41</v>
      </c>
      <c r="C21" s="50">
        <f>GETPIVOTDATA("Sum of Hospital / Prison",auditlapivot!$A$3,"Local Authority","East Renfrewshire")</f>
        <v>0</v>
      </c>
      <c r="D21" s="50">
        <f>GETPIVOTDATA("Sum of Care home",auditlapivot!$A$3,"Local Authority","East Renfrewshire")</f>
        <v>11</v>
      </c>
      <c r="E21" s="50">
        <f>GETPIVOTDATA("Sum of HMO",auditlapivot!$A$3,"Local Authority","East Renfrewshire")</f>
        <v>13</v>
      </c>
      <c r="F21" s="50">
        <f>GETPIVOTDATA("Sum of Hostel",auditlapivot!$A$3,"Local Authority","East Renfrewshire")</f>
        <v>0</v>
      </c>
      <c r="G21" s="50">
        <f>GETPIVOTDATA("Sum of Hotel",auditlapivot!$A$3,"Local Authority","East Renfrewshire")</f>
        <v>8</v>
      </c>
      <c r="H21" s="50">
        <f>GETPIVOTDATA("Sum of Other Sleeping Accomm",auditlapivot!$A$3,"Local Authority","East Renfrewshire")</f>
        <v>5</v>
      </c>
      <c r="I21" s="50">
        <f>GETPIVOTDATA("Sum of Further Education",auditlapivot!$A$3,"Local Authority","East Renfrewshire")</f>
        <v>0</v>
      </c>
      <c r="J21" s="50">
        <f>GETPIVOTDATA("Sum of Public Building",auditlapivot!$A$3,"Local Authority","East Renfrewshire")</f>
        <v>0</v>
      </c>
      <c r="K21" s="50">
        <f>GETPIVOTDATA("Sum of Licensed Premises",auditlapivot!$A$3,"Local Authority","East Renfrewshire")</f>
        <v>0</v>
      </c>
      <c r="L21" s="50">
        <f>GETPIVOTDATA("Sum of School",auditlapivot!$A$3,"Local Authority","East Renfrewshire")</f>
        <v>9</v>
      </c>
      <c r="M21" s="50">
        <f>GETPIVOTDATA("Sum of Shop",auditlapivot!$A$3,"Local Authority","East Renfrewshire")</f>
        <v>4</v>
      </c>
      <c r="N21" s="50">
        <f>GETPIVOTDATA("Sum of Other Premises Open to Public",auditlapivot!$A$3,"Local Authority","East Renfrewshire")</f>
        <v>4</v>
      </c>
      <c r="O21" s="50">
        <f>GETPIVOTDATA("Sum of Factory or Warehouse",auditlapivot!$A$3,"Local Authority","East Renfrewshire")</f>
        <v>0</v>
      </c>
      <c r="P21" s="50">
        <f>GETPIVOTDATA("Sum of Office",auditlapivot!$A$3,"Local Authority","East Renfrewshire")</f>
        <v>0</v>
      </c>
      <c r="Q21" s="50">
        <f>GETPIVOTDATA("Sum of Other Workplace",auditlapivot!$A$3,"Local Authority","East Renfrewshire")</f>
        <v>0</v>
      </c>
      <c r="R21" s="785">
        <f t="shared" si="1"/>
        <v>54</v>
      </c>
      <c r="S21" s="69">
        <f t="shared" si="0"/>
        <v>41</v>
      </c>
    </row>
    <row r="22" spans="1:19" x14ac:dyDescent="0.25">
      <c r="A22" s="396" t="s">
        <v>272</v>
      </c>
      <c r="B22" s="548" t="s">
        <v>42</v>
      </c>
      <c r="C22" s="50">
        <f>GETPIVOTDATA("Sum of Hospital / Prison",auditlapivot!$A$3,"Local Authority","Falkirk")</f>
        <v>11</v>
      </c>
      <c r="D22" s="50">
        <f>GETPIVOTDATA("Sum of Care home",auditlapivot!$A$3,"Local Authority","Falkirk")</f>
        <v>37</v>
      </c>
      <c r="E22" s="50">
        <f>GETPIVOTDATA("Sum of HMO",auditlapivot!$A$3,"Local Authority","Falkirk")</f>
        <v>20</v>
      </c>
      <c r="F22" s="50">
        <f>GETPIVOTDATA("Sum of Hostel",auditlapivot!$A$3,"Local Authority","Falkirk")</f>
        <v>1</v>
      </c>
      <c r="G22" s="50">
        <f>GETPIVOTDATA("Sum of Hotel",auditlapivot!$A$3,"Local Authority","Falkirk")</f>
        <v>19</v>
      </c>
      <c r="H22" s="50">
        <f>GETPIVOTDATA("Sum of Other Sleeping Accomm",auditlapivot!$A$3,"Local Authority","Falkirk")</f>
        <v>0</v>
      </c>
      <c r="I22" s="50">
        <f>GETPIVOTDATA("Sum of Further Education",auditlapivot!$A$3,"Local Authority","Falkirk")</f>
        <v>1</v>
      </c>
      <c r="J22" s="50">
        <f>GETPIVOTDATA("Sum of Public Building",auditlapivot!$A$3,"Local Authority","Falkirk")</f>
        <v>1</v>
      </c>
      <c r="K22" s="50">
        <f>GETPIVOTDATA("Sum of Licensed Premises",auditlapivot!$A$3,"Local Authority","Falkirk")</f>
        <v>2</v>
      </c>
      <c r="L22" s="50">
        <f>GETPIVOTDATA("Sum of School",auditlapivot!$A$3,"Local Authority","Falkirk")</f>
        <v>8</v>
      </c>
      <c r="M22" s="50">
        <f>GETPIVOTDATA("Sum of Shop",auditlapivot!$A$3,"Local Authority","Falkirk")</f>
        <v>5</v>
      </c>
      <c r="N22" s="50">
        <f>GETPIVOTDATA("Sum of Other Premises Open to Public",auditlapivot!$A$3,"Local Authority","Falkirk")</f>
        <v>6</v>
      </c>
      <c r="O22" s="50">
        <f>GETPIVOTDATA("Sum of Factory or Warehouse",auditlapivot!$A$3,"Local Authority","Falkirk")</f>
        <v>8</v>
      </c>
      <c r="P22" s="50">
        <f>GETPIVOTDATA("Sum of Office",auditlapivot!$A$3,"Local Authority","Falkirk")</f>
        <v>0</v>
      </c>
      <c r="Q22" s="50">
        <f>GETPIVOTDATA("Sum of Other Workplace",auditlapivot!$A$3,"Local Authority","Falkirk")</f>
        <v>2</v>
      </c>
      <c r="R22" s="785">
        <f t="shared" si="1"/>
        <v>121</v>
      </c>
      <c r="S22" s="69">
        <f t="shared" si="0"/>
        <v>101</v>
      </c>
    </row>
    <row r="23" spans="1:19" x14ac:dyDescent="0.25">
      <c r="A23" s="396" t="s">
        <v>388</v>
      </c>
      <c r="B23" s="548" t="s">
        <v>43</v>
      </c>
      <c r="C23" s="50">
        <f>GETPIVOTDATA("Sum of Hospital / Prison",auditlapivot!$A$3,"Local Authority","Fife")</f>
        <v>7</v>
      </c>
      <c r="D23" s="50">
        <f>GETPIVOTDATA("Sum of Care home",auditlapivot!$A$3,"Local Authority","Fife")</f>
        <v>113</v>
      </c>
      <c r="E23" s="50">
        <f>GETPIVOTDATA("Sum of HMO",auditlapivot!$A$3,"Local Authority","Fife")</f>
        <v>219</v>
      </c>
      <c r="F23" s="50">
        <f>GETPIVOTDATA("Sum of Hostel",auditlapivot!$A$3,"Local Authority","Fife")</f>
        <v>0</v>
      </c>
      <c r="G23" s="50">
        <f>GETPIVOTDATA("Sum of Hotel",auditlapivot!$A$3,"Local Authority","Fife")</f>
        <v>17</v>
      </c>
      <c r="H23" s="50">
        <f>GETPIVOTDATA("Sum of Other Sleeping Accomm",auditlapivot!$A$3,"Local Authority","Fife")</f>
        <v>12</v>
      </c>
      <c r="I23" s="50">
        <f>GETPIVOTDATA("Sum of Further Education",auditlapivot!$A$3,"Local Authority","Fife")</f>
        <v>0</v>
      </c>
      <c r="J23" s="50">
        <f>GETPIVOTDATA("Sum of Public Building",auditlapivot!$A$3,"Local Authority","Fife")</f>
        <v>0</v>
      </c>
      <c r="K23" s="50">
        <f>GETPIVOTDATA("Sum of Licensed Premises",auditlapivot!$A$3,"Local Authority","Fife")</f>
        <v>1</v>
      </c>
      <c r="L23" s="50">
        <f>GETPIVOTDATA("Sum of School",auditlapivot!$A$3,"Local Authority","Fife")</f>
        <v>0</v>
      </c>
      <c r="M23" s="50">
        <f>GETPIVOTDATA("Sum of Shop",auditlapivot!$A$3,"Local Authority","Fife")</f>
        <v>2</v>
      </c>
      <c r="N23" s="50">
        <f>GETPIVOTDATA("Sum of Other Premises Open to Public",auditlapivot!$A$3,"Local Authority","Fife")</f>
        <v>2</v>
      </c>
      <c r="O23" s="50">
        <f>GETPIVOTDATA("Sum of Factory or Warehouse",auditlapivot!$A$3,"Local Authority","Fife")</f>
        <v>2</v>
      </c>
      <c r="P23" s="50">
        <f>GETPIVOTDATA("Sum of Office",auditlapivot!$A$3,"Local Authority","Fife")</f>
        <v>0</v>
      </c>
      <c r="Q23" s="50">
        <f>GETPIVOTDATA("Sum of Other Workplace",auditlapivot!$A$3,"Local Authority","Fife")</f>
        <v>0</v>
      </c>
      <c r="R23" s="785">
        <f t="shared" si="1"/>
        <v>375</v>
      </c>
      <c r="S23" s="69">
        <f t="shared" si="0"/>
        <v>156</v>
      </c>
    </row>
    <row r="24" spans="1:19" x14ac:dyDescent="0.25">
      <c r="A24" s="396" t="s">
        <v>296</v>
      </c>
      <c r="B24" s="548" t="s">
        <v>117</v>
      </c>
      <c r="C24" s="50">
        <f>GETPIVOTDATA("Sum of Hospital / Prison",auditlapivot!$A$3,"Local Authority","Glasgow City")</f>
        <v>13</v>
      </c>
      <c r="D24" s="50">
        <f>GETPIVOTDATA("Sum of Care home",auditlapivot!$A$3,"Local Authority","Glasgow City")</f>
        <v>135</v>
      </c>
      <c r="E24" s="50">
        <f>GETPIVOTDATA("Sum of HMO",auditlapivot!$A$3,"Local Authority","Glasgow City")</f>
        <v>528</v>
      </c>
      <c r="F24" s="50">
        <f>GETPIVOTDATA("Sum of Hostel",auditlapivot!$A$3,"Local Authority","Glasgow City")</f>
        <v>9</v>
      </c>
      <c r="G24" s="50">
        <f>GETPIVOTDATA("Sum of Hotel",auditlapivot!$A$3,"Local Authority","Glasgow City")</f>
        <v>104</v>
      </c>
      <c r="H24" s="50">
        <f>GETPIVOTDATA("Sum of Other Sleeping Accomm",auditlapivot!$A$3,"Local Authority","Glasgow City")</f>
        <v>17</v>
      </c>
      <c r="I24" s="50">
        <f>GETPIVOTDATA("Sum of Further Education",auditlapivot!$A$3,"Local Authority","Glasgow City")</f>
        <v>2</v>
      </c>
      <c r="J24" s="50">
        <f>GETPIVOTDATA("Sum of Public Building",auditlapivot!$A$3,"Local Authority","Glasgow City")</f>
        <v>3</v>
      </c>
      <c r="K24" s="50">
        <f>GETPIVOTDATA("Sum of Licensed Premises",auditlapivot!$A$3,"Local Authority","Glasgow City")</f>
        <v>24</v>
      </c>
      <c r="L24" s="50">
        <f>GETPIVOTDATA("Sum of School",auditlapivot!$A$3,"Local Authority","Glasgow City")</f>
        <v>20</v>
      </c>
      <c r="M24" s="50">
        <f>GETPIVOTDATA("Sum of Shop",auditlapivot!$A$3,"Local Authority","Glasgow City")</f>
        <v>27</v>
      </c>
      <c r="N24" s="50">
        <f>GETPIVOTDATA("Sum of Other Premises Open to Public",auditlapivot!$A$3,"Local Authority","Glasgow City")</f>
        <v>11</v>
      </c>
      <c r="O24" s="50">
        <f>GETPIVOTDATA("Sum of Factory or Warehouse",auditlapivot!$A$3,"Local Authority","Glasgow City")</f>
        <v>2</v>
      </c>
      <c r="P24" s="50">
        <f>GETPIVOTDATA("Sum of Office",auditlapivot!$A$3,"Local Authority","Glasgow City")</f>
        <v>8</v>
      </c>
      <c r="Q24" s="50">
        <f>GETPIVOTDATA("Sum of Other Workplace",auditlapivot!$A$3,"Local Authority","Glasgow City")</f>
        <v>10</v>
      </c>
      <c r="R24" s="785">
        <f t="shared" si="1"/>
        <v>913</v>
      </c>
      <c r="S24" s="69">
        <f t="shared" si="0"/>
        <v>385</v>
      </c>
    </row>
    <row r="25" spans="1:19" x14ac:dyDescent="0.25">
      <c r="A25" s="396" t="s">
        <v>273</v>
      </c>
      <c r="B25" s="548" t="s">
        <v>44</v>
      </c>
      <c r="C25" s="50">
        <f>GETPIVOTDATA("Sum of Hospital / Prison",auditlapivot!$A$3,"Local Authority","Highland")</f>
        <v>19</v>
      </c>
      <c r="D25" s="50">
        <f>GETPIVOTDATA("Sum of Care home",auditlapivot!$A$3,"Local Authority","Highland")</f>
        <v>88</v>
      </c>
      <c r="E25" s="50">
        <f>GETPIVOTDATA("Sum of HMO",auditlapivot!$A$3,"Local Authority","Highland")</f>
        <v>37</v>
      </c>
      <c r="F25" s="50">
        <f>GETPIVOTDATA("Sum of Hostel",auditlapivot!$A$3,"Local Authority","Highland")</f>
        <v>11</v>
      </c>
      <c r="G25" s="50">
        <f>GETPIVOTDATA("Sum of Hotel",auditlapivot!$A$3,"Local Authority","Highland")</f>
        <v>167</v>
      </c>
      <c r="H25" s="50">
        <f>GETPIVOTDATA("Sum of Other Sleeping Accomm",auditlapivot!$A$3,"Local Authority","Highland")</f>
        <v>14</v>
      </c>
      <c r="I25" s="50">
        <f>GETPIVOTDATA("Sum of Further Education",auditlapivot!$A$3,"Local Authority","Highland")</f>
        <v>0</v>
      </c>
      <c r="J25" s="50">
        <f>GETPIVOTDATA("Sum of Public Building",auditlapivot!$A$3,"Local Authority","Highland")</f>
        <v>0</v>
      </c>
      <c r="K25" s="50">
        <f>GETPIVOTDATA("Sum of Licensed Premises",auditlapivot!$A$3,"Local Authority","Highland")</f>
        <v>3</v>
      </c>
      <c r="L25" s="50">
        <f>GETPIVOTDATA("Sum of School",auditlapivot!$A$3,"Local Authority","Highland")</f>
        <v>2</v>
      </c>
      <c r="M25" s="50">
        <f>GETPIVOTDATA("Sum of Shop",auditlapivot!$A$3,"Local Authority","Highland")</f>
        <v>5</v>
      </c>
      <c r="N25" s="50">
        <f>GETPIVOTDATA("Sum of Other Premises Open to Public",auditlapivot!$A$3,"Local Authority","Highland")</f>
        <v>7</v>
      </c>
      <c r="O25" s="50">
        <f>GETPIVOTDATA("Sum of Factory or Warehouse",auditlapivot!$A$3,"Local Authority","Highland")</f>
        <v>4</v>
      </c>
      <c r="P25" s="50">
        <f>GETPIVOTDATA("Sum of Office",auditlapivot!$A$3,"Local Authority","Highland")</f>
        <v>2</v>
      </c>
      <c r="Q25" s="50">
        <f>GETPIVOTDATA("Sum of Other Workplace",auditlapivot!$A$3,"Local Authority","Highland")</f>
        <v>3</v>
      </c>
      <c r="R25" s="785">
        <f t="shared" si="1"/>
        <v>362</v>
      </c>
      <c r="S25" s="69">
        <f t="shared" si="0"/>
        <v>325</v>
      </c>
    </row>
    <row r="26" spans="1:19" x14ac:dyDescent="0.25">
      <c r="A26" s="396" t="s">
        <v>274</v>
      </c>
      <c r="B26" s="548" t="s">
        <v>45</v>
      </c>
      <c r="C26" s="50">
        <f>GETPIVOTDATA("Sum of Hospital / Prison",auditlapivot!$A$3,"Local Authority","Inverclyde")</f>
        <v>9</v>
      </c>
      <c r="D26" s="50">
        <f>GETPIVOTDATA("Sum of Care home",auditlapivot!$A$3,"Local Authority","Inverclyde")</f>
        <v>29</v>
      </c>
      <c r="E26" s="50">
        <f>GETPIVOTDATA("Sum of HMO",auditlapivot!$A$3,"Local Authority","Inverclyde")</f>
        <v>6</v>
      </c>
      <c r="F26" s="50">
        <f>GETPIVOTDATA("Sum of Hostel",auditlapivot!$A$3,"Local Authority","Inverclyde")</f>
        <v>0</v>
      </c>
      <c r="G26" s="50">
        <f>GETPIVOTDATA("Sum of Hotel",auditlapivot!$A$3,"Local Authority","Inverclyde")</f>
        <v>6</v>
      </c>
      <c r="H26" s="50">
        <f>GETPIVOTDATA("Sum of Other Sleeping Accomm",auditlapivot!$A$3,"Local Authority","Inverclyde")</f>
        <v>12</v>
      </c>
      <c r="I26" s="50">
        <f>GETPIVOTDATA("Sum of Further Education",auditlapivot!$A$3,"Local Authority","Inverclyde")</f>
        <v>0</v>
      </c>
      <c r="J26" s="50">
        <f>GETPIVOTDATA("Sum of Public Building",auditlapivot!$A$3,"Local Authority","Inverclyde")</f>
        <v>2</v>
      </c>
      <c r="K26" s="50">
        <f>GETPIVOTDATA("Sum of Licensed Premises",auditlapivot!$A$3,"Local Authority","Inverclyde")</f>
        <v>2</v>
      </c>
      <c r="L26" s="50">
        <f>GETPIVOTDATA("Sum of School",auditlapivot!$A$3,"Local Authority","Inverclyde")</f>
        <v>1</v>
      </c>
      <c r="M26" s="50">
        <f>GETPIVOTDATA("Sum of Shop",auditlapivot!$A$3,"Local Authority","Inverclyde")</f>
        <v>4</v>
      </c>
      <c r="N26" s="50">
        <f>GETPIVOTDATA("Sum of Other Premises Open to Public",auditlapivot!$A$3,"Local Authority","Inverclyde")</f>
        <v>6</v>
      </c>
      <c r="O26" s="50">
        <f>GETPIVOTDATA("Sum of Factory or Warehouse",auditlapivot!$A$3,"Local Authority","Inverclyde")</f>
        <v>5</v>
      </c>
      <c r="P26" s="50">
        <f>GETPIVOTDATA("Sum of Office",auditlapivot!$A$3,"Local Authority","Inverclyde")</f>
        <v>3</v>
      </c>
      <c r="Q26" s="50">
        <f>GETPIVOTDATA("Sum of Other Workplace",auditlapivot!$A$3,"Local Authority","Inverclyde")</f>
        <v>5</v>
      </c>
      <c r="R26" s="785">
        <f t="shared" si="1"/>
        <v>90</v>
      </c>
      <c r="S26" s="69">
        <f t="shared" si="0"/>
        <v>84</v>
      </c>
    </row>
    <row r="27" spans="1:19" x14ac:dyDescent="0.25">
      <c r="A27" s="396" t="s">
        <v>275</v>
      </c>
      <c r="B27" s="548" t="s">
        <v>46</v>
      </c>
      <c r="C27" s="50">
        <f>GETPIVOTDATA("Sum of Hospital / Prison",auditlapivot!$A$3,"Local Authority","Midlothian")</f>
        <v>2</v>
      </c>
      <c r="D27" s="50">
        <f>GETPIVOTDATA("Sum of Care home",auditlapivot!$A$3,"Local Authority","Midlothian")</f>
        <v>12</v>
      </c>
      <c r="E27" s="50">
        <f>GETPIVOTDATA("Sum of HMO",auditlapivot!$A$3,"Local Authority","Midlothian")</f>
        <v>18</v>
      </c>
      <c r="F27" s="50">
        <f>GETPIVOTDATA("Sum of Hostel",auditlapivot!$A$3,"Local Authority","Midlothian")</f>
        <v>0</v>
      </c>
      <c r="G27" s="50">
        <f>GETPIVOTDATA("Sum of Hotel",auditlapivot!$A$3,"Local Authority","Midlothian")</f>
        <v>8</v>
      </c>
      <c r="H27" s="50">
        <f>GETPIVOTDATA("Sum of Other Sleeping Accomm",auditlapivot!$A$3,"Local Authority","Midlothian")</f>
        <v>60</v>
      </c>
      <c r="I27" s="50">
        <f>GETPIVOTDATA("Sum of Further Education",auditlapivot!$A$3,"Local Authority","Midlothian")</f>
        <v>0</v>
      </c>
      <c r="J27" s="50">
        <f>GETPIVOTDATA("Sum of Public Building",auditlapivot!$A$3,"Local Authority","Midlothian")</f>
        <v>0</v>
      </c>
      <c r="K27" s="50">
        <f>GETPIVOTDATA("Sum of Licensed Premises",auditlapivot!$A$3,"Local Authority","Midlothian")</f>
        <v>5</v>
      </c>
      <c r="L27" s="50">
        <f>GETPIVOTDATA("Sum of School",auditlapivot!$A$3,"Local Authority","Midlothian")</f>
        <v>7</v>
      </c>
      <c r="M27" s="50">
        <f>GETPIVOTDATA("Sum of Shop",auditlapivot!$A$3,"Local Authority","Midlothian")</f>
        <v>4</v>
      </c>
      <c r="N27" s="50">
        <f>GETPIVOTDATA("Sum of Other Premises Open to Public",auditlapivot!$A$3,"Local Authority","Midlothian")</f>
        <v>4</v>
      </c>
      <c r="O27" s="50">
        <f>GETPIVOTDATA("Sum of Factory or Warehouse",auditlapivot!$A$3,"Local Authority","Midlothian")</f>
        <v>5</v>
      </c>
      <c r="P27" s="50">
        <f>GETPIVOTDATA("Sum of Office",auditlapivot!$A$3,"Local Authority","Midlothian")</f>
        <v>1</v>
      </c>
      <c r="Q27" s="50">
        <f>GETPIVOTDATA("Sum of Other Workplace",auditlapivot!$A$3,"Local Authority","Midlothian")</f>
        <v>6</v>
      </c>
      <c r="R27" s="785">
        <f t="shared" si="1"/>
        <v>132</v>
      </c>
      <c r="S27" s="69">
        <f t="shared" si="0"/>
        <v>114</v>
      </c>
    </row>
    <row r="28" spans="1:19" x14ac:dyDescent="0.25">
      <c r="A28" s="396" t="s">
        <v>276</v>
      </c>
      <c r="B28" s="548" t="s">
        <v>47</v>
      </c>
      <c r="C28" s="50">
        <f>GETPIVOTDATA("Sum of Hospital / Prison",auditlapivot!$A$3,"Local Authority","Moray")</f>
        <v>3</v>
      </c>
      <c r="D28" s="50">
        <f>GETPIVOTDATA("Sum of Care home",auditlapivot!$A$3,"Local Authority","Moray")</f>
        <v>19</v>
      </c>
      <c r="E28" s="50">
        <f>GETPIVOTDATA("Sum of HMO",auditlapivot!$A$3,"Local Authority","Moray")</f>
        <v>9</v>
      </c>
      <c r="F28" s="50">
        <f>GETPIVOTDATA("Sum of Hostel",auditlapivot!$A$3,"Local Authority","Moray")</f>
        <v>0</v>
      </c>
      <c r="G28" s="50">
        <f>GETPIVOTDATA("Sum of Hotel",auditlapivot!$A$3,"Local Authority","Moray")</f>
        <v>28</v>
      </c>
      <c r="H28" s="50">
        <f>GETPIVOTDATA("Sum of Other Sleeping Accomm",auditlapivot!$A$3,"Local Authority","Moray")</f>
        <v>51</v>
      </c>
      <c r="I28" s="50">
        <f>GETPIVOTDATA("Sum of Further Education",auditlapivot!$A$3,"Local Authority","Moray")</f>
        <v>0</v>
      </c>
      <c r="J28" s="50">
        <f>GETPIVOTDATA("Sum of Public Building",auditlapivot!$A$3,"Local Authority","Moray")</f>
        <v>0</v>
      </c>
      <c r="K28" s="50">
        <f>GETPIVOTDATA("Sum of Licensed Premises",auditlapivot!$A$3,"Local Authority","Moray")</f>
        <v>3</v>
      </c>
      <c r="L28" s="50">
        <f>GETPIVOTDATA("Sum of School",auditlapivot!$A$3,"Local Authority","Moray")</f>
        <v>2</v>
      </c>
      <c r="M28" s="50">
        <f>GETPIVOTDATA("Sum of Shop",auditlapivot!$A$3,"Local Authority","Moray")</f>
        <v>4</v>
      </c>
      <c r="N28" s="50">
        <f>GETPIVOTDATA("Sum of Other Premises Open to Public",auditlapivot!$A$3,"Local Authority","Moray")</f>
        <v>3</v>
      </c>
      <c r="O28" s="50">
        <f>GETPIVOTDATA("Sum of Factory or Warehouse",auditlapivot!$A$3,"Local Authority","Moray")</f>
        <v>0</v>
      </c>
      <c r="P28" s="50">
        <f>GETPIVOTDATA("Sum of Office",auditlapivot!$A$3,"Local Authority","Moray")</f>
        <v>1</v>
      </c>
      <c r="Q28" s="50">
        <f>GETPIVOTDATA("Sum of Other Workplace",auditlapivot!$A$3,"Local Authority","Moray")</f>
        <v>0</v>
      </c>
      <c r="R28" s="785">
        <f t="shared" si="1"/>
        <v>123</v>
      </c>
      <c r="S28" s="69">
        <f t="shared" si="0"/>
        <v>114</v>
      </c>
    </row>
    <row r="29" spans="1:19" x14ac:dyDescent="0.25">
      <c r="A29" s="396" t="s">
        <v>271</v>
      </c>
      <c r="B29" s="548" t="s">
        <v>48</v>
      </c>
      <c r="C29" s="50">
        <f>GETPIVOTDATA("Sum of Hospital / Prison",auditlapivot!$A$3,"Local Authority","Na h-Eileanan an Iar")</f>
        <v>3</v>
      </c>
      <c r="D29" s="50">
        <f>GETPIVOTDATA("Sum of Care home",auditlapivot!$A$3,"Local Authority","Na h-Eileanan an Iar")</f>
        <v>11</v>
      </c>
      <c r="E29" s="50">
        <f>GETPIVOTDATA("Sum of HMO",auditlapivot!$A$3,"Local Authority","Na h-Eileanan an Iar")</f>
        <v>1</v>
      </c>
      <c r="F29" s="50">
        <f>GETPIVOTDATA("Sum of Hostel",auditlapivot!$A$3,"Local Authority","Na h-Eileanan an Iar")</f>
        <v>3</v>
      </c>
      <c r="G29" s="50">
        <f>GETPIVOTDATA("Sum of Hotel",auditlapivot!$A$3,"Local Authority","Na h-Eileanan an Iar")</f>
        <v>14</v>
      </c>
      <c r="H29" s="50">
        <f>GETPIVOTDATA("Sum of Other Sleeping Accomm",auditlapivot!$A$3,"Local Authority","Na h-Eileanan an Iar")</f>
        <v>1</v>
      </c>
      <c r="I29" s="50">
        <f>GETPIVOTDATA("Sum of Further Education",auditlapivot!$A$3,"Local Authority","Na h-Eileanan an Iar")</f>
        <v>0</v>
      </c>
      <c r="J29" s="50">
        <f>GETPIVOTDATA("Sum of Public Building",auditlapivot!$A$3,"Local Authority","Na h-Eileanan an Iar")</f>
        <v>0</v>
      </c>
      <c r="K29" s="50">
        <f>GETPIVOTDATA("Sum of Licensed Premises",auditlapivot!$A$3,"Local Authority","Na h-Eileanan an Iar")</f>
        <v>0</v>
      </c>
      <c r="L29" s="50">
        <f>GETPIVOTDATA("Sum of School",auditlapivot!$A$3,"Local Authority","Na h-Eileanan an Iar")</f>
        <v>0</v>
      </c>
      <c r="M29" s="50">
        <f>GETPIVOTDATA("Sum of Shop",auditlapivot!$A$3,"Local Authority","Na h-Eileanan an Iar")</f>
        <v>0</v>
      </c>
      <c r="N29" s="50">
        <f>GETPIVOTDATA("Sum of Other Premises Open to Public",auditlapivot!$A$3,"Local Authority","Na h-Eileanan an Iar")</f>
        <v>0</v>
      </c>
      <c r="O29" s="50">
        <f>GETPIVOTDATA("Sum of Factory or Warehouse",auditlapivot!$A$3,"Local Authority","Na h-Eileanan an Iar")</f>
        <v>1</v>
      </c>
      <c r="P29" s="50">
        <f>GETPIVOTDATA("Sum of Office",auditlapivot!$A$3,"Local Authority","Na h-Eileanan an Iar")</f>
        <v>0</v>
      </c>
      <c r="Q29" s="50">
        <f>GETPIVOTDATA("Sum of Other Workplace",auditlapivot!$A$3,"Local Authority","Na h-Eileanan an Iar")</f>
        <v>0</v>
      </c>
      <c r="R29" s="785">
        <f t="shared" si="1"/>
        <v>34</v>
      </c>
      <c r="S29" s="69">
        <f t="shared" si="0"/>
        <v>33</v>
      </c>
    </row>
    <row r="30" spans="1:19" x14ac:dyDescent="0.25">
      <c r="A30" s="396" t="s">
        <v>277</v>
      </c>
      <c r="B30" s="548" t="s">
        <v>49</v>
      </c>
      <c r="C30" s="50">
        <f>GETPIVOTDATA("Sum of Hospital / Prison",auditlapivot!$A$3,"Local Authority","North Ayrshire")</f>
        <v>3</v>
      </c>
      <c r="D30" s="50">
        <f>GETPIVOTDATA("Sum of Care home",auditlapivot!$A$3,"Local Authority","North Ayrshire")</f>
        <v>79</v>
      </c>
      <c r="E30" s="50">
        <f>GETPIVOTDATA("Sum of HMO",auditlapivot!$A$3,"Local Authority","North Ayrshire")</f>
        <v>11</v>
      </c>
      <c r="F30" s="50">
        <f>GETPIVOTDATA("Sum of Hostel",auditlapivot!$A$3,"Local Authority","North Ayrshire")</f>
        <v>0</v>
      </c>
      <c r="G30" s="50">
        <f>GETPIVOTDATA("Sum of Hotel",auditlapivot!$A$3,"Local Authority","North Ayrshire")</f>
        <v>30</v>
      </c>
      <c r="H30" s="50">
        <f>GETPIVOTDATA("Sum of Other Sleeping Accomm",auditlapivot!$A$3,"Local Authority","North Ayrshire")</f>
        <v>25</v>
      </c>
      <c r="I30" s="50">
        <f>GETPIVOTDATA("Sum of Further Education",auditlapivot!$A$3,"Local Authority","North Ayrshire")</f>
        <v>1</v>
      </c>
      <c r="J30" s="50">
        <f>GETPIVOTDATA("Sum of Public Building",auditlapivot!$A$3,"Local Authority","North Ayrshire")</f>
        <v>1</v>
      </c>
      <c r="K30" s="50">
        <f>GETPIVOTDATA("Sum of Licensed Premises",auditlapivot!$A$3,"Local Authority","North Ayrshire")</f>
        <v>10</v>
      </c>
      <c r="L30" s="50">
        <f>GETPIVOTDATA("Sum of School",auditlapivot!$A$3,"Local Authority","North Ayrshire")</f>
        <v>4</v>
      </c>
      <c r="M30" s="50">
        <f>GETPIVOTDATA("Sum of Shop",auditlapivot!$A$3,"Local Authority","North Ayrshire")</f>
        <v>16</v>
      </c>
      <c r="N30" s="50">
        <f>GETPIVOTDATA("Sum of Other Premises Open to Public",auditlapivot!$A$3,"Local Authority","North Ayrshire")</f>
        <v>11</v>
      </c>
      <c r="O30" s="50">
        <f>GETPIVOTDATA("Sum of Factory or Warehouse",auditlapivot!$A$3,"Local Authority","North Ayrshire")</f>
        <v>37</v>
      </c>
      <c r="P30" s="50">
        <f>GETPIVOTDATA("Sum of Office",auditlapivot!$A$3,"Local Authority","North Ayrshire")</f>
        <v>9</v>
      </c>
      <c r="Q30" s="50">
        <f>GETPIVOTDATA("Sum of Other Workplace",auditlapivot!$A$3,"Local Authority","North Ayrshire")</f>
        <v>21</v>
      </c>
      <c r="R30" s="785">
        <f t="shared" si="1"/>
        <v>258</v>
      </c>
      <c r="S30" s="69">
        <f t="shared" si="0"/>
        <v>247</v>
      </c>
    </row>
    <row r="31" spans="1:19" x14ac:dyDescent="0.25">
      <c r="A31" s="396" t="s">
        <v>294</v>
      </c>
      <c r="B31" s="548" t="s">
        <v>50</v>
      </c>
      <c r="C31" s="50">
        <f>GETPIVOTDATA("Sum of Hospital / Prison",auditlapivot!$A$3,"Local Authority","North Lanarkshire")</f>
        <v>12</v>
      </c>
      <c r="D31" s="50">
        <f>GETPIVOTDATA("Sum of Care home",auditlapivot!$A$3,"Local Authority","North Lanarkshire")</f>
        <v>58</v>
      </c>
      <c r="E31" s="50">
        <f>GETPIVOTDATA("Sum of HMO",auditlapivot!$A$3,"Local Authority","North Lanarkshire")</f>
        <v>16</v>
      </c>
      <c r="F31" s="50">
        <f>GETPIVOTDATA("Sum of Hostel",auditlapivot!$A$3,"Local Authority","North Lanarkshire")</f>
        <v>0</v>
      </c>
      <c r="G31" s="50">
        <f>GETPIVOTDATA("Sum of Hotel",auditlapivot!$A$3,"Local Authority","North Lanarkshire")</f>
        <v>48</v>
      </c>
      <c r="H31" s="50">
        <f>GETPIVOTDATA("Sum of Other Sleeping Accomm",auditlapivot!$A$3,"Local Authority","North Lanarkshire")</f>
        <v>5</v>
      </c>
      <c r="I31" s="50">
        <f>GETPIVOTDATA("Sum of Further Education",auditlapivot!$A$3,"Local Authority","North Lanarkshire")</f>
        <v>3</v>
      </c>
      <c r="J31" s="50">
        <f>GETPIVOTDATA("Sum of Public Building",auditlapivot!$A$3,"Local Authority","North Lanarkshire")</f>
        <v>1</v>
      </c>
      <c r="K31" s="50">
        <f>GETPIVOTDATA("Sum of Licensed Premises",auditlapivot!$A$3,"Local Authority","North Lanarkshire")</f>
        <v>21</v>
      </c>
      <c r="L31" s="50">
        <f>GETPIVOTDATA("Sum of School",auditlapivot!$A$3,"Local Authority","North Lanarkshire")</f>
        <v>2</v>
      </c>
      <c r="M31" s="50">
        <f>GETPIVOTDATA("Sum of Shop",auditlapivot!$A$3,"Local Authority","North Lanarkshire")</f>
        <v>48</v>
      </c>
      <c r="N31" s="50">
        <f>GETPIVOTDATA("Sum of Other Premises Open to Public",auditlapivot!$A$3,"Local Authority","North Lanarkshire")</f>
        <v>11</v>
      </c>
      <c r="O31" s="50">
        <f>GETPIVOTDATA("Sum of Factory or Warehouse",auditlapivot!$A$3,"Local Authority","North Lanarkshire")</f>
        <v>26</v>
      </c>
      <c r="P31" s="50">
        <f>GETPIVOTDATA("Sum of Office",auditlapivot!$A$3,"Local Authority","North Lanarkshire")</f>
        <v>136</v>
      </c>
      <c r="Q31" s="50">
        <f>GETPIVOTDATA("Sum of Other Workplace",auditlapivot!$A$3,"Local Authority","North Lanarkshire")</f>
        <v>38</v>
      </c>
      <c r="R31" s="785">
        <f t="shared" si="1"/>
        <v>425</v>
      </c>
      <c r="S31" s="69">
        <f t="shared" si="0"/>
        <v>409</v>
      </c>
    </row>
    <row r="32" spans="1:19" x14ac:dyDescent="0.25">
      <c r="A32" s="396" t="s">
        <v>278</v>
      </c>
      <c r="B32" s="548" t="s">
        <v>51</v>
      </c>
      <c r="C32" s="50">
        <f>GETPIVOTDATA("Sum of Hospital / Prison",auditlapivot!$A$3,"Local Authority","Orkney Islands")</f>
        <v>1</v>
      </c>
      <c r="D32" s="50">
        <f>GETPIVOTDATA("Sum of Care home",auditlapivot!$A$3,"Local Authority","Orkney Islands")</f>
        <v>8</v>
      </c>
      <c r="E32" s="50">
        <f>GETPIVOTDATA("Sum of HMO",auditlapivot!$A$3,"Local Authority","Orkney Islands")</f>
        <v>1</v>
      </c>
      <c r="F32" s="50">
        <f>GETPIVOTDATA("Sum of Hostel",auditlapivot!$A$3,"Local Authority","Orkney Islands")</f>
        <v>1</v>
      </c>
      <c r="G32" s="50">
        <f>GETPIVOTDATA("Sum of Hotel",auditlapivot!$A$3,"Local Authority","Orkney Islands")</f>
        <v>8</v>
      </c>
      <c r="H32" s="50">
        <f>GETPIVOTDATA("Sum of Other Sleeping Accomm",auditlapivot!$A$3,"Local Authority","Orkney Islands")</f>
        <v>4</v>
      </c>
      <c r="I32" s="50">
        <f>GETPIVOTDATA("Sum of Further Education",auditlapivot!$A$3,"Local Authority","Orkney Islands")</f>
        <v>0</v>
      </c>
      <c r="J32" s="50">
        <f>GETPIVOTDATA("Sum of Public Building",auditlapivot!$A$3,"Local Authority","Orkney Islands")</f>
        <v>0</v>
      </c>
      <c r="K32" s="50">
        <f>GETPIVOTDATA("Sum of Licensed Premises",auditlapivot!$A$3,"Local Authority","Orkney Islands")</f>
        <v>0</v>
      </c>
      <c r="L32" s="50">
        <f>GETPIVOTDATA("Sum of School",auditlapivot!$A$3,"Local Authority","Orkney Islands")</f>
        <v>0</v>
      </c>
      <c r="M32" s="50">
        <f>GETPIVOTDATA("Sum of Shop",auditlapivot!$A$3,"Local Authority","Orkney Islands")</f>
        <v>1</v>
      </c>
      <c r="N32" s="50">
        <f>GETPIVOTDATA("Sum of Other Premises Open to Public",auditlapivot!$A$3,"Local Authority","Orkney Islands")</f>
        <v>0</v>
      </c>
      <c r="O32" s="50">
        <f>GETPIVOTDATA("Sum of Factory or Warehouse",auditlapivot!$A$3,"Local Authority","Orkney Islands")</f>
        <v>0</v>
      </c>
      <c r="P32" s="50">
        <f>GETPIVOTDATA("Sum of Office",auditlapivot!$A$3,"Local Authority","Orkney Islands")</f>
        <v>0</v>
      </c>
      <c r="Q32" s="50">
        <f>GETPIVOTDATA("Sum of Other Workplace",auditlapivot!$A$3,"Local Authority","Orkney Islands")</f>
        <v>0</v>
      </c>
      <c r="R32" s="785">
        <f t="shared" si="1"/>
        <v>24</v>
      </c>
      <c r="S32" s="69">
        <f t="shared" si="0"/>
        <v>23</v>
      </c>
    </row>
    <row r="33" spans="1:19" x14ac:dyDescent="0.25">
      <c r="A33" s="396" t="s">
        <v>279</v>
      </c>
      <c r="B33" s="548" t="s">
        <v>52</v>
      </c>
      <c r="C33" s="50">
        <f>GETPIVOTDATA("Sum of Hospital / Prison",auditlapivot!$A$3,"Local Authority","Perth and Kinross")</f>
        <v>25</v>
      </c>
      <c r="D33" s="50">
        <f>GETPIVOTDATA("Sum of Care home",auditlapivot!$A$3,"Local Authority","Perth and Kinross")</f>
        <v>63</v>
      </c>
      <c r="E33" s="50">
        <f>GETPIVOTDATA("Sum of HMO",auditlapivot!$A$3,"Local Authority","Perth and Kinross")</f>
        <v>17</v>
      </c>
      <c r="F33" s="50">
        <f>GETPIVOTDATA("Sum of Hostel",auditlapivot!$A$3,"Local Authority","Perth and Kinross")</f>
        <v>0</v>
      </c>
      <c r="G33" s="50">
        <f>GETPIVOTDATA("Sum of Hotel",auditlapivot!$A$3,"Local Authority","Perth and Kinross")</f>
        <v>64</v>
      </c>
      <c r="H33" s="50">
        <f>GETPIVOTDATA("Sum of Other Sleeping Accomm",auditlapivot!$A$3,"Local Authority","Perth and Kinross")</f>
        <v>31</v>
      </c>
      <c r="I33" s="50">
        <f>GETPIVOTDATA("Sum of Further Education",auditlapivot!$A$3,"Local Authority","Perth and Kinross")</f>
        <v>0</v>
      </c>
      <c r="J33" s="50">
        <f>GETPIVOTDATA("Sum of Public Building",auditlapivot!$A$3,"Local Authority","Perth and Kinross")</f>
        <v>1</v>
      </c>
      <c r="K33" s="50">
        <f>GETPIVOTDATA("Sum of Licensed Premises",auditlapivot!$A$3,"Local Authority","Perth and Kinross")</f>
        <v>6</v>
      </c>
      <c r="L33" s="50">
        <f>GETPIVOTDATA("Sum of School",auditlapivot!$A$3,"Local Authority","Perth and Kinross")</f>
        <v>3</v>
      </c>
      <c r="M33" s="50">
        <f>GETPIVOTDATA("Sum of Shop",auditlapivot!$A$3,"Local Authority","Perth and Kinross")</f>
        <v>3</v>
      </c>
      <c r="N33" s="50">
        <f>GETPIVOTDATA("Sum of Other Premises Open to Public",auditlapivot!$A$3,"Local Authority","Perth and Kinross")</f>
        <v>3</v>
      </c>
      <c r="O33" s="50">
        <f>GETPIVOTDATA("Sum of Factory or Warehouse",auditlapivot!$A$3,"Local Authority","Perth and Kinross")</f>
        <v>0</v>
      </c>
      <c r="P33" s="50">
        <f>GETPIVOTDATA("Sum of Office",auditlapivot!$A$3,"Local Authority","Perth and Kinross")</f>
        <v>4</v>
      </c>
      <c r="Q33" s="50">
        <f>GETPIVOTDATA("Sum of Other Workplace",auditlapivot!$A$3,"Local Authority","Perth and Kinross")</f>
        <v>9</v>
      </c>
      <c r="R33" s="785">
        <f t="shared" si="1"/>
        <v>229</v>
      </c>
      <c r="S33" s="69">
        <f t="shared" si="0"/>
        <v>212</v>
      </c>
    </row>
    <row r="34" spans="1:19" x14ac:dyDescent="0.25">
      <c r="A34" s="396" t="s">
        <v>289</v>
      </c>
      <c r="B34" s="548" t="s">
        <v>53</v>
      </c>
      <c r="C34" s="50">
        <f>GETPIVOTDATA("Sum of Hospital / Prison",auditlapivot!$A$3,"Local Authority","Renfrewshire")</f>
        <v>2</v>
      </c>
      <c r="D34" s="50">
        <f>GETPIVOTDATA("Sum of Care home",auditlapivot!$A$3,"Local Authority","Renfrewshire")</f>
        <v>64</v>
      </c>
      <c r="E34" s="50">
        <f>GETPIVOTDATA("Sum of HMO",auditlapivot!$A$3,"Local Authority","Renfrewshire")</f>
        <v>22</v>
      </c>
      <c r="F34" s="50">
        <f>GETPIVOTDATA("Sum of Hostel",auditlapivot!$A$3,"Local Authority","Renfrewshire")</f>
        <v>0</v>
      </c>
      <c r="G34" s="50">
        <f>GETPIVOTDATA("Sum of Hotel",auditlapivot!$A$3,"Local Authority","Renfrewshire")</f>
        <v>25</v>
      </c>
      <c r="H34" s="50">
        <f>GETPIVOTDATA("Sum of Other Sleeping Accomm",auditlapivot!$A$3,"Local Authority","Renfrewshire")</f>
        <v>25</v>
      </c>
      <c r="I34" s="50">
        <f>GETPIVOTDATA("Sum of Further Education",auditlapivot!$A$3,"Local Authority","Renfrewshire")</f>
        <v>0</v>
      </c>
      <c r="J34" s="50">
        <f>GETPIVOTDATA("Sum of Public Building",auditlapivot!$A$3,"Local Authority","Renfrewshire")</f>
        <v>1</v>
      </c>
      <c r="K34" s="50">
        <f>GETPIVOTDATA("Sum of Licensed Premises",auditlapivot!$A$3,"Local Authority","Renfrewshire")</f>
        <v>6</v>
      </c>
      <c r="L34" s="50">
        <f>GETPIVOTDATA("Sum of School",auditlapivot!$A$3,"Local Authority","Renfrewshire")</f>
        <v>6</v>
      </c>
      <c r="M34" s="50">
        <f>GETPIVOTDATA("Sum of Shop",auditlapivot!$A$3,"Local Authority","Renfrewshire")</f>
        <v>15</v>
      </c>
      <c r="N34" s="50">
        <f>GETPIVOTDATA("Sum of Other Premises Open to Public",auditlapivot!$A$3,"Local Authority","Renfrewshire")</f>
        <v>13</v>
      </c>
      <c r="O34" s="50">
        <f>GETPIVOTDATA("Sum of Factory or Warehouse",auditlapivot!$A$3,"Local Authority","Renfrewshire")</f>
        <v>6</v>
      </c>
      <c r="P34" s="50">
        <f>GETPIVOTDATA("Sum of Office",auditlapivot!$A$3,"Local Authority","Renfrewshire")</f>
        <v>8</v>
      </c>
      <c r="Q34" s="50">
        <f>GETPIVOTDATA("Sum of Other Workplace",auditlapivot!$A$3,"Local Authority","Renfrewshire")</f>
        <v>4</v>
      </c>
      <c r="R34" s="785">
        <f t="shared" si="1"/>
        <v>197</v>
      </c>
      <c r="S34" s="69">
        <f t="shared" si="0"/>
        <v>175</v>
      </c>
    </row>
    <row r="35" spans="1:19" x14ac:dyDescent="0.25">
      <c r="A35" s="396" t="s">
        <v>280</v>
      </c>
      <c r="B35" s="548" t="s">
        <v>54</v>
      </c>
      <c r="C35" s="50">
        <f>GETPIVOTDATA("Sum of Hospital / Prison",auditlapivot!$A$3,"Local Authority","Scottish Borders")</f>
        <v>16</v>
      </c>
      <c r="D35" s="50">
        <f>GETPIVOTDATA("Sum of Care home",auditlapivot!$A$3,"Local Authority","Scottish Borders")</f>
        <v>36</v>
      </c>
      <c r="E35" s="50">
        <f>GETPIVOTDATA("Sum of HMO",auditlapivot!$A$3,"Local Authority","Scottish Borders")</f>
        <v>3</v>
      </c>
      <c r="F35" s="50">
        <f>GETPIVOTDATA("Sum of Hostel",auditlapivot!$A$3,"Local Authority","Scottish Borders")</f>
        <v>0</v>
      </c>
      <c r="G35" s="50">
        <f>GETPIVOTDATA("Sum of Hotel",auditlapivot!$A$3,"Local Authority","Scottish Borders")</f>
        <v>34</v>
      </c>
      <c r="H35" s="50">
        <f>GETPIVOTDATA("Sum of Other Sleeping Accomm",auditlapivot!$A$3,"Local Authority","Scottish Borders")</f>
        <v>52</v>
      </c>
      <c r="I35" s="50">
        <f>GETPIVOTDATA("Sum of Further Education",auditlapivot!$A$3,"Local Authority","Scottish Borders")</f>
        <v>0</v>
      </c>
      <c r="J35" s="50">
        <f>GETPIVOTDATA("Sum of Public Building",auditlapivot!$A$3,"Local Authority","Scottish Borders")</f>
        <v>0</v>
      </c>
      <c r="K35" s="50">
        <f>GETPIVOTDATA("Sum of Licensed Premises",auditlapivot!$A$3,"Local Authority","Scottish Borders")</f>
        <v>4</v>
      </c>
      <c r="L35" s="50">
        <f>GETPIVOTDATA("Sum of School",auditlapivot!$A$3,"Local Authority","Scottish Borders")</f>
        <v>3</v>
      </c>
      <c r="M35" s="50">
        <f>GETPIVOTDATA("Sum of Shop",auditlapivot!$A$3,"Local Authority","Scottish Borders")</f>
        <v>5</v>
      </c>
      <c r="N35" s="50">
        <f>GETPIVOTDATA("Sum of Other Premises Open to Public",auditlapivot!$A$3,"Local Authority","Scottish Borders")</f>
        <v>3</v>
      </c>
      <c r="O35" s="50">
        <f>GETPIVOTDATA("Sum of Factory or Warehouse",auditlapivot!$A$3,"Local Authority","Scottish Borders")</f>
        <v>2</v>
      </c>
      <c r="P35" s="50">
        <f>GETPIVOTDATA("Sum of Office",auditlapivot!$A$3,"Local Authority","Scottish Borders")</f>
        <v>0</v>
      </c>
      <c r="Q35" s="50">
        <f>GETPIVOTDATA("Sum of Other Workplace",auditlapivot!$A$3,"Local Authority","Scottish Borders")</f>
        <v>2</v>
      </c>
      <c r="R35" s="785">
        <f t="shared" si="1"/>
        <v>160</v>
      </c>
      <c r="S35" s="69">
        <f t="shared" si="0"/>
        <v>157</v>
      </c>
    </row>
    <row r="36" spans="1:19" x14ac:dyDescent="0.25">
      <c r="A36" s="396" t="s">
        <v>281</v>
      </c>
      <c r="B36" s="548" t="s">
        <v>55</v>
      </c>
      <c r="C36" s="50">
        <f>GETPIVOTDATA("Sum of Hospital / Prison",auditlapivot!$A$3,"Local Authority","Shetland Islands")</f>
        <v>1</v>
      </c>
      <c r="D36" s="50">
        <f>GETPIVOTDATA("Sum of Care home",auditlapivot!$A$3,"Local Authority","Shetland Islands")</f>
        <v>16</v>
      </c>
      <c r="E36" s="50">
        <f>GETPIVOTDATA("Sum of HMO",auditlapivot!$A$3,"Local Authority","Shetland Islands")</f>
        <v>4</v>
      </c>
      <c r="F36" s="50">
        <f>GETPIVOTDATA("Sum of Hostel",auditlapivot!$A$3,"Local Authority","Shetland Islands")</f>
        <v>5</v>
      </c>
      <c r="G36" s="50">
        <f>GETPIVOTDATA("Sum of Hotel",auditlapivot!$A$3,"Local Authority","Shetland Islands")</f>
        <v>15</v>
      </c>
      <c r="H36" s="50">
        <f>GETPIVOTDATA("Sum of Other Sleeping Accomm",auditlapivot!$A$3,"Local Authority","Shetland Islands")</f>
        <v>17</v>
      </c>
      <c r="I36" s="50">
        <f>GETPIVOTDATA("Sum of Further Education",auditlapivot!$A$3,"Local Authority","Shetland Islands")</f>
        <v>0</v>
      </c>
      <c r="J36" s="50">
        <f>GETPIVOTDATA("Sum of Public Building",auditlapivot!$A$3,"Local Authority","Shetland Islands")</f>
        <v>0</v>
      </c>
      <c r="K36" s="50">
        <f>GETPIVOTDATA("Sum of Licensed Premises",auditlapivot!$A$3,"Local Authority","Shetland Islands")</f>
        <v>0</v>
      </c>
      <c r="L36" s="50">
        <f>GETPIVOTDATA("Sum of School",auditlapivot!$A$3,"Local Authority","Shetland Islands")</f>
        <v>8</v>
      </c>
      <c r="M36" s="50">
        <f>GETPIVOTDATA("Sum of Shop",auditlapivot!$A$3,"Local Authority","Shetland Islands")</f>
        <v>0</v>
      </c>
      <c r="N36" s="50">
        <f>GETPIVOTDATA("Sum of Other Premises Open to Public",auditlapivot!$A$3,"Local Authority","Shetland Islands")</f>
        <v>2</v>
      </c>
      <c r="O36" s="50">
        <f>GETPIVOTDATA("Sum of Factory or Warehouse",auditlapivot!$A$3,"Local Authority","Shetland Islands")</f>
        <v>0</v>
      </c>
      <c r="P36" s="50">
        <f>GETPIVOTDATA("Sum of Office",auditlapivot!$A$3,"Local Authority","Shetland Islands")</f>
        <v>1</v>
      </c>
      <c r="Q36" s="50">
        <f>GETPIVOTDATA("Sum of Other Workplace",auditlapivot!$A$3,"Local Authority","Shetland Islands")</f>
        <v>1</v>
      </c>
      <c r="R36" s="785">
        <f t="shared" si="1"/>
        <v>70</v>
      </c>
      <c r="S36" s="69">
        <f t="shared" si="0"/>
        <v>66</v>
      </c>
    </row>
    <row r="37" spans="1:19" x14ac:dyDescent="0.25">
      <c r="A37" s="396" t="s">
        <v>282</v>
      </c>
      <c r="B37" s="548" t="s">
        <v>56</v>
      </c>
      <c r="C37" s="50">
        <f>GETPIVOTDATA("Sum of Hospital / Prison",auditlapivot!$A$3,"Local Authority","South Ayrshire")</f>
        <v>9</v>
      </c>
      <c r="D37" s="50">
        <f>GETPIVOTDATA("Sum of Care home",auditlapivot!$A$3,"Local Authority","South Ayrshire")</f>
        <v>52</v>
      </c>
      <c r="E37" s="50">
        <f>GETPIVOTDATA("Sum of HMO",auditlapivot!$A$3,"Local Authority","South Ayrshire")</f>
        <v>31</v>
      </c>
      <c r="F37" s="50">
        <f>GETPIVOTDATA("Sum of Hostel",auditlapivot!$A$3,"Local Authority","South Ayrshire")</f>
        <v>2</v>
      </c>
      <c r="G37" s="50">
        <f>GETPIVOTDATA("Sum of Hotel",auditlapivot!$A$3,"Local Authority","South Ayrshire")</f>
        <v>49</v>
      </c>
      <c r="H37" s="50">
        <f>GETPIVOTDATA("Sum of Other Sleeping Accomm",auditlapivot!$A$3,"Local Authority","South Ayrshire")</f>
        <v>20</v>
      </c>
      <c r="I37" s="50">
        <f>GETPIVOTDATA("Sum of Further Education",auditlapivot!$A$3,"Local Authority","South Ayrshire")</f>
        <v>0</v>
      </c>
      <c r="J37" s="50">
        <f>GETPIVOTDATA("Sum of Public Building",auditlapivot!$A$3,"Local Authority","South Ayrshire")</f>
        <v>1</v>
      </c>
      <c r="K37" s="50">
        <f>GETPIVOTDATA("Sum of Licensed Premises",auditlapivot!$A$3,"Local Authority","South Ayrshire")</f>
        <v>8</v>
      </c>
      <c r="L37" s="50">
        <f>GETPIVOTDATA("Sum of School",auditlapivot!$A$3,"Local Authority","South Ayrshire")</f>
        <v>8</v>
      </c>
      <c r="M37" s="50">
        <f>GETPIVOTDATA("Sum of Shop",auditlapivot!$A$3,"Local Authority","South Ayrshire")</f>
        <v>41</v>
      </c>
      <c r="N37" s="50">
        <f>GETPIVOTDATA("Sum of Other Premises Open to Public",auditlapivot!$A$3,"Local Authority","South Ayrshire")</f>
        <v>6</v>
      </c>
      <c r="O37" s="50">
        <f>GETPIVOTDATA("Sum of Factory or Warehouse",auditlapivot!$A$3,"Local Authority","South Ayrshire")</f>
        <v>11</v>
      </c>
      <c r="P37" s="50">
        <f>GETPIVOTDATA("Sum of Office",auditlapivot!$A$3,"Local Authority","South Ayrshire")</f>
        <v>12</v>
      </c>
      <c r="Q37" s="50">
        <f>GETPIVOTDATA("Sum of Other Workplace",auditlapivot!$A$3,"Local Authority","South Ayrshire")</f>
        <v>5</v>
      </c>
      <c r="R37" s="785">
        <f t="shared" si="1"/>
        <v>255</v>
      </c>
      <c r="S37" s="69">
        <f t="shared" si="0"/>
        <v>224</v>
      </c>
    </row>
    <row r="38" spans="1:19" x14ac:dyDescent="0.25">
      <c r="A38" s="396" t="s">
        <v>283</v>
      </c>
      <c r="B38" s="548" t="s">
        <v>57</v>
      </c>
      <c r="C38" s="50">
        <f>GETPIVOTDATA("Sum of Hospital / Prison",auditlapivot!$A$3,"Local Authority","South Lanarkshire")</f>
        <v>23</v>
      </c>
      <c r="D38" s="50">
        <f>GETPIVOTDATA("Sum of Care home",auditlapivot!$A$3,"Local Authority","South Lanarkshire")</f>
        <v>143</v>
      </c>
      <c r="E38" s="50">
        <f>GETPIVOTDATA("Sum of HMO",auditlapivot!$A$3,"Local Authority","South Lanarkshire")</f>
        <v>59</v>
      </c>
      <c r="F38" s="50">
        <f>GETPIVOTDATA("Sum of Hostel",auditlapivot!$A$3,"Local Authority","South Lanarkshire")</f>
        <v>0</v>
      </c>
      <c r="G38" s="50">
        <f>GETPIVOTDATA("Sum of Hotel",auditlapivot!$A$3,"Local Authority","South Lanarkshire")</f>
        <v>59</v>
      </c>
      <c r="H38" s="50">
        <f>GETPIVOTDATA("Sum of Other Sleeping Accomm",auditlapivot!$A$3,"Local Authority","South Lanarkshire")</f>
        <v>21</v>
      </c>
      <c r="I38" s="50">
        <f>GETPIVOTDATA("Sum of Further Education",auditlapivot!$A$3,"Local Authority","South Lanarkshire")</f>
        <v>0</v>
      </c>
      <c r="J38" s="50">
        <f>GETPIVOTDATA("Sum of Public Building",auditlapivot!$A$3,"Local Authority","South Lanarkshire")</f>
        <v>0</v>
      </c>
      <c r="K38" s="50">
        <f>GETPIVOTDATA("Sum of Licensed Premises",auditlapivot!$A$3,"Local Authority","South Lanarkshire")</f>
        <v>4</v>
      </c>
      <c r="L38" s="50">
        <f>GETPIVOTDATA("Sum of School",auditlapivot!$A$3,"Local Authority","South Lanarkshire")</f>
        <v>7</v>
      </c>
      <c r="M38" s="50">
        <f>GETPIVOTDATA("Sum of Shop",auditlapivot!$A$3,"Local Authority","South Lanarkshire")</f>
        <v>13</v>
      </c>
      <c r="N38" s="50">
        <f>GETPIVOTDATA("Sum of Other Premises Open to Public",auditlapivot!$A$3,"Local Authority","South Lanarkshire")</f>
        <v>18</v>
      </c>
      <c r="O38" s="50">
        <f>GETPIVOTDATA("Sum of Factory or Warehouse",auditlapivot!$A$3,"Local Authority","South Lanarkshire")</f>
        <v>6</v>
      </c>
      <c r="P38" s="50">
        <f>GETPIVOTDATA("Sum of Office",auditlapivot!$A$3,"Local Authority","South Lanarkshire")</f>
        <v>13</v>
      </c>
      <c r="Q38" s="50">
        <f>GETPIVOTDATA("Sum of Other Workplace",auditlapivot!$A$3,"Local Authority","South Lanarkshire")</f>
        <v>12</v>
      </c>
      <c r="R38" s="785">
        <f t="shared" si="1"/>
        <v>378</v>
      </c>
      <c r="S38" s="69">
        <f t="shared" si="0"/>
        <v>319</v>
      </c>
    </row>
    <row r="39" spans="1:19" x14ac:dyDescent="0.25">
      <c r="A39" s="396" t="s">
        <v>284</v>
      </c>
      <c r="B39" s="548" t="s">
        <v>58</v>
      </c>
      <c r="C39" s="50">
        <f>GETPIVOTDATA("Sum of Hospital / Prison",auditlapivot!$A$3,"Local Authority","Stirling")</f>
        <v>1</v>
      </c>
      <c r="D39" s="50">
        <f>GETPIVOTDATA("Sum of Care home",auditlapivot!$A$3,"Local Authority","Stirling")</f>
        <v>34</v>
      </c>
      <c r="E39" s="50">
        <f>GETPIVOTDATA("Sum of HMO",auditlapivot!$A$3,"Local Authority","Stirling")</f>
        <v>31</v>
      </c>
      <c r="F39" s="50">
        <f>GETPIVOTDATA("Sum of Hostel",auditlapivot!$A$3,"Local Authority","Stirling")</f>
        <v>0</v>
      </c>
      <c r="G39" s="50">
        <f>GETPIVOTDATA("Sum of Hotel",auditlapivot!$A$3,"Local Authority","Stirling")</f>
        <v>19</v>
      </c>
      <c r="H39" s="50">
        <f>GETPIVOTDATA("Sum of Other Sleeping Accomm",auditlapivot!$A$3,"Local Authority","Stirling")</f>
        <v>5</v>
      </c>
      <c r="I39" s="50">
        <f>GETPIVOTDATA("Sum of Further Education",auditlapivot!$A$3,"Local Authority","Stirling")</f>
        <v>0</v>
      </c>
      <c r="J39" s="50">
        <f>GETPIVOTDATA("Sum of Public Building",auditlapivot!$A$3,"Local Authority","Stirling")</f>
        <v>0</v>
      </c>
      <c r="K39" s="50">
        <f>GETPIVOTDATA("Sum of Licensed Premises",auditlapivot!$A$3,"Local Authority","Stirling")</f>
        <v>1</v>
      </c>
      <c r="L39" s="50">
        <f>GETPIVOTDATA("Sum of School",auditlapivot!$A$3,"Local Authority","Stirling")</f>
        <v>0</v>
      </c>
      <c r="M39" s="50">
        <f>GETPIVOTDATA("Sum of Shop",auditlapivot!$A$3,"Local Authority","Stirling")</f>
        <v>1</v>
      </c>
      <c r="N39" s="50">
        <f>GETPIVOTDATA("Sum of Other Premises Open to Public",auditlapivot!$A$3,"Local Authority","Stirling")</f>
        <v>1</v>
      </c>
      <c r="O39" s="50">
        <f>GETPIVOTDATA("Sum of Factory or Warehouse",auditlapivot!$A$3,"Local Authority","Stirling")</f>
        <v>1</v>
      </c>
      <c r="P39" s="50">
        <f>GETPIVOTDATA("Sum of Office",auditlapivot!$A$3,"Local Authority","Stirling")</f>
        <v>0</v>
      </c>
      <c r="Q39" s="50">
        <f>GETPIVOTDATA("Sum of Other Workplace",auditlapivot!$A$3,"Local Authority","Stirling")</f>
        <v>1</v>
      </c>
      <c r="R39" s="785">
        <f t="shared" si="1"/>
        <v>95</v>
      </c>
      <c r="S39" s="69">
        <f t="shared" si="0"/>
        <v>64</v>
      </c>
    </row>
    <row r="40" spans="1:19" x14ac:dyDescent="0.25">
      <c r="A40" s="396" t="s">
        <v>290</v>
      </c>
      <c r="B40" s="548" t="s">
        <v>59</v>
      </c>
      <c r="C40" s="50">
        <f>GETPIVOTDATA("Sum of Hospital / Prison",auditlapivot!$A$3,"Local Authority","West Dunbartonshire")</f>
        <v>8</v>
      </c>
      <c r="D40" s="50">
        <f>GETPIVOTDATA("Sum of Care home",auditlapivot!$A$3,"Local Authority","West Dunbartonshire")</f>
        <v>17</v>
      </c>
      <c r="E40" s="50">
        <f>GETPIVOTDATA("Sum of HMO",auditlapivot!$A$3,"Local Authority","West Dunbartonshire")</f>
        <v>18</v>
      </c>
      <c r="F40" s="50">
        <f>GETPIVOTDATA("Sum of Hostel",auditlapivot!$A$3,"Local Authority","West Dunbartonshire")</f>
        <v>0</v>
      </c>
      <c r="G40" s="50">
        <f>GETPIVOTDATA("Sum of Hotel",auditlapivot!$A$3,"Local Authority","West Dunbartonshire")</f>
        <v>19</v>
      </c>
      <c r="H40" s="50">
        <f>GETPIVOTDATA("Sum of Other Sleeping Accomm",auditlapivot!$A$3,"Local Authority","West Dunbartonshire")</f>
        <v>40</v>
      </c>
      <c r="I40" s="50">
        <f>GETPIVOTDATA("Sum of Further Education",auditlapivot!$A$3,"Local Authority","West Dunbartonshire")</f>
        <v>0</v>
      </c>
      <c r="J40" s="50">
        <f>GETPIVOTDATA("Sum of Public Building",auditlapivot!$A$3,"Local Authority","West Dunbartonshire")</f>
        <v>1</v>
      </c>
      <c r="K40" s="50">
        <f>GETPIVOTDATA("Sum of Licensed Premises",auditlapivot!$A$3,"Local Authority","West Dunbartonshire")</f>
        <v>1</v>
      </c>
      <c r="L40" s="50">
        <f>GETPIVOTDATA("Sum of School",auditlapivot!$A$3,"Local Authority","West Dunbartonshire")</f>
        <v>1</v>
      </c>
      <c r="M40" s="50">
        <f>GETPIVOTDATA("Sum of Shop",auditlapivot!$A$3,"Local Authority","West Dunbartonshire")</f>
        <v>3</v>
      </c>
      <c r="N40" s="50">
        <f>GETPIVOTDATA("Sum of Other Premises Open to Public",auditlapivot!$A$3,"Local Authority","West Dunbartonshire")</f>
        <v>2</v>
      </c>
      <c r="O40" s="50">
        <f>GETPIVOTDATA("Sum of Factory or Warehouse",auditlapivot!$A$3,"Local Authority","West Dunbartonshire")</f>
        <v>14</v>
      </c>
      <c r="P40" s="50">
        <f>GETPIVOTDATA("Sum of Office",auditlapivot!$A$3,"Local Authority","West Dunbartonshire")</f>
        <v>3</v>
      </c>
      <c r="Q40" s="50">
        <f>GETPIVOTDATA("Sum of Other Workplace",auditlapivot!$A$3,"Local Authority","West Dunbartonshire")</f>
        <v>2</v>
      </c>
      <c r="R40" s="785">
        <f t="shared" si="1"/>
        <v>129</v>
      </c>
      <c r="S40" s="69">
        <f t="shared" si="0"/>
        <v>111</v>
      </c>
    </row>
    <row r="41" spans="1:19" x14ac:dyDescent="0.25">
      <c r="A41" s="396" t="s">
        <v>291</v>
      </c>
      <c r="B41" s="549" t="s">
        <v>60</v>
      </c>
      <c r="C41" s="50">
        <f>GETPIVOTDATA("Sum of Hospital / Prison",auditlapivot!$A$3,"Local Authority","West Lothian")</f>
        <v>7</v>
      </c>
      <c r="D41" s="50">
        <f>GETPIVOTDATA("Sum of Care home",auditlapivot!$A$3,"Local Authority","West Lothian")</f>
        <v>49</v>
      </c>
      <c r="E41" s="50">
        <f>GETPIVOTDATA("Sum of HMO",auditlapivot!$A$3,"Local Authority","West Lothian")</f>
        <v>38</v>
      </c>
      <c r="F41" s="50">
        <f>GETPIVOTDATA("Sum of Hostel",auditlapivot!$A$3,"Local Authority","West Lothian")</f>
        <v>0</v>
      </c>
      <c r="G41" s="50">
        <f>GETPIVOTDATA("Sum of Hotel",auditlapivot!$A$3,"Local Authority","West Lothian")</f>
        <v>14</v>
      </c>
      <c r="H41" s="50">
        <f>GETPIVOTDATA("Sum of Other Sleeping Accomm",auditlapivot!$A$3,"Local Authority","West Lothian")</f>
        <v>10</v>
      </c>
      <c r="I41" s="50">
        <f>GETPIVOTDATA("Sum of Further Education",auditlapivot!$A$3,"Local Authority","West Lothian")</f>
        <v>1</v>
      </c>
      <c r="J41" s="50">
        <f>GETPIVOTDATA("Sum of Public Building",auditlapivot!$A$3,"Local Authority","West Lothian")</f>
        <v>1</v>
      </c>
      <c r="K41" s="50">
        <f>GETPIVOTDATA("Sum of Licensed Premises",auditlapivot!$A$3,"Local Authority","West Lothian")</f>
        <v>8</v>
      </c>
      <c r="L41" s="50">
        <f>GETPIVOTDATA("Sum of School",auditlapivot!$A$3,"Local Authority","West Lothian")</f>
        <v>10</v>
      </c>
      <c r="M41" s="50">
        <f>GETPIVOTDATA("Sum of Shop",auditlapivot!$A$3,"Local Authority","West Lothian")</f>
        <v>18</v>
      </c>
      <c r="N41" s="50">
        <f>GETPIVOTDATA("Sum of Other Premises Open to Public",auditlapivot!$A$3,"Local Authority","West Lothian")</f>
        <v>15</v>
      </c>
      <c r="O41" s="50">
        <f>GETPIVOTDATA("Sum of Factory or Warehouse",auditlapivot!$A$3,"Local Authority","West Lothian")</f>
        <v>16</v>
      </c>
      <c r="P41" s="50">
        <f>GETPIVOTDATA("Sum of Office",auditlapivot!$A$3,"Local Authority","West Lothian")</f>
        <v>3</v>
      </c>
      <c r="Q41" s="50">
        <f>GETPIVOTDATA("Sum of Other Workplace",auditlapivot!$A$3,"Local Authority","West Lothian")</f>
        <v>4</v>
      </c>
      <c r="R41" s="785">
        <f t="shared" si="1"/>
        <v>194</v>
      </c>
      <c r="S41" s="69">
        <f t="shared" si="0"/>
        <v>156</v>
      </c>
    </row>
    <row r="42" spans="1:19" ht="15.75" thickBot="1" x14ac:dyDescent="0.3">
      <c r="A42" s="215"/>
      <c r="B42" s="547" t="s">
        <v>731</v>
      </c>
      <c r="C42" s="244">
        <f>SUM(C10:C41)</f>
        <v>287</v>
      </c>
      <c r="D42" s="244">
        <f t="shared" ref="D42:O42" si="2">SUM(D10:D41)</f>
        <v>1610</v>
      </c>
      <c r="E42" s="244">
        <f t="shared" si="2"/>
        <v>1826</v>
      </c>
      <c r="F42" s="244">
        <f t="shared" si="2"/>
        <v>50</v>
      </c>
      <c r="G42" s="244">
        <f t="shared" si="2"/>
        <v>1110</v>
      </c>
      <c r="H42" s="244">
        <f t="shared" si="2"/>
        <v>1255</v>
      </c>
      <c r="I42" s="244">
        <f>SUM(I10:I41)</f>
        <v>11</v>
      </c>
      <c r="J42" s="244">
        <f t="shared" si="2"/>
        <v>25</v>
      </c>
      <c r="K42" s="244">
        <f t="shared" si="2"/>
        <v>204</v>
      </c>
      <c r="L42" s="244">
        <f t="shared" si="2"/>
        <v>159</v>
      </c>
      <c r="M42" s="244">
        <f t="shared" si="2"/>
        <v>299</v>
      </c>
      <c r="N42" s="244">
        <f t="shared" si="2"/>
        <v>172</v>
      </c>
      <c r="O42" s="244">
        <f t="shared" si="2"/>
        <v>218</v>
      </c>
      <c r="P42" s="244">
        <f>SUM(P10:P41)</f>
        <v>242</v>
      </c>
      <c r="Q42" s="244">
        <f>SUM(Q10:Q41)</f>
        <v>168</v>
      </c>
      <c r="R42" s="410">
        <f>SUM(R10:R41)</f>
        <v>7636</v>
      </c>
      <c r="S42" s="244">
        <f>SUM(S10:S41)</f>
        <v>5810</v>
      </c>
    </row>
    <row r="43" spans="1:19" x14ac:dyDescent="0.25">
      <c r="B43" s="15"/>
      <c r="C43" s="15"/>
      <c r="D43" s="15"/>
      <c r="E43" s="15"/>
      <c r="F43" s="15"/>
      <c r="G43" s="15"/>
      <c r="H43" s="15"/>
      <c r="I43" s="15"/>
      <c r="J43" s="15"/>
      <c r="K43" s="15"/>
      <c r="L43" s="15"/>
      <c r="M43" s="15"/>
      <c r="N43" s="15"/>
      <c r="O43" s="15"/>
      <c r="P43" s="15"/>
      <c r="Q43" s="15"/>
      <c r="R43" s="15"/>
      <c r="S43" s="15"/>
    </row>
    <row r="44" spans="1:19" x14ac:dyDescent="0.25">
      <c r="A44" s="548" t="s">
        <v>8</v>
      </c>
      <c r="B44" s="1040"/>
      <c r="C44" s="1040"/>
      <c r="D44" s="1040"/>
      <c r="E44" s="1040"/>
      <c r="F44" s="1040"/>
      <c r="G44" s="1040"/>
      <c r="H44" s="1040"/>
      <c r="I44" s="1040"/>
      <c r="J44" s="1040"/>
      <c r="K44" s="1040"/>
      <c r="L44" s="1040"/>
      <c r="M44" s="1040"/>
      <c r="N44" s="1040"/>
      <c r="O44" s="1040"/>
      <c r="P44" s="1040"/>
      <c r="Q44" s="1040"/>
      <c r="R44" s="1040"/>
      <c r="S44" s="1040"/>
    </row>
    <row r="45" spans="1:19" x14ac:dyDescent="0.25">
      <c r="A45" t="s">
        <v>563</v>
      </c>
      <c r="B45" s="352"/>
      <c r="C45" s="352"/>
      <c r="D45" s="352"/>
      <c r="E45" s="352"/>
      <c r="F45" s="352"/>
      <c r="G45" s="352"/>
      <c r="H45" s="352"/>
      <c r="I45" s="352"/>
      <c r="J45" s="352"/>
      <c r="K45" s="352"/>
      <c r="L45" s="352"/>
      <c r="M45" s="352"/>
      <c r="N45" s="352"/>
      <c r="O45" s="352"/>
      <c r="P45" s="352"/>
      <c r="Q45" s="352"/>
      <c r="R45" s="352"/>
      <c r="S45" s="352"/>
    </row>
  </sheetData>
  <sheetProtection algorithmName="SHA-512" hashValue="pZEMU05XIXAhH/tvHzit4NNHGwBUjufVtm71TL4kWeM0vo1XM7Plts4erw1oDh32c3jh3rbaWUBR7WM+sSo9xw==" saltValue="Ge6B2vF5qDgffAROPCkrig==" spinCount="100000" sheet="1" scenarios="1" formatCells="0" sort="0" autoFilter="0" pivotTables="0"/>
  <mergeCells count="2">
    <mergeCell ref="B44:S44"/>
    <mergeCell ref="A4:K4"/>
  </mergeCells>
  <hyperlinks>
    <hyperlink ref="A2" location="'Table of Contents'!A1" display="Back to Table of Contents" xr:uid="{00000000-0004-0000-A400-000000000000}"/>
  </hyperlinks>
  <pageMargins left="0.70866141732283472" right="0.70866141732283472" top="0.74803149606299213" bottom="0.74803149606299213" header="0.31496062992125984" footer="0.31496062992125984"/>
  <pageSetup paperSize="9" scale="69" orientation="landscape" r:id="rId1"/>
  <drawing r:id="rId2"/>
  <extLst>
    <ext xmlns:x14="http://schemas.microsoft.com/office/spreadsheetml/2009/9/main" uri="{A8765BA9-456A-4dab-B4F3-ACF838C121DE}">
      <x14:slicerList>
        <x14:slicer r:id="rId3"/>
      </x14:slicerList>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abColor theme="3" tint="0.39997558519241921"/>
  </sheetPr>
  <dimension ref="A1:P39"/>
  <sheetViews>
    <sheetView topLeftCell="A7" workbookViewId="0">
      <selection activeCell="D17" sqref="D17"/>
    </sheetView>
  </sheetViews>
  <sheetFormatPr defaultRowHeight="15" x14ac:dyDescent="0.25"/>
  <cols>
    <col min="1" max="1" width="31.7109375" bestFit="1" customWidth="1"/>
    <col min="2" max="2" width="21.5703125" bestFit="1" customWidth="1"/>
    <col min="3" max="3" width="16.7109375" bestFit="1" customWidth="1"/>
    <col min="4" max="4" width="11.5703125" bestFit="1" customWidth="1"/>
    <col min="5" max="5" width="12.85546875" bestFit="1" customWidth="1"/>
    <col min="6" max="6" width="11.85546875" bestFit="1" customWidth="1"/>
    <col min="7" max="7" width="22.5703125" bestFit="1" customWidth="1"/>
    <col min="8" max="8" width="20" bestFit="1" customWidth="1"/>
    <col min="9" max="9" width="23.140625" bestFit="1" customWidth="1"/>
    <col min="10" max="10" width="12.85546875" bestFit="1" customWidth="1"/>
    <col min="11" max="11" width="11.42578125" bestFit="1" customWidth="1"/>
    <col min="12" max="12" width="28.140625" bestFit="1" customWidth="1"/>
    <col min="13" max="13" width="26.28515625" bestFit="1" customWidth="1"/>
    <col min="14" max="14" width="12.5703125" bestFit="1" customWidth="1"/>
    <col min="15" max="15" width="22.140625" bestFit="1" customWidth="1"/>
    <col min="16" max="16" width="33.85546875" bestFit="1" customWidth="1"/>
  </cols>
  <sheetData>
    <row r="1" spans="1:16" x14ac:dyDescent="0.25">
      <c r="A1" s="394" t="s">
        <v>1</v>
      </c>
      <c r="B1" t="s">
        <v>1108</v>
      </c>
    </row>
    <row r="3" spans="1:16" x14ac:dyDescent="0.25">
      <c r="A3" s="394" t="s">
        <v>231</v>
      </c>
      <c r="B3" t="s">
        <v>374</v>
      </c>
      <c r="C3" t="s">
        <v>375</v>
      </c>
      <c r="D3" t="s">
        <v>376</v>
      </c>
      <c r="E3" t="s">
        <v>377</v>
      </c>
      <c r="F3" t="s">
        <v>378</v>
      </c>
      <c r="G3" t="s">
        <v>379</v>
      </c>
      <c r="H3" t="s">
        <v>380</v>
      </c>
      <c r="I3" t="s">
        <v>381</v>
      </c>
      <c r="J3" t="s">
        <v>382</v>
      </c>
      <c r="K3" t="s">
        <v>383</v>
      </c>
      <c r="L3" t="s">
        <v>947</v>
      </c>
      <c r="M3" t="s">
        <v>385</v>
      </c>
      <c r="N3" t="s">
        <v>386</v>
      </c>
      <c r="O3" t="s">
        <v>387</v>
      </c>
      <c r="P3" t="s">
        <v>384</v>
      </c>
    </row>
    <row r="4" spans="1:16" x14ac:dyDescent="0.25">
      <c r="A4" s="395" t="s">
        <v>31</v>
      </c>
      <c r="B4">
        <v>14</v>
      </c>
      <c r="C4">
        <v>73</v>
      </c>
      <c r="D4">
        <v>132</v>
      </c>
      <c r="E4">
        <v>1</v>
      </c>
      <c r="F4">
        <v>68</v>
      </c>
      <c r="G4">
        <v>1</v>
      </c>
      <c r="I4">
        <v>5</v>
      </c>
      <c r="J4">
        <v>3</v>
      </c>
      <c r="K4">
        <v>2</v>
      </c>
      <c r="L4">
        <v>22</v>
      </c>
      <c r="M4">
        <v>1</v>
      </c>
      <c r="N4">
        <v>10</v>
      </c>
      <c r="O4">
        <v>10</v>
      </c>
      <c r="P4">
        <v>6</v>
      </c>
    </row>
    <row r="5" spans="1:16" x14ac:dyDescent="0.25">
      <c r="A5" s="395" t="s">
        <v>32</v>
      </c>
      <c r="B5">
        <v>8</v>
      </c>
      <c r="C5">
        <v>67</v>
      </c>
      <c r="D5">
        <v>16</v>
      </c>
      <c r="E5">
        <v>2</v>
      </c>
      <c r="F5">
        <v>28</v>
      </c>
      <c r="H5">
        <v>5</v>
      </c>
      <c r="I5">
        <v>3</v>
      </c>
      <c r="J5">
        <v>7</v>
      </c>
      <c r="K5">
        <v>11</v>
      </c>
      <c r="L5">
        <v>147</v>
      </c>
      <c r="M5">
        <v>19</v>
      </c>
      <c r="N5">
        <v>4</v>
      </c>
      <c r="O5">
        <v>10</v>
      </c>
      <c r="P5">
        <v>6</v>
      </c>
    </row>
    <row r="6" spans="1:16" x14ac:dyDescent="0.25">
      <c r="A6" s="395" t="s">
        <v>33</v>
      </c>
      <c r="B6">
        <v>7</v>
      </c>
      <c r="C6">
        <v>38</v>
      </c>
      <c r="D6">
        <v>6</v>
      </c>
      <c r="F6">
        <v>9</v>
      </c>
      <c r="H6">
        <v>2</v>
      </c>
      <c r="I6">
        <v>4</v>
      </c>
      <c r="J6">
        <v>7</v>
      </c>
      <c r="K6">
        <v>3</v>
      </c>
      <c r="L6">
        <v>15</v>
      </c>
      <c r="M6">
        <v>7</v>
      </c>
      <c r="O6">
        <v>3</v>
      </c>
      <c r="P6">
        <v>2</v>
      </c>
    </row>
    <row r="7" spans="1:16" x14ac:dyDescent="0.25">
      <c r="A7" s="395" t="s">
        <v>34</v>
      </c>
      <c r="B7">
        <v>6</v>
      </c>
      <c r="C7">
        <v>30</v>
      </c>
      <c r="D7">
        <v>18</v>
      </c>
      <c r="E7">
        <v>2</v>
      </c>
      <c r="F7">
        <v>78</v>
      </c>
      <c r="H7">
        <v>2</v>
      </c>
      <c r="I7">
        <v>3</v>
      </c>
      <c r="J7">
        <v>1</v>
      </c>
      <c r="K7">
        <v>4</v>
      </c>
      <c r="L7">
        <v>319</v>
      </c>
      <c r="M7">
        <v>5</v>
      </c>
      <c r="N7">
        <v>2</v>
      </c>
      <c r="O7">
        <v>1</v>
      </c>
      <c r="P7">
        <v>10</v>
      </c>
    </row>
    <row r="8" spans="1:16" x14ac:dyDescent="0.25">
      <c r="A8" s="395" t="s">
        <v>243</v>
      </c>
      <c r="B8">
        <v>35</v>
      </c>
      <c r="C8">
        <v>113</v>
      </c>
      <c r="D8">
        <v>277</v>
      </c>
      <c r="E8">
        <v>12</v>
      </c>
      <c r="F8">
        <v>84</v>
      </c>
      <c r="G8">
        <v>1</v>
      </c>
      <c r="H8">
        <v>1</v>
      </c>
      <c r="I8">
        <v>33</v>
      </c>
      <c r="J8">
        <v>5</v>
      </c>
      <c r="K8">
        <v>24</v>
      </c>
      <c r="L8">
        <v>33</v>
      </c>
      <c r="M8">
        <v>5</v>
      </c>
      <c r="N8">
        <v>11</v>
      </c>
      <c r="O8">
        <v>6</v>
      </c>
      <c r="P8">
        <v>8</v>
      </c>
    </row>
    <row r="9" spans="1:16" x14ac:dyDescent="0.25">
      <c r="A9" s="395" t="s">
        <v>35</v>
      </c>
      <c r="C9">
        <v>22</v>
      </c>
      <c r="F9">
        <v>1</v>
      </c>
      <c r="K9">
        <v>1</v>
      </c>
      <c r="P9">
        <v>1</v>
      </c>
    </row>
    <row r="10" spans="1:16" x14ac:dyDescent="0.25">
      <c r="A10" s="395" t="s">
        <v>36</v>
      </c>
      <c r="B10">
        <v>13</v>
      </c>
      <c r="C10">
        <v>52</v>
      </c>
      <c r="D10">
        <v>25</v>
      </c>
      <c r="F10">
        <v>33</v>
      </c>
      <c r="H10">
        <v>2</v>
      </c>
      <c r="I10">
        <v>3</v>
      </c>
      <c r="J10">
        <v>3</v>
      </c>
      <c r="K10">
        <v>6</v>
      </c>
      <c r="L10">
        <v>234</v>
      </c>
      <c r="M10">
        <v>6</v>
      </c>
      <c r="N10">
        <v>5</v>
      </c>
      <c r="O10">
        <v>3</v>
      </c>
      <c r="P10">
        <v>4</v>
      </c>
    </row>
    <row r="11" spans="1:16" x14ac:dyDescent="0.25">
      <c r="A11" s="395" t="s">
        <v>37</v>
      </c>
      <c r="B11">
        <v>16</v>
      </c>
      <c r="C11">
        <v>37</v>
      </c>
      <c r="D11">
        <v>197</v>
      </c>
      <c r="E11">
        <v>1</v>
      </c>
      <c r="F11">
        <v>18</v>
      </c>
      <c r="G11">
        <v>1</v>
      </c>
      <c r="I11">
        <v>8</v>
      </c>
      <c r="J11">
        <v>19</v>
      </c>
      <c r="K11">
        <v>4</v>
      </c>
      <c r="L11">
        <v>16</v>
      </c>
      <c r="M11">
        <v>3</v>
      </c>
      <c r="O11">
        <v>4</v>
      </c>
      <c r="P11">
        <v>4</v>
      </c>
    </row>
    <row r="12" spans="1:16" x14ac:dyDescent="0.25">
      <c r="A12" s="395" t="s">
        <v>38</v>
      </c>
      <c r="B12">
        <v>8</v>
      </c>
      <c r="C12">
        <v>54</v>
      </c>
      <c r="D12">
        <v>21</v>
      </c>
      <c r="F12">
        <v>14</v>
      </c>
      <c r="I12">
        <v>3</v>
      </c>
      <c r="J12">
        <v>2</v>
      </c>
      <c r="K12">
        <v>22</v>
      </c>
      <c r="L12">
        <v>31</v>
      </c>
      <c r="M12">
        <v>20</v>
      </c>
      <c r="N12">
        <v>4</v>
      </c>
      <c r="O12">
        <v>3</v>
      </c>
      <c r="P12">
        <v>1</v>
      </c>
    </row>
    <row r="13" spans="1:16" x14ac:dyDescent="0.25">
      <c r="A13" s="395" t="s">
        <v>39</v>
      </c>
      <c r="B13">
        <v>4</v>
      </c>
      <c r="C13">
        <v>25</v>
      </c>
      <c r="D13">
        <v>23</v>
      </c>
      <c r="F13">
        <v>2</v>
      </c>
      <c r="I13">
        <v>2</v>
      </c>
      <c r="J13">
        <v>3</v>
      </c>
      <c r="L13">
        <v>1</v>
      </c>
      <c r="N13">
        <v>1</v>
      </c>
      <c r="O13">
        <v>1</v>
      </c>
      <c r="P13">
        <v>1</v>
      </c>
    </row>
    <row r="14" spans="1:16" x14ac:dyDescent="0.25">
      <c r="A14" s="395" t="s">
        <v>40</v>
      </c>
      <c r="B14">
        <v>1</v>
      </c>
      <c r="C14">
        <v>25</v>
      </c>
      <c r="D14">
        <v>9</v>
      </c>
      <c r="F14">
        <v>20</v>
      </c>
      <c r="I14">
        <v>31</v>
      </c>
      <c r="J14">
        <v>8</v>
      </c>
      <c r="K14">
        <v>3</v>
      </c>
      <c r="L14">
        <v>10</v>
      </c>
      <c r="M14">
        <v>6</v>
      </c>
      <c r="N14">
        <v>1</v>
      </c>
      <c r="O14">
        <v>2</v>
      </c>
      <c r="P14">
        <v>1</v>
      </c>
    </row>
    <row r="15" spans="1:16" x14ac:dyDescent="0.25">
      <c r="A15" s="395" t="s">
        <v>41</v>
      </c>
      <c r="C15">
        <v>11</v>
      </c>
      <c r="D15">
        <v>13</v>
      </c>
      <c r="F15">
        <v>8</v>
      </c>
      <c r="J15">
        <v>9</v>
      </c>
      <c r="K15">
        <v>4</v>
      </c>
      <c r="L15">
        <v>5</v>
      </c>
      <c r="P15">
        <v>4</v>
      </c>
    </row>
    <row r="16" spans="1:16" x14ac:dyDescent="0.25">
      <c r="A16" s="395" t="s">
        <v>42</v>
      </c>
      <c r="B16">
        <v>11</v>
      </c>
      <c r="C16">
        <v>37</v>
      </c>
      <c r="D16">
        <v>20</v>
      </c>
      <c r="E16">
        <v>1</v>
      </c>
      <c r="F16">
        <v>19</v>
      </c>
      <c r="G16">
        <v>1</v>
      </c>
      <c r="H16">
        <v>1</v>
      </c>
      <c r="I16">
        <v>2</v>
      </c>
      <c r="J16">
        <v>8</v>
      </c>
      <c r="K16">
        <v>5</v>
      </c>
      <c r="M16">
        <v>8</v>
      </c>
      <c r="O16">
        <v>2</v>
      </c>
      <c r="P16">
        <v>6</v>
      </c>
    </row>
    <row r="17" spans="1:16" x14ac:dyDescent="0.25">
      <c r="A17" s="395" t="s">
        <v>43</v>
      </c>
      <c r="B17">
        <v>7</v>
      </c>
      <c r="C17">
        <v>113</v>
      </c>
      <c r="D17">
        <v>219</v>
      </c>
      <c r="F17">
        <v>17</v>
      </c>
      <c r="I17">
        <v>1</v>
      </c>
      <c r="K17">
        <v>2</v>
      </c>
      <c r="L17">
        <v>12</v>
      </c>
      <c r="M17">
        <v>2</v>
      </c>
      <c r="P17">
        <v>2</v>
      </c>
    </row>
    <row r="18" spans="1:16" x14ac:dyDescent="0.25">
      <c r="A18" s="395" t="s">
        <v>117</v>
      </c>
      <c r="B18">
        <v>13</v>
      </c>
      <c r="C18">
        <v>135</v>
      </c>
      <c r="D18">
        <v>528</v>
      </c>
      <c r="E18">
        <v>9</v>
      </c>
      <c r="F18">
        <v>104</v>
      </c>
      <c r="G18">
        <v>2</v>
      </c>
      <c r="H18">
        <v>3</v>
      </c>
      <c r="I18">
        <v>24</v>
      </c>
      <c r="J18">
        <v>20</v>
      </c>
      <c r="K18">
        <v>27</v>
      </c>
      <c r="L18">
        <v>17</v>
      </c>
      <c r="M18">
        <v>2</v>
      </c>
      <c r="N18">
        <v>8</v>
      </c>
      <c r="O18">
        <v>10</v>
      </c>
      <c r="P18">
        <v>11</v>
      </c>
    </row>
    <row r="19" spans="1:16" x14ac:dyDescent="0.25">
      <c r="A19" s="395" t="s">
        <v>44</v>
      </c>
      <c r="B19">
        <v>19</v>
      </c>
      <c r="C19">
        <v>88</v>
      </c>
      <c r="D19">
        <v>37</v>
      </c>
      <c r="E19">
        <v>11</v>
      </c>
      <c r="F19">
        <v>167</v>
      </c>
      <c r="I19">
        <v>3</v>
      </c>
      <c r="J19">
        <v>2</v>
      </c>
      <c r="K19">
        <v>5</v>
      </c>
      <c r="L19">
        <v>14</v>
      </c>
      <c r="M19">
        <v>4</v>
      </c>
      <c r="N19">
        <v>2</v>
      </c>
      <c r="O19">
        <v>3</v>
      </c>
      <c r="P19">
        <v>7</v>
      </c>
    </row>
    <row r="20" spans="1:16" x14ac:dyDescent="0.25">
      <c r="A20" s="395" t="s">
        <v>45</v>
      </c>
      <c r="B20">
        <v>9</v>
      </c>
      <c r="C20">
        <v>29</v>
      </c>
      <c r="D20">
        <v>6</v>
      </c>
      <c r="F20">
        <v>6</v>
      </c>
      <c r="H20">
        <v>2</v>
      </c>
      <c r="I20">
        <v>2</v>
      </c>
      <c r="J20">
        <v>1</v>
      </c>
      <c r="K20">
        <v>4</v>
      </c>
      <c r="L20">
        <v>12</v>
      </c>
      <c r="M20">
        <v>5</v>
      </c>
      <c r="N20">
        <v>3</v>
      </c>
      <c r="O20">
        <v>5</v>
      </c>
      <c r="P20">
        <v>6</v>
      </c>
    </row>
    <row r="21" spans="1:16" x14ac:dyDescent="0.25">
      <c r="A21" s="395" t="s">
        <v>46</v>
      </c>
      <c r="B21">
        <v>2</v>
      </c>
      <c r="C21">
        <v>12</v>
      </c>
      <c r="D21">
        <v>18</v>
      </c>
      <c r="F21">
        <v>8</v>
      </c>
      <c r="I21">
        <v>5</v>
      </c>
      <c r="J21">
        <v>7</v>
      </c>
      <c r="K21">
        <v>4</v>
      </c>
      <c r="L21">
        <v>60</v>
      </c>
      <c r="M21">
        <v>5</v>
      </c>
      <c r="N21">
        <v>1</v>
      </c>
      <c r="O21">
        <v>6</v>
      </c>
      <c r="P21">
        <v>4</v>
      </c>
    </row>
    <row r="22" spans="1:16" x14ac:dyDescent="0.25">
      <c r="A22" s="395" t="s">
        <v>47</v>
      </c>
      <c r="B22">
        <v>3</v>
      </c>
      <c r="C22">
        <v>19</v>
      </c>
      <c r="D22">
        <v>9</v>
      </c>
      <c r="F22">
        <v>28</v>
      </c>
      <c r="I22">
        <v>3</v>
      </c>
      <c r="J22">
        <v>2</v>
      </c>
      <c r="K22">
        <v>4</v>
      </c>
      <c r="L22">
        <v>51</v>
      </c>
      <c r="N22">
        <v>1</v>
      </c>
      <c r="P22">
        <v>3</v>
      </c>
    </row>
    <row r="23" spans="1:16" x14ac:dyDescent="0.25">
      <c r="A23" s="395" t="s">
        <v>946</v>
      </c>
      <c r="B23">
        <v>3</v>
      </c>
      <c r="C23">
        <v>11</v>
      </c>
      <c r="D23">
        <v>1</v>
      </c>
      <c r="E23">
        <v>3</v>
      </c>
      <c r="F23">
        <v>14</v>
      </c>
      <c r="L23">
        <v>1</v>
      </c>
      <c r="M23">
        <v>1</v>
      </c>
    </row>
    <row r="24" spans="1:16" x14ac:dyDescent="0.25">
      <c r="A24" s="395" t="s">
        <v>49</v>
      </c>
      <c r="B24">
        <v>3</v>
      </c>
      <c r="C24">
        <v>79</v>
      </c>
      <c r="D24">
        <v>11</v>
      </c>
      <c r="F24">
        <v>30</v>
      </c>
      <c r="G24">
        <v>1</v>
      </c>
      <c r="H24">
        <v>1</v>
      </c>
      <c r="I24">
        <v>10</v>
      </c>
      <c r="J24">
        <v>4</v>
      </c>
      <c r="K24">
        <v>16</v>
      </c>
      <c r="L24">
        <v>25</v>
      </c>
      <c r="M24">
        <v>37</v>
      </c>
      <c r="N24">
        <v>9</v>
      </c>
      <c r="O24">
        <v>21</v>
      </c>
      <c r="P24">
        <v>11</v>
      </c>
    </row>
    <row r="25" spans="1:16" x14ac:dyDescent="0.25">
      <c r="A25" s="395" t="s">
        <v>50</v>
      </c>
      <c r="B25">
        <v>12</v>
      </c>
      <c r="C25">
        <v>58</v>
      </c>
      <c r="D25">
        <v>16</v>
      </c>
      <c r="F25">
        <v>48</v>
      </c>
      <c r="G25">
        <v>3</v>
      </c>
      <c r="H25">
        <v>1</v>
      </c>
      <c r="I25">
        <v>21</v>
      </c>
      <c r="J25">
        <v>2</v>
      </c>
      <c r="K25">
        <v>48</v>
      </c>
      <c r="L25">
        <v>5</v>
      </c>
      <c r="M25">
        <v>26</v>
      </c>
      <c r="N25">
        <v>136</v>
      </c>
      <c r="O25">
        <v>38</v>
      </c>
      <c r="P25">
        <v>11</v>
      </c>
    </row>
    <row r="26" spans="1:16" x14ac:dyDescent="0.25">
      <c r="A26" s="395" t="s">
        <v>51</v>
      </c>
      <c r="B26">
        <v>1</v>
      </c>
      <c r="C26">
        <v>8</v>
      </c>
      <c r="D26">
        <v>1</v>
      </c>
      <c r="E26">
        <v>1</v>
      </c>
      <c r="F26">
        <v>8</v>
      </c>
      <c r="K26">
        <v>1</v>
      </c>
      <c r="L26">
        <v>4</v>
      </c>
    </row>
    <row r="27" spans="1:16" x14ac:dyDescent="0.25">
      <c r="A27" s="395" t="s">
        <v>52</v>
      </c>
      <c r="B27">
        <v>25</v>
      </c>
      <c r="C27">
        <v>63</v>
      </c>
      <c r="D27">
        <v>17</v>
      </c>
      <c r="F27">
        <v>64</v>
      </c>
      <c r="H27">
        <v>1</v>
      </c>
      <c r="I27">
        <v>6</v>
      </c>
      <c r="J27">
        <v>3</v>
      </c>
      <c r="K27">
        <v>3</v>
      </c>
      <c r="L27">
        <v>31</v>
      </c>
      <c r="N27">
        <v>4</v>
      </c>
      <c r="O27">
        <v>9</v>
      </c>
      <c r="P27">
        <v>3</v>
      </c>
    </row>
    <row r="28" spans="1:16" x14ac:dyDescent="0.25">
      <c r="A28" s="395" t="s">
        <v>53</v>
      </c>
      <c r="B28">
        <v>2</v>
      </c>
      <c r="C28">
        <v>64</v>
      </c>
      <c r="D28">
        <v>22</v>
      </c>
      <c r="F28">
        <v>25</v>
      </c>
      <c r="H28">
        <v>1</v>
      </c>
      <c r="I28">
        <v>6</v>
      </c>
      <c r="J28">
        <v>6</v>
      </c>
      <c r="K28">
        <v>15</v>
      </c>
      <c r="L28">
        <v>25</v>
      </c>
      <c r="M28">
        <v>6</v>
      </c>
      <c r="N28">
        <v>8</v>
      </c>
      <c r="O28">
        <v>4</v>
      </c>
      <c r="P28">
        <v>13</v>
      </c>
    </row>
    <row r="29" spans="1:16" x14ac:dyDescent="0.25">
      <c r="A29" s="395" t="s">
        <v>54</v>
      </c>
      <c r="B29">
        <v>16</v>
      </c>
      <c r="C29">
        <v>36</v>
      </c>
      <c r="D29">
        <v>3</v>
      </c>
      <c r="F29">
        <v>34</v>
      </c>
      <c r="I29">
        <v>4</v>
      </c>
      <c r="J29">
        <v>3</v>
      </c>
      <c r="K29">
        <v>5</v>
      </c>
      <c r="L29">
        <v>52</v>
      </c>
      <c r="M29">
        <v>2</v>
      </c>
      <c r="O29">
        <v>2</v>
      </c>
      <c r="P29">
        <v>3</v>
      </c>
    </row>
    <row r="30" spans="1:16" x14ac:dyDescent="0.25">
      <c r="A30" s="395" t="s">
        <v>55</v>
      </c>
      <c r="B30">
        <v>1</v>
      </c>
      <c r="C30">
        <v>16</v>
      </c>
      <c r="D30">
        <v>4</v>
      </c>
      <c r="E30">
        <v>5</v>
      </c>
      <c r="F30">
        <v>15</v>
      </c>
      <c r="J30">
        <v>8</v>
      </c>
      <c r="L30">
        <v>17</v>
      </c>
      <c r="N30">
        <v>1</v>
      </c>
      <c r="O30">
        <v>1</v>
      </c>
      <c r="P30">
        <v>2</v>
      </c>
    </row>
    <row r="31" spans="1:16" x14ac:dyDescent="0.25">
      <c r="A31" s="395" t="s">
        <v>56</v>
      </c>
      <c r="B31">
        <v>9</v>
      </c>
      <c r="C31">
        <v>52</v>
      </c>
      <c r="D31">
        <v>31</v>
      </c>
      <c r="E31">
        <v>2</v>
      </c>
      <c r="F31">
        <v>49</v>
      </c>
      <c r="H31">
        <v>1</v>
      </c>
      <c r="I31">
        <v>8</v>
      </c>
      <c r="J31">
        <v>8</v>
      </c>
      <c r="K31">
        <v>41</v>
      </c>
      <c r="L31">
        <v>20</v>
      </c>
      <c r="M31">
        <v>11</v>
      </c>
      <c r="N31">
        <v>12</v>
      </c>
      <c r="O31">
        <v>5</v>
      </c>
      <c r="P31">
        <v>6</v>
      </c>
    </row>
    <row r="32" spans="1:16" x14ac:dyDescent="0.25">
      <c r="A32" s="395" t="s">
        <v>57</v>
      </c>
      <c r="B32">
        <v>23</v>
      </c>
      <c r="C32">
        <v>143</v>
      </c>
      <c r="D32">
        <v>59</v>
      </c>
      <c r="F32">
        <v>59</v>
      </c>
      <c r="I32">
        <v>4</v>
      </c>
      <c r="J32">
        <v>7</v>
      </c>
      <c r="K32">
        <v>13</v>
      </c>
      <c r="L32">
        <v>21</v>
      </c>
      <c r="M32">
        <v>6</v>
      </c>
      <c r="N32">
        <v>13</v>
      </c>
      <c r="O32">
        <v>12</v>
      </c>
      <c r="P32">
        <v>18</v>
      </c>
    </row>
    <row r="33" spans="1:16" x14ac:dyDescent="0.25">
      <c r="A33" s="395" t="s">
        <v>58</v>
      </c>
      <c r="B33">
        <v>1</v>
      </c>
      <c r="C33">
        <v>34</v>
      </c>
      <c r="D33">
        <v>31</v>
      </c>
      <c r="F33">
        <v>19</v>
      </c>
      <c r="I33">
        <v>1</v>
      </c>
      <c r="K33">
        <v>1</v>
      </c>
      <c r="L33">
        <v>5</v>
      </c>
      <c r="M33">
        <v>1</v>
      </c>
      <c r="O33">
        <v>1</v>
      </c>
      <c r="P33">
        <v>1</v>
      </c>
    </row>
    <row r="34" spans="1:16" x14ac:dyDescent="0.25">
      <c r="A34" s="395" t="s">
        <v>59</v>
      </c>
      <c r="B34">
        <v>8</v>
      </c>
      <c r="C34">
        <v>17</v>
      </c>
      <c r="D34">
        <v>18</v>
      </c>
      <c r="F34">
        <v>19</v>
      </c>
      <c r="H34">
        <v>1</v>
      </c>
      <c r="I34">
        <v>1</v>
      </c>
      <c r="J34">
        <v>1</v>
      </c>
      <c r="K34">
        <v>3</v>
      </c>
      <c r="L34">
        <v>40</v>
      </c>
      <c r="M34">
        <v>14</v>
      </c>
      <c r="N34">
        <v>3</v>
      </c>
      <c r="O34">
        <v>2</v>
      </c>
      <c r="P34">
        <v>2</v>
      </c>
    </row>
    <row r="35" spans="1:16" x14ac:dyDescent="0.25">
      <c r="A35" s="395" t="s">
        <v>60</v>
      </c>
      <c r="B35">
        <v>7</v>
      </c>
      <c r="C35">
        <v>49</v>
      </c>
      <c r="D35">
        <v>38</v>
      </c>
      <c r="F35">
        <v>14</v>
      </c>
      <c r="G35">
        <v>1</v>
      </c>
      <c r="H35">
        <v>1</v>
      </c>
      <c r="I35">
        <v>8</v>
      </c>
      <c r="J35">
        <v>10</v>
      </c>
      <c r="K35">
        <v>18</v>
      </c>
      <c r="L35">
        <v>10</v>
      </c>
      <c r="M35">
        <v>16</v>
      </c>
      <c r="N35">
        <v>3</v>
      </c>
      <c r="O35">
        <v>4</v>
      </c>
      <c r="P35">
        <v>15</v>
      </c>
    </row>
    <row r="36" spans="1:16" x14ac:dyDescent="0.25">
      <c r="A36" s="395" t="s">
        <v>1129</v>
      </c>
      <c r="I36">
        <v>1</v>
      </c>
      <c r="K36">
        <v>2</v>
      </c>
      <c r="M36">
        <v>2</v>
      </c>
      <c r="N36">
        <v>5</v>
      </c>
    </row>
    <row r="37" spans="1:16" x14ac:dyDescent="0.25">
      <c r="A37" s="395" t="s">
        <v>298</v>
      </c>
      <c r="D37">
        <v>1</v>
      </c>
      <c r="E37">
        <v>1</v>
      </c>
    </row>
    <row r="38" spans="1:16" x14ac:dyDescent="0.25">
      <c r="A38" s="395" t="s">
        <v>1130</v>
      </c>
      <c r="L38">
        <v>1</v>
      </c>
      <c r="M38">
        <v>2</v>
      </c>
      <c r="N38">
        <v>2</v>
      </c>
      <c r="O38">
        <v>1</v>
      </c>
    </row>
    <row r="39" spans="1:16" x14ac:dyDescent="0.25">
      <c r="A39" s="395" t="s">
        <v>236</v>
      </c>
      <c r="B39">
        <v>287</v>
      </c>
      <c r="C39">
        <v>1610</v>
      </c>
      <c r="D39">
        <v>1827</v>
      </c>
      <c r="E39">
        <v>51</v>
      </c>
      <c r="F39">
        <v>1110</v>
      </c>
      <c r="G39">
        <v>11</v>
      </c>
      <c r="H39">
        <v>25</v>
      </c>
      <c r="I39">
        <v>205</v>
      </c>
      <c r="J39">
        <v>159</v>
      </c>
      <c r="K39">
        <v>301</v>
      </c>
      <c r="L39">
        <v>1256</v>
      </c>
      <c r="M39">
        <v>222</v>
      </c>
      <c r="N39">
        <v>249</v>
      </c>
      <c r="O39">
        <v>169</v>
      </c>
      <c r="P39">
        <v>172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tabColor theme="3" tint="0.39997558519241921"/>
  </sheetPr>
  <dimension ref="A1:R324"/>
  <sheetViews>
    <sheetView topLeftCell="G1" workbookViewId="0">
      <selection activeCell="L8" sqref="L8"/>
    </sheetView>
  </sheetViews>
  <sheetFormatPr defaultRowHeight="15" x14ac:dyDescent="0.25"/>
  <cols>
    <col min="1" max="1" width="7.42578125" bestFit="1" customWidth="1"/>
    <col min="2" max="2" width="31.5703125" bestFit="1" customWidth="1"/>
    <col min="3" max="3" width="9.85546875" bestFit="1" customWidth="1"/>
    <col min="4" max="4" width="17.140625" bestFit="1" customWidth="1"/>
    <col min="5" max="5" width="12.42578125" bestFit="1" customWidth="1"/>
    <col min="6" max="6" width="7.42578125" bestFit="1" customWidth="1"/>
    <col min="7" max="7" width="8.42578125" bestFit="1" customWidth="1"/>
    <col min="8" max="8" width="7.5703125" bestFit="1" customWidth="1"/>
    <col min="9" max="9" width="23.140625" bestFit="1" customWidth="1"/>
    <col min="10" max="10" width="18.28515625" bestFit="1" customWidth="1"/>
    <col min="11" max="11" width="15.28515625" bestFit="1" customWidth="1"/>
    <col min="12" max="12" width="18.28515625" bestFit="1" customWidth="1"/>
    <col min="13" max="13" width="8.5703125" bestFit="1" customWidth="1"/>
    <col min="14" max="14" width="7.28515625" bestFit="1" customWidth="1"/>
    <col min="15" max="15" width="29.140625" bestFit="1" customWidth="1"/>
    <col min="16" max="16" width="21.85546875" bestFit="1" customWidth="1"/>
    <col min="17" max="17" width="8" bestFit="1" customWidth="1"/>
    <col min="18" max="19" width="17.5703125" bestFit="1" customWidth="1"/>
  </cols>
  <sheetData>
    <row r="1" spans="1:18" x14ac:dyDescent="0.25">
      <c r="A1" t="s">
        <v>1</v>
      </c>
      <c r="B1" t="s">
        <v>116</v>
      </c>
      <c r="C1" t="s">
        <v>458</v>
      </c>
      <c r="D1" t="s">
        <v>133</v>
      </c>
      <c r="E1" t="s">
        <v>134</v>
      </c>
      <c r="F1" t="s">
        <v>150</v>
      </c>
      <c r="G1" t="s">
        <v>135</v>
      </c>
      <c r="H1" t="s">
        <v>136</v>
      </c>
      <c r="I1" t="s">
        <v>944</v>
      </c>
      <c r="J1" t="s">
        <v>138</v>
      </c>
      <c r="K1" t="s">
        <v>139</v>
      </c>
      <c r="L1" t="s">
        <v>140</v>
      </c>
      <c r="M1" t="s">
        <v>141</v>
      </c>
      <c r="N1" t="s">
        <v>142</v>
      </c>
      <c r="O1" t="s">
        <v>143</v>
      </c>
      <c r="P1" t="s">
        <v>144</v>
      </c>
      <c r="Q1" t="s">
        <v>145</v>
      </c>
      <c r="R1" t="s">
        <v>943</v>
      </c>
    </row>
    <row r="2" spans="1:18" x14ac:dyDescent="0.25">
      <c r="A2" t="s">
        <v>191</v>
      </c>
      <c r="B2" t="s">
        <v>40</v>
      </c>
      <c r="C2" t="s">
        <v>269</v>
      </c>
      <c r="D2">
        <v>8</v>
      </c>
      <c r="E2">
        <v>22</v>
      </c>
      <c r="F2">
        <v>24</v>
      </c>
      <c r="G2">
        <v>7</v>
      </c>
      <c r="H2">
        <v>6</v>
      </c>
      <c r="I2">
        <v>2</v>
      </c>
      <c r="J2">
        <v>1</v>
      </c>
      <c r="K2">
        <v>1</v>
      </c>
      <c r="L2">
        <v>4</v>
      </c>
      <c r="M2">
        <v>5</v>
      </c>
      <c r="N2">
        <v>6</v>
      </c>
      <c r="O2">
        <v>12</v>
      </c>
      <c r="P2">
        <v>3</v>
      </c>
      <c r="Q2">
        <v>1</v>
      </c>
    </row>
    <row r="3" spans="1:18" x14ac:dyDescent="0.25">
      <c r="A3" t="s">
        <v>191</v>
      </c>
      <c r="B3" t="s">
        <v>45</v>
      </c>
      <c r="C3" t="s">
        <v>274</v>
      </c>
      <c r="D3">
        <v>2</v>
      </c>
      <c r="E3">
        <v>40</v>
      </c>
      <c r="F3">
        <v>9</v>
      </c>
      <c r="H3">
        <v>4</v>
      </c>
      <c r="J3">
        <v>1</v>
      </c>
      <c r="K3">
        <v>3</v>
      </c>
      <c r="L3">
        <v>7</v>
      </c>
      <c r="M3">
        <v>13</v>
      </c>
      <c r="N3">
        <v>21</v>
      </c>
      <c r="O3">
        <v>9</v>
      </c>
      <c r="P3">
        <v>7</v>
      </c>
      <c r="Q3">
        <v>24</v>
      </c>
      <c r="R3">
        <v>7</v>
      </c>
    </row>
    <row r="4" spans="1:18" x14ac:dyDescent="0.25">
      <c r="A4" t="s">
        <v>190</v>
      </c>
      <c r="B4" t="s">
        <v>35</v>
      </c>
      <c r="C4" t="s">
        <v>266</v>
      </c>
      <c r="D4">
        <v>12</v>
      </c>
      <c r="E4">
        <v>22</v>
      </c>
      <c r="F4">
        <v>3</v>
      </c>
      <c r="H4">
        <v>2</v>
      </c>
      <c r="I4">
        <v>2</v>
      </c>
      <c r="K4">
        <v>1</v>
      </c>
      <c r="O4">
        <v>2</v>
      </c>
      <c r="P4">
        <v>2</v>
      </c>
      <c r="Q4">
        <v>5</v>
      </c>
    </row>
    <row r="5" spans="1:18" x14ac:dyDescent="0.25">
      <c r="A5" t="s">
        <v>190</v>
      </c>
      <c r="B5" t="s">
        <v>37</v>
      </c>
      <c r="C5" t="s">
        <v>293</v>
      </c>
      <c r="D5">
        <v>19</v>
      </c>
      <c r="E5">
        <v>38</v>
      </c>
      <c r="F5">
        <v>489</v>
      </c>
      <c r="H5">
        <v>3</v>
      </c>
      <c r="K5">
        <v>1</v>
      </c>
      <c r="L5">
        <v>21</v>
      </c>
      <c r="M5">
        <v>2</v>
      </c>
      <c r="N5">
        <v>7</v>
      </c>
      <c r="O5">
        <v>13</v>
      </c>
      <c r="P5">
        <v>1</v>
      </c>
      <c r="Q5">
        <v>1</v>
      </c>
      <c r="R5">
        <v>3</v>
      </c>
    </row>
    <row r="6" spans="1:18" x14ac:dyDescent="0.25">
      <c r="A6" t="s">
        <v>190</v>
      </c>
      <c r="B6" t="s">
        <v>39</v>
      </c>
      <c r="C6" t="s">
        <v>295</v>
      </c>
      <c r="D6">
        <v>7</v>
      </c>
      <c r="E6">
        <v>29</v>
      </c>
      <c r="F6">
        <v>24</v>
      </c>
      <c r="H6">
        <v>5</v>
      </c>
      <c r="I6">
        <v>1</v>
      </c>
      <c r="L6">
        <v>2</v>
      </c>
      <c r="M6">
        <v>5</v>
      </c>
      <c r="N6">
        <v>2</v>
      </c>
      <c r="O6">
        <v>3</v>
      </c>
      <c r="P6">
        <v>7</v>
      </c>
      <c r="Q6">
        <v>5</v>
      </c>
      <c r="R6">
        <v>5</v>
      </c>
    </row>
    <row r="7" spans="1:18" x14ac:dyDescent="0.25">
      <c r="A7" t="s">
        <v>257</v>
      </c>
      <c r="B7" t="s">
        <v>41</v>
      </c>
      <c r="C7" t="s">
        <v>270</v>
      </c>
      <c r="D7">
        <v>1</v>
      </c>
      <c r="E7">
        <v>20</v>
      </c>
      <c r="F7">
        <v>9</v>
      </c>
      <c r="H7">
        <v>8</v>
      </c>
      <c r="I7">
        <v>4</v>
      </c>
      <c r="K7">
        <v>2</v>
      </c>
      <c r="L7">
        <v>4</v>
      </c>
      <c r="M7">
        <v>2</v>
      </c>
      <c r="N7">
        <v>10</v>
      </c>
      <c r="O7">
        <v>2</v>
      </c>
      <c r="Q7">
        <v>14</v>
      </c>
      <c r="R7">
        <v>4</v>
      </c>
    </row>
    <row r="8" spans="1:18" x14ac:dyDescent="0.25">
      <c r="A8" t="s">
        <v>257</v>
      </c>
      <c r="B8" t="s">
        <v>45</v>
      </c>
      <c r="C8" t="s">
        <v>274</v>
      </c>
      <c r="D8">
        <v>1</v>
      </c>
      <c r="E8">
        <v>37</v>
      </c>
      <c r="F8">
        <v>7</v>
      </c>
      <c r="H8">
        <v>3</v>
      </c>
      <c r="I8">
        <v>2</v>
      </c>
      <c r="K8">
        <v>3</v>
      </c>
      <c r="L8">
        <v>11</v>
      </c>
      <c r="M8">
        <v>3</v>
      </c>
      <c r="N8">
        <v>27</v>
      </c>
      <c r="O8">
        <v>4</v>
      </c>
      <c r="P8">
        <v>9</v>
      </c>
      <c r="Q8">
        <v>4</v>
      </c>
      <c r="R8">
        <v>4</v>
      </c>
    </row>
    <row r="9" spans="1:18" x14ac:dyDescent="0.25">
      <c r="A9" t="s">
        <v>257</v>
      </c>
      <c r="B9" t="s">
        <v>50</v>
      </c>
      <c r="C9" t="s">
        <v>294</v>
      </c>
      <c r="D9">
        <v>6</v>
      </c>
      <c r="E9">
        <v>55</v>
      </c>
      <c r="F9">
        <v>22</v>
      </c>
      <c r="H9">
        <v>29</v>
      </c>
      <c r="I9">
        <v>2</v>
      </c>
      <c r="J9">
        <v>2</v>
      </c>
      <c r="L9">
        <v>48</v>
      </c>
      <c r="M9">
        <v>16</v>
      </c>
      <c r="N9">
        <v>86</v>
      </c>
      <c r="O9">
        <v>22</v>
      </c>
      <c r="P9">
        <v>58</v>
      </c>
      <c r="Q9">
        <v>61</v>
      </c>
      <c r="R9">
        <v>89</v>
      </c>
    </row>
    <row r="10" spans="1:18" x14ac:dyDescent="0.25">
      <c r="A10" t="s">
        <v>257</v>
      </c>
      <c r="B10" t="s">
        <v>52</v>
      </c>
      <c r="C10" t="s">
        <v>279</v>
      </c>
      <c r="D10">
        <v>57</v>
      </c>
      <c r="E10">
        <v>81</v>
      </c>
      <c r="F10">
        <v>30</v>
      </c>
      <c r="G10">
        <v>4</v>
      </c>
      <c r="H10">
        <v>34</v>
      </c>
      <c r="I10">
        <v>39</v>
      </c>
      <c r="K10">
        <v>2</v>
      </c>
      <c r="L10">
        <v>15</v>
      </c>
      <c r="M10">
        <v>4</v>
      </c>
      <c r="N10">
        <v>3</v>
      </c>
      <c r="O10">
        <v>8</v>
      </c>
      <c r="P10">
        <v>2</v>
      </c>
      <c r="Q10">
        <v>5</v>
      </c>
      <c r="R10">
        <v>3</v>
      </c>
    </row>
    <row r="11" spans="1:18" x14ac:dyDescent="0.25">
      <c r="A11" t="s">
        <v>257</v>
      </c>
      <c r="B11" t="s">
        <v>57</v>
      </c>
      <c r="C11" t="s">
        <v>283</v>
      </c>
      <c r="D11">
        <v>12</v>
      </c>
      <c r="E11">
        <v>102</v>
      </c>
      <c r="F11">
        <v>36</v>
      </c>
      <c r="G11">
        <v>1</v>
      </c>
      <c r="H11">
        <v>26</v>
      </c>
      <c r="I11">
        <v>2</v>
      </c>
      <c r="J11">
        <v>1</v>
      </c>
      <c r="K11">
        <v>5</v>
      </c>
      <c r="L11">
        <v>4</v>
      </c>
      <c r="M11">
        <v>4</v>
      </c>
      <c r="N11">
        <v>22</v>
      </c>
      <c r="O11">
        <v>9</v>
      </c>
      <c r="P11">
        <v>12</v>
      </c>
      <c r="Q11">
        <v>6</v>
      </c>
      <c r="R11">
        <v>9</v>
      </c>
    </row>
    <row r="12" spans="1:18" x14ac:dyDescent="0.25">
      <c r="A12" t="s">
        <v>240</v>
      </c>
      <c r="B12" t="s">
        <v>33</v>
      </c>
      <c r="C12" t="s">
        <v>292</v>
      </c>
      <c r="D12">
        <v>15</v>
      </c>
      <c r="E12">
        <v>35</v>
      </c>
      <c r="F12">
        <v>4</v>
      </c>
      <c r="G12">
        <v>1</v>
      </c>
      <c r="H12">
        <v>19</v>
      </c>
      <c r="I12">
        <v>16</v>
      </c>
      <c r="K12">
        <v>2</v>
      </c>
      <c r="L12">
        <v>12</v>
      </c>
      <c r="N12">
        <v>3</v>
      </c>
      <c r="O12">
        <v>7</v>
      </c>
      <c r="P12">
        <v>3</v>
      </c>
      <c r="R12">
        <v>2</v>
      </c>
    </row>
    <row r="13" spans="1:18" x14ac:dyDescent="0.25">
      <c r="A13" t="s">
        <v>240</v>
      </c>
      <c r="B13" t="s">
        <v>35</v>
      </c>
      <c r="C13" t="s">
        <v>266</v>
      </c>
      <c r="D13">
        <v>1</v>
      </c>
      <c r="E13">
        <v>19</v>
      </c>
      <c r="F13">
        <v>5</v>
      </c>
      <c r="H13">
        <v>6</v>
      </c>
      <c r="I13">
        <v>1</v>
      </c>
      <c r="J13">
        <v>1</v>
      </c>
      <c r="L13">
        <v>1</v>
      </c>
      <c r="M13">
        <v>23</v>
      </c>
      <c r="N13">
        <v>1</v>
      </c>
      <c r="O13">
        <v>1</v>
      </c>
      <c r="P13">
        <v>3</v>
      </c>
      <c r="Q13">
        <v>2</v>
      </c>
    </row>
    <row r="14" spans="1:18" x14ac:dyDescent="0.25">
      <c r="A14" t="s">
        <v>240</v>
      </c>
      <c r="B14" t="s">
        <v>37</v>
      </c>
      <c r="C14" t="s">
        <v>293</v>
      </c>
      <c r="D14">
        <v>9</v>
      </c>
      <c r="E14">
        <v>36</v>
      </c>
      <c r="F14">
        <v>195</v>
      </c>
      <c r="G14">
        <v>1</v>
      </c>
      <c r="H14">
        <v>41</v>
      </c>
      <c r="I14">
        <v>4</v>
      </c>
      <c r="J14">
        <v>2</v>
      </c>
      <c r="K14">
        <v>1</v>
      </c>
      <c r="L14">
        <v>5</v>
      </c>
      <c r="M14">
        <v>1</v>
      </c>
      <c r="N14">
        <v>5</v>
      </c>
      <c r="O14">
        <v>2</v>
      </c>
      <c r="P14">
        <v>2</v>
      </c>
      <c r="Q14">
        <v>2</v>
      </c>
    </row>
    <row r="15" spans="1:18" x14ac:dyDescent="0.25">
      <c r="A15" t="s">
        <v>240</v>
      </c>
      <c r="B15" t="s">
        <v>40</v>
      </c>
      <c r="C15" t="s">
        <v>269</v>
      </c>
      <c r="D15">
        <v>5</v>
      </c>
      <c r="E15">
        <v>28</v>
      </c>
      <c r="F15">
        <v>12</v>
      </c>
      <c r="G15">
        <v>2</v>
      </c>
      <c r="H15">
        <v>11</v>
      </c>
      <c r="I15">
        <v>21</v>
      </c>
      <c r="K15">
        <v>1</v>
      </c>
      <c r="L15">
        <v>11</v>
      </c>
      <c r="M15">
        <v>13</v>
      </c>
      <c r="N15">
        <v>2</v>
      </c>
      <c r="O15">
        <v>16</v>
      </c>
      <c r="P15">
        <v>10</v>
      </c>
      <c r="Q15">
        <v>8</v>
      </c>
      <c r="R15">
        <v>4</v>
      </c>
    </row>
    <row r="16" spans="1:18" x14ac:dyDescent="0.25">
      <c r="A16" t="s">
        <v>239</v>
      </c>
      <c r="B16" t="s">
        <v>35</v>
      </c>
      <c r="C16" t="s">
        <v>266</v>
      </c>
      <c r="D16">
        <v>5</v>
      </c>
      <c r="E16">
        <v>22</v>
      </c>
      <c r="F16">
        <v>8</v>
      </c>
      <c r="G16">
        <v>2</v>
      </c>
      <c r="H16">
        <v>3</v>
      </c>
      <c r="I16">
        <v>2</v>
      </c>
      <c r="L16">
        <v>1</v>
      </c>
      <c r="M16">
        <v>17</v>
      </c>
      <c r="O16">
        <v>1</v>
      </c>
      <c r="P16">
        <v>7</v>
      </c>
      <c r="Q16">
        <v>2</v>
      </c>
    </row>
    <row r="17" spans="1:18" x14ac:dyDescent="0.25">
      <c r="A17" t="s">
        <v>239</v>
      </c>
      <c r="B17" t="s">
        <v>43</v>
      </c>
      <c r="C17" t="s">
        <v>388</v>
      </c>
      <c r="D17">
        <v>29</v>
      </c>
      <c r="E17">
        <v>135</v>
      </c>
      <c r="F17">
        <v>214</v>
      </c>
      <c r="H17">
        <v>85</v>
      </c>
      <c r="I17">
        <v>10</v>
      </c>
      <c r="K17">
        <v>4</v>
      </c>
      <c r="L17">
        <v>12</v>
      </c>
      <c r="M17">
        <v>122</v>
      </c>
      <c r="N17">
        <v>9</v>
      </c>
      <c r="O17">
        <v>12</v>
      </c>
      <c r="P17">
        <v>10</v>
      </c>
      <c r="Q17">
        <v>5</v>
      </c>
      <c r="R17">
        <v>10</v>
      </c>
    </row>
    <row r="18" spans="1:18" x14ac:dyDescent="0.25">
      <c r="A18" t="s">
        <v>239</v>
      </c>
      <c r="B18" t="s">
        <v>44</v>
      </c>
      <c r="C18" t="s">
        <v>273</v>
      </c>
      <c r="D18">
        <v>15</v>
      </c>
      <c r="E18">
        <v>81</v>
      </c>
      <c r="F18">
        <v>45</v>
      </c>
      <c r="G18">
        <v>2</v>
      </c>
      <c r="H18">
        <v>25</v>
      </c>
      <c r="I18">
        <v>3</v>
      </c>
      <c r="K18">
        <v>1</v>
      </c>
      <c r="L18">
        <v>5</v>
      </c>
      <c r="M18">
        <v>4</v>
      </c>
      <c r="N18">
        <v>4</v>
      </c>
      <c r="O18">
        <v>3</v>
      </c>
      <c r="P18">
        <v>4</v>
      </c>
      <c r="Q18">
        <v>3</v>
      </c>
      <c r="R18">
        <v>1</v>
      </c>
    </row>
    <row r="19" spans="1:18" x14ac:dyDescent="0.25">
      <c r="A19" t="s">
        <v>239</v>
      </c>
      <c r="B19" t="s">
        <v>49</v>
      </c>
      <c r="C19" t="s">
        <v>277</v>
      </c>
      <c r="D19">
        <v>2</v>
      </c>
      <c r="E19">
        <v>100</v>
      </c>
      <c r="F19">
        <v>9</v>
      </c>
      <c r="G19">
        <v>2</v>
      </c>
      <c r="H19">
        <v>31</v>
      </c>
      <c r="I19">
        <v>19</v>
      </c>
      <c r="J19">
        <v>1</v>
      </c>
      <c r="L19">
        <v>3</v>
      </c>
      <c r="M19">
        <v>4</v>
      </c>
      <c r="N19">
        <v>23</v>
      </c>
      <c r="O19">
        <v>3</v>
      </c>
      <c r="P19">
        <v>27</v>
      </c>
      <c r="Q19">
        <v>7</v>
      </c>
      <c r="R19">
        <v>13</v>
      </c>
    </row>
    <row r="20" spans="1:18" x14ac:dyDescent="0.25">
      <c r="A20" t="s">
        <v>239</v>
      </c>
      <c r="B20" t="s">
        <v>51</v>
      </c>
      <c r="C20" t="s">
        <v>278</v>
      </c>
      <c r="E20">
        <v>3</v>
      </c>
      <c r="H20">
        <v>5</v>
      </c>
      <c r="R20">
        <v>1</v>
      </c>
    </row>
    <row r="21" spans="1:18" x14ac:dyDescent="0.25">
      <c r="A21" t="s">
        <v>760</v>
      </c>
      <c r="B21" t="s">
        <v>36</v>
      </c>
      <c r="C21" t="s">
        <v>267</v>
      </c>
      <c r="D21">
        <v>7</v>
      </c>
      <c r="E21">
        <v>61</v>
      </c>
      <c r="F21">
        <v>21</v>
      </c>
      <c r="G21">
        <v>6</v>
      </c>
      <c r="H21">
        <v>90</v>
      </c>
      <c r="I21">
        <v>67</v>
      </c>
      <c r="K21">
        <v>4</v>
      </c>
      <c r="L21">
        <v>12</v>
      </c>
      <c r="M21">
        <v>23</v>
      </c>
      <c r="N21">
        <v>20</v>
      </c>
      <c r="O21">
        <v>44</v>
      </c>
      <c r="P21">
        <v>43</v>
      </c>
      <c r="Q21">
        <v>30</v>
      </c>
      <c r="R21">
        <v>7</v>
      </c>
    </row>
    <row r="22" spans="1:18" x14ac:dyDescent="0.25">
      <c r="A22" t="s">
        <v>760</v>
      </c>
      <c r="B22" t="s">
        <v>44</v>
      </c>
      <c r="C22" t="s">
        <v>273</v>
      </c>
      <c r="D22">
        <v>20</v>
      </c>
      <c r="E22">
        <v>95</v>
      </c>
      <c r="F22">
        <v>65</v>
      </c>
      <c r="G22">
        <v>15</v>
      </c>
      <c r="H22">
        <v>236</v>
      </c>
      <c r="I22">
        <v>33</v>
      </c>
      <c r="J22">
        <v>1</v>
      </c>
      <c r="L22">
        <v>11</v>
      </c>
      <c r="M22">
        <v>1</v>
      </c>
      <c r="N22">
        <v>8</v>
      </c>
      <c r="O22">
        <v>3</v>
      </c>
      <c r="P22">
        <v>1</v>
      </c>
      <c r="Q22">
        <v>3</v>
      </c>
      <c r="R22">
        <v>1</v>
      </c>
    </row>
    <row r="23" spans="1:18" x14ac:dyDescent="0.25">
      <c r="A23" t="s">
        <v>760</v>
      </c>
      <c r="B23" t="s">
        <v>51</v>
      </c>
      <c r="C23" t="s">
        <v>278</v>
      </c>
      <c r="D23">
        <v>1</v>
      </c>
      <c r="E23">
        <v>12</v>
      </c>
      <c r="H23">
        <v>9</v>
      </c>
      <c r="I23">
        <v>1</v>
      </c>
    </row>
    <row r="24" spans="1:18" x14ac:dyDescent="0.25">
      <c r="A24" t="s">
        <v>917</v>
      </c>
      <c r="B24" t="s">
        <v>39</v>
      </c>
      <c r="C24" t="s">
        <v>295</v>
      </c>
      <c r="D24">
        <v>2</v>
      </c>
      <c r="E24">
        <v>22</v>
      </c>
      <c r="F24">
        <v>13</v>
      </c>
      <c r="H24">
        <v>3</v>
      </c>
      <c r="I24">
        <v>1</v>
      </c>
      <c r="L24">
        <v>1</v>
      </c>
      <c r="N24">
        <v>3</v>
      </c>
    </row>
    <row r="25" spans="1:18" x14ac:dyDescent="0.25">
      <c r="A25" t="s">
        <v>917</v>
      </c>
      <c r="B25" t="s">
        <v>40</v>
      </c>
      <c r="C25" t="s">
        <v>269</v>
      </c>
      <c r="D25">
        <v>3</v>
      </c>
      <c r="E25">
        <v>23</v>
      </c>
      <c r="F25">
        <v>5</v>
      </c>
      <c r="H25">
        <v>1</v>
      </c>
      <c r="L25">
        <v>3</v>
      </c>
      <c r="M25">
        <v>2</v>
      </c>
      <c r="N25">
        <v>1</v>
      </c>
      <c r="O25">
        <v>3</v>
      </c>
      <c r="P25">
        <v>2</v>
      </c>
      <c r="R25">
        <v>1</v>
      </c>
    </row>
    <row r="26" spans="1:18" x14ac:dyDescent="0.25">
      <c r="A26" t="s">
        <v>917</v>
      </c>
      <c r="B26" t="s">
        <v>51</v>
      </c>
      <c r="C26" t="s">
        <v>278</v>
      </c>
      <c r="D26">
        <v>1</v>
      </c>
      <c r="E26">
        <v>5</v>
      </c>
      <c r="G26">
        <v>1</v>
      </c>
      <c r="H26">
        <v>2</v>
      </c>
    </row>
    <row r="27" spans="1:18" x14ac:dyDescent="0.25">
      <c r="A27" t="s">
        <v>1010</v>
      </c>
      <c r="B27" t="s">
        <v>34</v>
      </c>
      <c r="C27" t="s">
        <v>287</v>
      </c>
      <c r="D27">
        <v>3</v>
      </c>
      <c r="E27">
        <v>12</v>
      </c>
      <c r="F27">
        <v>10</v>
      </c>
      <c r="H27">
        <v>106</v>
      </c>
      <c r="I27">
        <v>42</v>
      </c>
      <c r="L27">
        <v>1</v>
      </c>
      <c r="M27">
        <v>5</v>
      </c>
      <c r="N27">
        <v>2</v>
      </c>
      <c r="O27">
        <v>3</v>
      </c>
      <c r="P27">
        <v>1</v>
      </c>
      <c r="Q27">
        <v>3</v>
      </c>
      <c r="R27">
        <v>1</v>
      </c>
    </row>
    <row r="28" spans="1:18" x14ac:dyDescent="0.25">
      <c r="A28" t="s">
        <v>1010</v>
      </c>
      <c r="B28" t="s">
        <v>46</v>
      </c>
      <c r="C28" t="s">
        <v>275</v>
      </c>
      <c r="D28">
        <v>2</v>
      </c>
      <c r="E28">
        <v>15</v>
      </c>
      <c r="F28">
        <v>31</v>
      </c>
      <c r="H28">
        <v>2</v>
      </c>
      <c r="I28">
        <v>2</v>
      </c>
      <c r="L28">
        <v>7</v>
      </c>
      <c r="M28">
        <v>12</v>
      </c>
      <c r="N28">
        <v>2</v>
      </c>
      <c r="O28">
        <v>3</v>
      </c>
      <c r="P28">
        <v>5</v>
      </c>
      <c r="R28">
        <v>7</v>
      </c>
    </row>
    <row r="29" spans="1:18" x14ac:dyDescent="0.25">
      <c r="A29" t="s">
        <v>1010</v>
      </c>
      <c r="B29" t="s">
        <v>55</v>
      </c>
      <c r="C29" t="s">
        <v>281</v>
      </c>
      <c r="D29">
        <v>1</v>
      </c>
      <c r="E29">
        <v>7</v>
      </c>
      <c r="F29">
        <v>3</v>
      </c>
      <c r="G29">
        <v>2</v>
      </c>
      <c r="H29">
        <v>11</v>
      </c>
      <c r="I29">
        <v>13</v>
      </c>
    </row>
    <row r="30" spans="1:18" x14ac:dyDescent="0.25">
      <c r="A30" t="s">
        <v>191</v>
      </c>
      <c r="B30" t="s">
        <v>42</v>
      </c>
      <c r="C30" t="s">
        <v>272</v>
      </c>
      <c r="D30">
        <v>12</v>
      </c>
      <c r="E30">
        <v>52</v>
      </c>
      <c r="F30">
        <v>15</v>
      </c>
      <c r="G30">
        <v>1</v>
      </c>
      <c r="H30">
        <v>20</v>
      </c>
      <c r="I30">
        <v>2</v>
      </c>
      <c r="K30">
        <v>7</v>
      </c>
      <c r="L30">
        <v>27</v>
      </c>
      <c r="M30">
        <v>23</v>
      </c>
      <c r="N30">
        <v>17</v>
      </c>
      <c r="O30">
        <v>17</v>
      </c>
      <c r="P30">
        <v>30</v>
      </c>
      <c r="Q30">
        <v>10</v>
      </c>
      <c r="R30">
        <v>10</v>
      </c>
    </row>
    <row r="31" spans="1:18" x14ac:dyDescent="0.25">
      <c r="A31" t="s">
        <v>191</v>
      </c>
      <c r="B31" t="s">
        <v>946</v>
      </c>
      <c r="C31" t="s">
        <v>271</v>
      </c>
      <c r="D31">
        <v>2</v>
      </c>
      <c r="E31">
        <v>6</v>
      </c>
      <c r="F31">
        <v>7</v>
      </c>
      <c r="H31">
        <v>2</v>
      </c>
      <c r="M31">
        <v>1</v>
      </c>
      <c r="Q31">
        <v>1</v>
      </c>
    </row>
    <row r="32" spans="1:18" x14ac:dyDescent="0.25">
      <c r="A32" t="s">
        <v>191</v>
      </c>
      <c r="B32" t="s">
        <v>51</v>
      </c>
      <c r="C32" t="s">
        <v>278</v>
      </c>
      <c r="D32">
        <v>1</v>
      </c>
      <c r="E32">
        <v>10</v>
      </c>
      <c r="F32">
        <v>1</v>
      </c>
      <c r="H32">
        <v>4</v>
      </c>
    </row>
    <row r="33" spans="1:18" x14ac:dyDescent="0.25">
      <c r="A33" t="s">
        <v>191</v>
      </c>
      <c r="B33" t="s">
        <v>58</v>
      </c>
      <c r="C33" t="s">
        <v>284</v>
      </c>
      <c r="D33">
        <v>1</v>
      </c>
      <c r="E33">
        <v>39</v>
      </c>
      <c r="F33">
        <v>105</v>
      </c>
      <c r="G33">
        <v>3</v>
      </c>
      <c r="H33">
        <v>43</v>
      </c>
      <c r="I33">
        <v>19</v>
      </c>
      <c r="K33">
        <v>1</v>
      </c>
      <c r="L33">
        <v>2</v>
      </c>
      <c r="M33">
        <v>1</v>
      </c>
      <c r="P33">
        <v>1</v>
      </c>
      <c r="Q33">
        <v>2</v>
      </c>
    </row>
    <row r="34" spans="1:18" x14ac:dyDescent="0.25">
      <c r="A34" t="s">
        <v>191</v>
      </c>
      <c r="B34" t="s">
        <v>59</v>
      </c>
      <c r="C34" t="s">
        <v>290</v>
      </c>
      <c r="D34">
        <v>2</v>
      </c>
      <c r="E34">
        <v>15</v>
      </c>
      <c r="F34">
        <v>9</v>
      </c>
      <c r="H34">
        <v>17</v>
      </c>
      <c r="I34">
        <v>1</v>
      </c>
      <c r="K34">
        <v>1</v>
      </c>
      <c r="L34">
        <v>2</v>
      </c>
      <c r="M34">
        <v>3</v>
      </c>
      <c r="N34">
        <v>6</v>
      </c>
      <c r="O34">
        <v>5</v>
      </c>
      <c r="P34">
        <v>104</v>
      </c>
      <c r="Q34">
        <v>7</v>
      </c>
      <c r="R34">
        <v>4</v>
      </c>
    </row>
    <row r="35" spans="1:18" x14ac:dyDescent="0.25">
      <c r="A35" t="s">
        <v>190</v>
      </c>
      <c r="B35" t="s">
        <v>117</v>
      </c>
      <c r="C35" t="s">
        <v>296</v>
      </c>
      <c r="D35">
        <v>69</v>
      </c>
      <c r="E35">
        <v>165</v>
      </c>
      <c r="F35">
        <v>1115</v>
      </c>
      <c r="G35">
        <v>27</v>
      </c>
      <c r="H35">
        <v>88</v>
      </c>
      <c r="I35">
        <v>6</v>
      </c>
      <c r="J35">
        <v>12</v>
      </c>
      <c r="K35">
        <v>5</v>
      </c>
      <c r="L35">
        <v>139</v>
      </c>
      <c r="M35">
        <v>61</v>
      </c>
      <c r="N35">
        <v>147</v>
      </c>
      <c r="O35">
        <v>33</v>
      </c>
      <c r="P35">
        <v>24</v>
      </c>
      <c r="Q35">
        <v>41</v>
      </c>
      <c r="R35">
        <v>24</v>
      </c>
    </row>
    <row r="36" spans="1:18" x14ac:dyDescent="0.25">
      <c r="A36" t="s">
        <v>190</v>
      </c>
      <c r="B36" t="s">
        <v>58</v>
      </c>
      <c r="C36" t="s">
        <v>284</v>
      </c>
      <c r="D36">
        <v>13</v>
      </c>
      <c r="E36">
        <v>40</v>
      </c>
      <c r="F36">
        <v>249</v>
      </c>
      <c r="G36">
        <v>3</v>
      </c>
      <c r="H36">
        <v>16</v>
      </c>
      <c r="I36">
        <v>3</v>
      </c>
      <c r="L36">
        <v>3</v>
      </c>
      <c r="M36">
        <v>3</v>
      </c>
      <c r="N36">
        <v>1</v>
      </c>
      <c r="O36">
        <v>4</v>
      </c>
      <c r="P36">
        <v>1</v>
      </c>
      <c r="Q36">
        <v>1</v>
      </c>
      <c r="R36">
        <v>3</v>
      </c>
    </row>
    <row r="37" spans="1:18" x14ac:dyDescent="0.25">
      <c r="A37" t="s">
        <v>257</v>
      </c>
      <c r="B37" t="s">
        <v>42</v>
      </c>
      <c r="C37" t="s">
        <v>272</v>
      </c>
      <c r="D37">
        <v>8</v>
      </c>
      <c r="E37">
        <v>47</v>
      </c>
      <c r="F37">
        <v>9</v>
      </c>
      <c r="G37">
        <v>1</v>
      </c>
      <c r="H37">
        <v>13</v>
      </c>
      <c r="I37">
        <v>2</v>
      </c>
      <c r="J37">
        <v>1</v>
      </c>
      <c r="K37">
        <v>5</v>
      </c>
      <c r="L37">
        <v>9</v>
      </c>
      <c r="M37">
        <v>22</v>
      </c>
      <c r="N37">
        <v>13</v>
      </c>
      <c r="O37">
        <v>2</v>
      </c>
      <c r="P37">
        <v>16</v>
      </c>
      <c r="Q37">
        <v>12</v>
      </c>
    </row>
    <row r="38" spans="1:18" x14ac:dyDescent="0.25">
      <c r="A38" t="s">
        <v>257</v>
      </c>
      <c r="B38" t="s">
        <v>46</v>
      </c>
      <c r="C38" t="s">
        <v>275</v>
      </c>
      <c r="D38">
        <v>3</v>
      </c>
      <c r="E38">
        <v>19</v>
      </c>
      <c r="F38">
        <v>21</v>
      </c>
      <c r="G38">
        <v>3</v>
      </c>
      <c r="H38">
        <v>10</v>
      </c>
      <c r="L38">
        <v>3</v>
      </c>
      <c r="M38">
        <v>31</v>
      </c>
      <c r="N38">
        <v>3</v>
      </c>
      <c r="P38">
        <v>3</v>
      </c>
      <c r="R38">
        <v>1</v>
      </c>
    </row>
    <row r="39" spans="1:18" x14ac:dyDescent="0.25">
      <c r="A39" t="s">
        <v>240</v>
      </c>
      <c r="B39" t="s">
        <v>34</v>
      </c>
      <c r="C39" t="s">
        <v>287</v>
      </c>
      <c r="D39">
        <v>5</v>
      </c>
      <c r="E39">
        <v>22</v>
      </c>
      <c r="F39">
        <v>25</v>
      </c>
      <c r="G39">
        <v>4</v>
      </c>
      <c r="H39">
        <v>62</v>
      </c>
      <c r="I39">
        <v>38</v>
      </c>
      <c r="L39">
        <v>4</v>
      </c>
      <c r="M39">
        <v>4</v>
      </c>
      <c r="N39">
        <v>5</v>
      </c>
      <c r="O39">
        <v>5</v>
      </c>
      <c r="P39">
        <v>3</v>
      </c>
      <c r="Q39">
        <v>3</v>
      </c>
      <c r="R39">
        <v>5</v>
      </c>
    </row>
    <row r="40" spans="1:18" x14ac:dyDescent="0.25">
      <c r="A40" t="s">
        <v>240</v>
      </c>
      <c r="B40" t="s">
        <v>38</v>
      </c>
      <c r="C40" t="s">
        <v>268</v>
      </c>
      <c r="D40">
        <v>5</v>
      </c>
      <c r="E40">
        <v>59</v>
      </c>
      <c r="F40">
        <v>8</v>
      </c>
      <c r="H40">
        <v>25</v>
      </c>
      <c r="I40">
        <v>7</v>
      </c>
      <c r="J40">
        <v>2</v>
      </c>
      <c r="L40">
        <v>4</v>
      </c>
      <c r="M40">
        <v>15</v>
      </c>
      <c r="N40">
        <v>9</v>
      </c>
      <c r="O40">
        <v>7</v>
      </c>
      <c r="P40">
        <v>10</v>
      </c>
      <c r="Q40">
        <v>12</v>
      </c>
      <c r="R40">
        <v>2</v>
      </c>
    </row>
    <row r="41" spans="1:18" x14ac:dyDescent="0.25">
      <c r="A41" t="s">
        <v>240</v>
      </c>
      <c r="B41" t="s">
        <v>42</v>
      </c>
      <c r="C41" t="s">
        <v>272</v>
      </c>
      <c r="D41">
        <v>14</v>
      </c>
      <c r="E41">
        <v>41</v>
      </c>
      <c r="F41">
        <v>5</v>
      </c>
      <c r="G41">
        <v>1</v>
      </c>
      <c r="H41">
        <v>13</v>
      </c>
      <c r="K41">
        <v>4</v>
      </c>
      <c r="L41">
        <v>11</v>
      </c>
      <c r="M41">
        <v>25</v>
      </c>
      <c r="N41">
        <v>11</v>
      </c>
      <c r="O41">
        <v>7</v>
      </c>
      <c r="P41">
        <v>18</v>
      </c>
      <c r="Q41">
        <v>6</v>
      </c>
      <c r="R41">
        <v>3</v>
      </c>
    </row>
    <row r="42" spans="1:18" x14ac:dyDescent="0.25">
      <c r="A42" t="s">
        <v>240</v>
      </c>
      <c r="B42" t="s">
        <v>46</v>
      </c>
      <c r="C42" t="s">
        <v>275</v>
      </c>
      <c r="D42">
        <v>3</v>
      </c>
      <c r="E42">
        <v>16</v>
      </c>
      <c r="F42">
        <v>32</v>
      </c>
      <c r="G42">
        <v>3</v>
      </c>
      <c r="H42">
        <v>5</v>
      </c>
      <c r="I42">
        <v>1</v>
      </c>
      <c r="J42">
        <v>2</v>
      </c>
      <c r="K42">
        <v>3</v>
      </c>
      <c r="L42">
        <v>11</v>
      </c>
      <c r="M42">
        <v>2</v>
      </c>
      <c r="N42">
        <v>4</v>
      </c>
      <c r="O42">
        <v>3</v>
      </c>
      <c r="P42">
        <v>4</v>
      </c>
      <c r="Q42">
        <v>2</v>
      </c>
      <c r="R42">
        <v>4</v>
      </c>
    </row>
    <row r="43" spans="1:18" x14ac:dyDescent="0.25">
      <c r="A43" t="s">
        <v>240</v>
      </c>
      <c r="B43" t="s">
        <v>56</v>
      </c>
      <c r="C43" t="s">
        <v>282</v>
      </c>
      <c r="D43">
        <v>11</v>
      </c>
      <c r="E43">
        <v>45</v>
      </c>
      <c r="F43">
        <v>32</v>
      </c>
      <c r="G43">
        <v>2</v>
      </c>
      <c r="H43">
        <v>67</v>
      </c>
      <c r="I43">
        <v>38</v>
      </c>
      <c r="J43">
        <v>1</v>
      </c>
      <c r="L43">
        <v>30</v>
      </c>
      <c r="M43">
        <v>28</v>
      </c>
      <c r="N43">
        <v>20</v>
      </c>
      <c r="O43">
        <v>14</v>
      </c>
      <c r="P43">
        <v>3</v>
      </c>
      <c r="Q43">
        <v>19</v>
      </c>
      <c r="R43">
        <v>9</v>
      </c>
    </row>
    <row r="44" spans="1:18" x14ac:dyDescent="0.25">
      <c r="A44" t="s">
        <v>239</v>
      </c>
      <c r="B44" t="s">
        <v>34</v>
      </c>
      <c r="C44" t="s">
        <v>287</v>
      </c>
      <c r="D44">
        <v>3</v>
      </c>
      <c r="E44">
        <v>35</v>
      </c>
      <c r="F44">
        <v>34</v>
      </c>
      <c r="G44">
        <v>4</v>
      </c>
      <c r="H44">
        <v>60</v>
      </c>
      <c r="I44">
        <v>40</v>
      </c>
      <c r="J44">
        <v>1</v>
      </c>
      <c r="L44">
        <v>5</v>
      </c>
      <c r="M44">
        <v>2</v>
      </c>
      <c r="N44">
        <v>12</v>
      </c>
      <c r="O44">
        <v>5</v>
      </c>
      <c r="P44">
        <v>8</v>
      </c>
      <c r="Q44">
        <v>5</v>
      </c>
      <c r="R44">
        <v>6</v>
      </c>
    </row>
    <row r="45" spans="1:18" x14ac:dyDescent="0.25">
      <c r="A45" t="s">
        <v>239</v>
      </c>
      <c r="B45" t="s">
        <v>36</v>
      </c>
      <c r="C45" t="s">
        <v>267</v>
      </c>
      <c r="D45">
        <v>12</v>
      </c>
      <c r="E45">
        <v>77</v>
      </c>
      <c r="F45">
        <v>32</v>
      </c>
      <c r="G45">
        <v>7</v>
      </c>
      <c r="H45">
        <v>86</v>
      </c>
      <c r="I45">
        <v>16</v>
      </c>
      <c r="J45">
        <v>5</v>
      </c>
      <c r="K45">
        <v>10</v>
      </c>
      <c r="L45">
        <v>17</v>
      </c>
      <c r="M45">
        <v>55</v>
      </c>
      <c r="N45">
        <v>30</v>
      </c>
      <c r="O45">
        <v>29</v>
      </c>
      <c r="P45">
        <v>17</v>
      </c>
      <c r="Q45">
        <v>34</v>
      </c>
      <c r="R45">
        <v>13</v>
      </c>
    </row>
    <row r="46" spans="1:18" x14ac:dyDescent="0.25">
      <c r="A46" t="s">
        <v>239</v>
      </c>
      <c r="B46" t="s">
        <v>39</v>
      </c>
      <c r="C46" t="s">
        <v>295</v>
      </c>
      <c r="D46">
        <v>2</v>
      </c>
      <c r="E46">
        <v>26</v>
      </c>
      <c r="F46">
        <v>19</v>
      </c>
      <c r="H46">
        <v>5</v>
      </c>
      <c r="I46">
        <v>1</v>
      </c>
      <c r="J46">
        <v>2</v>
      </c>
      <c r="L46">
        <v>7</v>
      </c>
      <c r="M46">
        <v>4</v>
      </c>
      <c r="N46">
        <v>12</v>
      </c>
      <c r="O46">
        <v>4</v>
      </c>
      <c r="Q46">
        <v>2</v>
      </c>
    </row>
    <row r="47" spans="1:18" x14ac:dyDescent="0.25">
      <c r="A47" t="s">
        <v>239</v>
      </c>
      <c r="B47" t="s">
        <v>40</v>
      </c>
      <c r="C47" t="s">
        <v>269</v>
      </c>
      <c r="D47">
        <v>7</v>
      </c>
      <c r="E47">
        <v>29</v>
      </c>
      <c r="F47">
        <v>6</v>
      </c>
      <c r="G47">
        <v>9</v>
      </c>
      <c r="H47">
        <v>30</v>
      </c>
      <c r="I47">
        <v>11</v>
      </c>
      <c r="K47">
        <v>1</v>
      </c>
      <c r="L47">
        <v>7</v>
      </c>
      <c r="M47">
        <v>16</v>
      </c>
      <c r="N47">
        <v>4</v>
      </c>
      <c r="O47">
        <v>13</v>
      </c>
      <c r="P47">
        <v>5</v>
      </c>
      <c r="Q47">
        <v>9</v>
      </c>
      <c r="R47">
        <v>2</v>
      </c>
    </row>
    <row r="48" spans="1:18" x14ac:dyDescent="0.25">
      <c r="A48" t="s">
        <v>239</v>
      </c>
      <c r="B48" t="s">
        <v>42</v>
      </c>
      <c r="C48" t="s">
        <v>272</v>
      </c>
      <c r="D48">
        <v>24</v>
      </c>
      <c r="E48">
        <v>46</v>
      </c>
      <c r="F48">
        <v>5</v>
      </c>
      <c r="G48">
        <v>1</v>
      </c>
      <c r="H48">
        <v>11</v>
      </c>
      <c r="I48">
        <v>18</v>
      </c>
      <c r="K48">
        <v>6</v>
      </c>
      <c r="L48">
        <v>19</v>
      </c>
      <c r="M48">
        <v>26</v>
      </c>
      <c r="N48">
        <v>8</v>
      </c>
      <c r="O48">
        <v>9</v>
      </c>
      <c r="P48">
        <v>13</v>
      </c>
      <c r="Q48">
        <v>10</v>
      </c>
      <c r="R48">
        <v>5</v>
      </c>
    </row>
    <row r="49" spans="1:18" x14ac:dyDescent="0.25">
      <c r="A49" t="s">
        <v>239</v>
      </c>
      <c r="B49" t="s">
        <v>45</v>
      </c>
      <c r="C49" t="s">
        <v>274</v>
      </c>
      <c r="D49">
        <v>2</v>
      </c>
      <c r="E49">
        <v>35</v>
      </c>
      <c r="F49">
        <v>7</v>
      </c>
      <c r="H49">
        <v>6</v>
      </c>
      <c r="J49">
        <v>1</v>
      </c>
      <c r="L49">
        <v>3</v>
      </c>
      <c r="M49">
        <v>10</v>
      </c>
      <c r="N49">
        <v>3</v>
      </c>
      <c r="O49">
        <v>3</v>
      </c>
      <c r="P49">
        <v>2</v>
      </c>
      <c r="Q49">
        <v>2</v>
      </c>
      <c r="R49">
        <v>4</v>
      </c>
    </row>
    <row r="50" spans="1:18" x14ac:dyDescent="0.25">
      <c r="A50" t="s">
        <v>239</v>
      </c>
      <c r="B50" t="s">
        <v>47</v>
      </c>
      <c r="C50" t="s">
        <v>276</v>
      </c>
      <c r="D50">
        <v>8</v>
      </c>
      <c r="E50">
        <v>31</v>
      </c>
      <c r="F50">
        <v>9</v>
      </c>
      <c r="G50">
        <v>1</v>
      </c>
      <c r="H50">
        <v>11</v>
      </c>
      <c r="I50">
        <v>28</v>
      </c>
      <c r="K50">
        <v>1</v>
      </c>
      <c r="L50">
        <v>4</v>
      </c>
      <c r="M50">
        <v>3</v>
      </c>
      <c r="N50">
        <v>14</v>
      </c>
      <c r="O50">
        <v>2</v>
      </c>
      <c r="P50">
        <v>7</v>
      </c>
      <c r="Q50">
        <v>8</v>
      </c>
      <c r="R50">
        <v>3</v>
      </c>
    </row>
    <row r="51" spans="1:18" x14ac:dyDescent="0.25">
      <c r="A51" t="s">
        <v>239</v>
      </c>
      <c r="B51" t="s">
        <v>53</v>
      </c>
      <c r="C51" t="s">
        <v>289</v>
      </c>
      <c r="D51">
        <v>1</v>
      </c>
      <c r="E51">
        <v>58</v>
      </c>
      <c r="F51">
        <v>17</v>
      </c>
      <c r="H51">
        <v>20</v>
      </c>
      <c r="I51">
        <v>14</v>
      </c>
      <c r="K51">
        <v>3</v>
      </c>
      <c r="L51">
        <v>10</v>
      </c>
      <c r="M51">
        <v>4</v>
      </c>
      <c r="N51">
        <v>5</v>
      </c>
      <c r="O51">
        <v>5</v>
      </c>
      <c r="P51">
        <v>16</v>
      </c>
      <c r="Q51">
        <v>6</v>
      </c>
      <c r="R51">
        <v>10</v>
      </c>
    </row>
    <row r="52" spans="1:18" x14ac:dyDescent="0.25">
      <c r="A52" t="s">
        <v>239</v>
      </c>
      <c r="B52" t="s">
        <v>55</v>
      </c>
      <c r="C52" t="s">
        <v>281</v>
      </c>
      <c r="E52">
        <v>8</v>
      </c>
      <c r="F52">
        <v>3</v>
      </c>
      <c r="H52">
        <v>2</v>
      </c>
      <c r="K52">
        <v>1</v>
      </c>
      <c r="L52">
        <v>1</v>
      </c>
      <c r="R52">
        <v>1</v>
      </c>
    </row>
    <row r="53" spans="1:18" x14ac:dyDescent="0.25">
      <c r="A53" t="s">
        <v>239</v>
      </c>
      <c r="B53" t="s">
        <v>59</v>
      </c>
      <c r="C53" t="s">
        <v>290</v>
      </c>
      <c r="D53">
        <v>5</v>
      </c>
      <c r="E53">
        <v>16</v>
      </c>
      <c r="F53">
        <v>17</v>
      </c>
      <c r="H53">
        <v>13</v>
      </c>
      <c r="I53">
        <v>1</v>
      </c>
      <c r="L53">
        <v>2</v>
      </c>
      <c r="M53">
        <v>1</v>
      </c>
      <c r="N53">
        <v>6</v>
      </c>
      <c r="O53">
        <v>3</v>
      </c>
      <c r="P53">
        <v>6</v>
      </c>
      <c r="Q53">
        <v>4</v>
      </c>
      <c r="R53">
        <v>5</v>
      </c>
    </row>
    <row r="54" spans="1:18" x14ac:dyDescent="0.25">
      <c r="A54" t="s">
        <v>760</v>
      </c>
      <c r="B54" t="s">
        <v>39</v>
      </c>
      <c r="C54" t="s">
        <v>295</v>
      </c>
      <c r="D54">
        <v>4</v>
      </c>
      <c r="E54">
        <v>32</v>
      </c>
      <c r="F54">
        <v>29</v>
      </c>
      <c r="H54">
        <v>6</v>
      </c>
      <c r="I54">
        <v>1</v>
      </c>
      <c r="K54">
        <v>1</v>
      </c>
      <c r="L54">
        <v>8</v>
      </c>
      <c r="M54">
        <v>8</v>
      </c>
      <c r="N54">
        <v>6</v>
      </c>
      <c r="O54">
        <v>1</v>
      </c>
      <c r="Q54">
        <v>4</v>
      </c>
      <c r="R54">
        <v>1</v>
      </c>
    </row>
    <row r="55" spans="1:18" x14ac:dyDescent="0.25">
      <c r="A55" t="s">
        <v>760</v>
      </c>
      <c r="B55" t="s">
        <v>45</v>
      </c>
      <c r="C55" t="s">
        <v>274</v>
      </c>
      <c r="D55">
        <v>2</v>
      </c>
      <c r="E55">
        <v>34</v>
      </c>
      <c r="F55">
        <v>8</v>
      </c>
      <c r="H55">
        <v>3</v>
      </c>
      <c r="I55">
        <v>1</v>
      </c>
      <c r="M55">
        <v>1</v>
      </c>
      <c r="N55">
        <v>1</v>
      </c>
      <c r="O55">
        <v>3</v>
      </c>
      <c r="Q55">
        <v>1</v>
      </c>
    </row>
    <row r="56" spans="1:18" x14ac:dyDescent="0.25">
      <c r="A56" t="s">
        <v>760</v>
      </c>
      <c r="B56" t="s">
        <v>946</v>
      </c>
      <c r="C56" t="s">
        <v>271</v>
      </c>
    </row>
    <row r="57" spans="1:18" x14ac:dyDescent="0.25">
      <c r="A57" t="s">
        <v>760</v>
      </c>
      <c r="B57" t="s">
        <v>50</v>
      </c>
      <c r="C57" t="s">
        <v>294</v>
      </c>
      <c r="D57">
        <v>12</v>
      </c>
      <c r="E57">
        <v>50</v>
      </c>
      <c r="F57">
        <v>11</v>
      </c>
      <c r="G57">
        <v>2</v>
      </c>
      <c r="H57">
        <v>26</v>
      </c>
      <c r="I57">
        <v>3</v>
      </c>
      <c r="K57">
        <v>1</v>
      </c>
      <c r="L57">
        <v>11</v>
      </c>
      <c r="M57">
        <v>13</v>
      </c>
      <c r="N57">
        <v>25</v>
      </c>
      <c r="O57">
        <v>11</v>
      </c>
      <c r="P57">
        <v>29</v>
      </c>
      <c r="Q57">
        <v>92</v>
      </c>
      <c r="R57">
        <v>20</v>
      </c>
    </row>
    <row r="58" spans="1:18" x14ac:dyDescent="0.25">
      <c r="A58" t="s">
        <v>191</v>
      </c>
      <c r="B58" t="s">
        <v>31</v>
      </c>
      <c r="C58" t="s">
        <v>285</v>
      </c>
      <c r="D58">
        <v>4</v>
      </c>
      <c r="E58">
        <v>71</v>
      </c>
      <c r="F58">
        <v>164</v>
      </c>
      <c r="G58">
        <v>2</v>
      </c>
      <c r="H58">
        <v>72</v>
      </c>
      <c r="I58">
        <v>3</v>
      </c>
      <c r="J58">
        <v>4</v>
      </c>
      <c r="L58">
        <v>27</v>
      </c>
      <c r="M58">
        <v>1</v>
      </c>
      <c r="N58">
        <v>6</v>
      </c>
      <c r="O58">
        <v>6</v>
      </c>
      <c r="P58">
        <v>1</v>
      </c>
      <c r="Q58">
        <v>2</v>
      </c>
      <c r="R58">
        <v>6</v>
      </c>
    </row>
    <row r="59" spans="1:18" x14ac:dyDescent="0.25">
      <c r="A59" t="s">
        <v>191</v>
      </c>
      <c r="B59" t="s">
        <v>243</v>
      </c>
      <c r="C59" t="s">
        <v>288</v>
      </c>
      <c r="D59">
        <v>40</v>
      </c>
      <c r="E59">
        <v>127</v>
      </c>
      <c r="F59">
        <v>134</v>
      </c>
      <c r="G59">
        <v>69</v>
      </c>
      <c r="H59">
        <v>105</v>
      </c>
      <c r="I59">
        <v>42</v>
      </c>
      <c r="J59">
        <v>3</v>
      </c>
      <c r="K59">
        <v>7</v>
      </c>
      <c r="L59">
        <v>127</v>
      </c>
      <c r="M59">
        <v>28</v>
      </c>
      <c r="N59">
        <v>89</v>
      </c>
      <c r="O59">
        <v>108</v>
      </c>
      <c r="P59">
        <v>15</v>
      </c>
      <c r="Q59">
        <v>43</v>
      </c>
      <c r="R59">
        <v>19</v>
      </c>
    </row>
    <row r="60" spans="1:18" x14ac:dyDescent="0.25">
      <c r="A60" t="s">
        <v>191</v>
      </c>
      <c r="B60" t="s">
        <v>37</v>
      </c>
      <c r="C60" t="s">
        <v>293</v>
      </c>
      <c r="D60">
        <v>37</v>
      </c>
      <c r="E60">
        <v>40</v>
      </c>
      <c r="F60">
        <v>315</v>
      </c>
      <c r="G60">
        <v>1</v>
      </c>
      <c r="H60">
        <v>34</v>
      </c>
      <c r="I60">
        <v>2</v>
      </c>
      <c r="L60">
        <v>23</v>
      </c>
      <c r="M60">
        <v>1</v>
      </c>
      <c r="N60">
        <v>3</v>
      </c>
      <c r="O60">
        <v>3</v>
      </c>
      <c r="Q60">
        <v>1</v>
      </c>
    </row>
    <row r="61" spans="1:18" x14ac:dyDescent="0.25">
      <c r="A61" t="s">
        <v>191</v>
      </c>
      <c r="B61" t="s">
        <v>41</v>
      </c>
      <c r="C61" t="s">
        <v>270</v>
      </c>
      <c r="D61">
        <v>1</v>
      </c>
      <c r="E61">
        <v>14</v>
      </c>
      <c r="F61">
        <v>14</v>
      </c>
      <c r="H61">
        <v>7</v>
      </c>
      <c r="I61">
        <v>2</v>
      </c>
      <c r="J61">
        <v>1</v>
      </c>
      <c r="K61">
        <v>3</v>
      </c>
      <c r="L61">
        <v>18</v>
      </c>
      <c r="M61">
        <v>7</v>
      </c>
      <c r="N61">
        <v>25</v>
      </c>
      <c r="O61">
        <v>8</v>
      </c>
      <c r="Q61">
        <v>11</v>
      </c>
      <c r="R61">
        <v>8</v>
      </c>
    </row>
    <row r="62" spans="1:18" x14ac:dyDescent="0.25">
      <c r="A62" t="s">
        <v>191</v>
      </c>
      <c r="B62" t="s">
        <v>43</v>
      </c>
      <c r="C62" t="s">
        <v>388</v>
      </c>
      <c r="D62">
        <v>13</v>
      </c>
      <c r="E62">
        <v>118</v>
      </c>
      <c r="F62">
        <v>222</v>
      </c>
      <c r="G62">
        <v>1</v>
      </c>
      <c r="H62">
        <v>57</v>
      </c>
      <c r="I62">
        <v>3</v>
      </c>
      <c r="J62">
        <v>2</v>
      </c>
      <c r="K62">
        <v>4</v>
      </c>
      <c r="L62">
        <v>11</v>
      </c>
      <c r="M62">
        <v>3</v>
      </c>
      <c r="N62">
        <v>13</v>
      </c>
      <c r="O62">
        <v>22</v>
      </c>
      <c r="P62">
        <v>14</v>
      </c>
      <c r="Q62">
        <v>10</v>
      </c>
      <c r="R62">
        <v>5</v>
      </c>
    </row>
    <row r="63" spans="1:18" x14ac:dyDescent="0.25">
      <c r="A63" t="s">
        <v>190</v>
      </c>
      <c r="B63" t="s">
        <v>43</v>
      </c>
      <c r="C63" t="s">
        <v>388</v>
      </c>
      <c r="D63">
        <v>18</v>
      </c>
      <c r="E63">
        <v>137</v>
      </c>
      <c r="F63">
        <v>272</v>
      </c>
      <c r="G63">
        <v>1</v>
      </c>
      <c r="H63">
        <v>61</v>
      </c>
      <c r="I63">
        <v>6</v>
      </c>
      <c r="J63">
        <v>2</v>
      </c>
      <c r="K63">
        <v>4</v>
      </c>
      <c r="L63">
        <v>9</v>
      </c>
      <c r="M63">
        <v>12</v>
      </c>
      <c r="N63">
        <v>31</v>
      </c>
      <c r="O63">
        <v>18</v>
      </c>
      <c r="P63">
        <v>23</v>
      </c>
      <c r="Q63">
        <v>12</v>
      </c>
      <c r="R63">
        <v>12</v>
      </c>
    </row>
    <row r="64" spans="1:18" x14ac:dyDescent="0.25">
      <c r="A64" t="s">
        <v>190</v>
      </c>
      <c r="B64" t="s">
        <v>47</v>
      </c>
      <c r="C64" t="s">
        <v>276</v>
      </c>
      <c r="D64">
        <v>11</v>
      </c>
      <c r="E64">
        <v>38</v>
      </c>
      <c r="F64">
        <v>13</v>
      </c>
      <c r="G64">
        <v>4</v>
      </c>
      <c r="H64">
        <v>38</v>
      </c>
      <c r="I64">
        <v>28</v>
      </c>
      <c r="K64">
        <v>2</v>
      </c>
      <c r="L64">
        <v>2</v>
      </c>
      <c r="M64">
        <v>2</v>
      </c>
      <c r="N64">
        <v>2</v>
      </c>
      <c r="O64">
        <v>3</v>
      </c>
      <c r="P64">
        <v>43</v>
      </c>
      <c r="Q64">
        <v>7</v>
      </c>
    </row>
    <row r="65" spans="1:18" x14ac:dyDescent="0.25">
      <c r="A65" t="s">
        <v>190</v>
      </c>
      <c r="B65" t="s">
        <v>49</v>
      </c>
      <c r="C65" t="s">
        <v>277</v>
      </c>
      <c r="D65">
        <v>5</v>
      </c>
      <c r="E65">
        <v>72</v>
      </c>
      <c r="F65">
        <v>6</v>
      </c>
      <c r="G65">
        <v>4</v>
      </c>
      <c r="H65">
        <v>36</v>
      </c>
      <c r="I65">
        <v>30</v>
      </c>
      <c r="K65">
        <v>1</v>
      </c>
      <c r="L65">
        <v>4</v>
      </c>
      <c r="M65">
        <v>5</v>
      </c>
      <c r="N65">
        <v>39</v>
      </c>
      <c r="O65">
        <v>13</v>
      </c>
      <c r="P65">
        <v>34</v>
      </c>
      <c r="Q65">
        <v>4</v>
      </c>
      <c r="R65">
        <v>10</v>
      </c>
    </row>
    <row r="66" spans="1:18" x14ac:dyDescent="0.25">
      <c r="A66" t="s">
        <v>190</v>
      </c>
      <c r="B66" t="s">
        <v>51</v>
      </c>
      <c r="C66" t="s">
        <v>278</v>
      </c>
      <c r="D66">
        <v>1</v>
      </c>
      <c r="E66">
        <v>14</v>
      </c>
      <c r="F66">
        <v>6</v>
      </c>
      <c r="G66">
        <v>1</v>
      </c>
      <c r="H66">
        <v>9</v>
      </c>
      <c r="I66">
        <v>1</v>
      </c>
    </row>
    <row r="67" spans="1:18" x14ac:dyDescent="0.25">
      <c r="A67" t="s">
        <v>190</v>
      </c>
      <c r="B67" t="s">
        <v>59</v>
      </c>
      <c r="C67" t="s">
        <v>290</v>
      </c>
      <c r="D67">
        <v>7</v>
      </c>
      <c r="E67">
        <v>26</v>
      </c>
      <c r="F67">
        <v>19</v>
      </c>
      <c r="H67">
        <v>17</v>
      </c>
      <c r="I67">
        <v>2</v>
      </c>
      <c r="J67">
        <v>1</v>
      </c>
      <c r="L67">
        <v>3</v>
      </c>
      <c r="M67">
        <v>5</v>
      </c>
      <c r="N67">
        <v>7</v>
      </c>
      <c r="O67">
        <v>7</v>
      </c>
      <c r="P67">
        <v>117</v>
      </c>
      <c r="Q67">
        <v>9</v>
      </c>
    </row>
    <row r="68" spans="1:18" x14ac:dyDescent="0.25">
      <c r="A68" t="s">
        <v>257</v>
      </c>
      <c r="B68" t="s">
        <v>32</v>
      </c>
      <c r="C68" t="s">
        <v>286</v>
      </c>
      <c r="D68">
        <v>25</v>
      </c>
      <c r="E68">
        <v>89</v>
      </c>
      <c r="F68">
        <v>41</v>
      </c>
      <c r="G68">
        <v>2</v>
      </c>
      <c r="H68">
        <v>59</v>
      </c>
      <c r="I68">
        <v>54</v>
      </c>
      <c r="L68">
        <v>12</v>
      </c>
      <c r="M68">
        <v>62</v>
      </c>
      <c r="N68">
        <v>2</v>
      </c>
      <c r="O68">
        <v>3</v>
      </c>
      <c r="P68">
        <v>8</v>
      </c>
      <c r="Q68">
        <v>2</v>
      </c>
      <c r="R68">
        <v>3</v>
      </c>
    </row>
    <row r="69" spans="1:18" x14ac:dyDescent="0.25">
      <c r="A69" t="s">
        <v>257</v>
      </c>
      <c r="B69" t="s">
        <v>35</v>
      </c>
      <c r="C69" t="s">
        <v>266</v>
      </c>
      <c r="D69">
        <v>15</v>
      </c>
      <c r="E69">
        <v>19</v>
      </c>
      <c r="F69">
        <v>2</v>
      </c>
      <c r="G69">
        <v>2</v>
      </c>
      <c r="H69">
        <v>2</v>
      </c>
      <c r="I69">
        <v>1</v>
      </c>
      <c r="L69">
        <v>2</v>
      </c>
      <c r="M69">
        <v>10</v>
      </c>
      <c r="N69">
        <v>6</v>
      </c>
      <c r="O69">
        <v>3</v>
      </c>
      <c r="Q69">
        <v>6</v>
      </c>
    </row>
    <row r="70" spans="1:18" x14ac:dyDescent="0.25">
      <c r="A70" t="s">
        <v>257</v>
      </c>
      <c r="B70" t="s">
        <v>36</v>
      </c>
      <c r="C70" t="s">
        <v>267</v>
      </c>
      <c r="D70">
        <v>11</v>
      </c>
      <c r="E70">
        <v>76</v>
      </c>
      <c r="F70">
        <v>44</v>
      </c>
      <c r="G70">
        <v>6</v>
      </c>
      <c r="H70">
        <v>110</v>
      </c>
      <c r="I70">
        <v>10</v>
      </c>
      <c r="J70">
        <v>2</v>
      </c>
      <c r="K70">
        <v>7</v>
      </c>
      <c r="L70">
        <v>5</v>
      </c>
      <c r="M70">
        <v>18</v>
      </c>
      <c r="N70">
        <v>18</v>
      </c>
      <c r="O70">
        <v>8</v>
      </c>
      <c r="P70">
        <v>22</v>
      </c>
      <c r="Q70">
        <v>19</v>
      </c>
      <c r="R70">
        <v>7</v>
      </c>
    </row>
    <row r="71" spans="1:18" x14ac:dyDescent="0.25">
      <c r="A71" t="s">
        <v>257</v>
      </c>
      <c r="B71" t="s">
        <v>38</v>
      </c>
      <c r="C71" t="s">
        <v>268</v>
      </c>
      <c r="D71">
        <v>6</v>
      </c>
      <c r="E71">
        <v>46</v>
      </c>
      <c r="F71">
        <v>9</v>
      </c>
      <c r="H71">
        <v>24</v>
      </c>
      <c r="I71">
        <v>9</v>
      </c>
      <c r="K71">
        <v>2</v>
      </c>
      <c r="L71">
        <v>4</v>
      </c>
      <c r="M71">
        <v>2</v>
      </c>
      <c r="N71">
        <v>23</v>
      </c>
      <c r="O71">
        <v>7</v>
      </c>
      <c r="P71">
        <v>22</v>
      </c>
      <c r="Q71">
        <v>6</v>
      </c>
      <c r="R71">
        <v>4</v>
      </c>
    </row>
    <row r="72" spans="1:18" x14ac:dyDescent="0.25">
      <c r="A72" t="s">
        <v>257</v>
      </c>
      <c r="B72" t="s">
        <v>56</v>
      </c>
      <c r="C72" t="s">
        <v>282</v>
      </c>
      <c r="D72">
        <v>19</v>
      </c>
      <c r="E72">
        <v>51</v>
      </c>
      <c r="F72">
        <v>32</v>
      </c>
      <c r="G72">
        <v>6</v>
      </c>
      <c r="H72">
        <v>59</v>
      </c>
      <c r="I72">
        <v>34</v>
      </c>
      <c r="K72">
        <v>4</v>
      </c>
      <c r="L72">
        <v>15</v>
      </c>
      <c r="M72">
        <v>4</v>
      </c>
      <c r="N72">
        <v>22</v>
      </c>
      <c r="O72">
        <v>12</v>
      </c>
      <c r="P72">
        <v>9</v>
      </c>
      <c r="Q72">
        <v>9</v>
      </c>
      <c r="R72">
        <v>34</v>
      </c>
    </row>
    <row r="73" spans="1:18" x14ac:dyDescent="0.25">
      <c r="A73" t="s">
        <v>240</v>
      </c>
      <c r="B73" t="s">
        <v>31</v>
      </c>
      <c r="C73" t="s">
        <v>285</v>
      </c>
      <c r="D73">
        <v>13</v>
      </c>
      <c r="E73">
        <v>46</v>
      </c>
      <c r="F73">
        <v>170</v>
      </c>
      <c r="G73">
        <v>1</v>
      </c>
      <c r="H73">
        <v>35</v>
      </c>
      <c r="I73">
        <v>1</v>
      </c>
      <c r="J73">
        <v>3</v>
      </c>
      <c r="K73">
        <v>1</v>
      </c>
      <c r="L73">
        <v>9</v>
      </c>
      <c r="M73">
        <v>3</v>
      </c>
      <c r="N73">
        <v>12</v>
      </c>
      <c r="O73">
        <v>6</v>
      </c>
      <c r="P73">
        <v>6</v>
      </c>
      <c r="Q73">
        <v>5</v>
      </c>
      <c r="R73">
        <v>4</v>
      </c>
    </row>
    <row r="74" spans="1:18" x14ac:dyDescent="0.25">
      <c r="A74" t="s">
        <v>240</v>
      </c>
      <c r="B74" t="s">
        <v>32</v>
      </c>
      <c r="C74" t="s">
        <v>286</v>
      </c>
      <c r="D74">
        <v>15</v>
      </c>
      <c r="E74">
        <v>92</v>
      </c>
      <c r="F74">
        <v>39</v>
      </c>
      <c r="H74">
        <v>72</v>
      </c>
      <c r="I74">
        <v>52</v>
      </c>
      <c r="J74">
        <v>1</v>
      </c>
      <c r="K74">
        <v>6</v>
      </c>
      <c r="L74">
        <v>10</v>
      </c>
      <c r="M74">
        <v>8</v>
      </c>
      <c r="N74">
        <v>10</v>
      </c>
      <c r="O74">
        <v>8</v>
      </c>
      <c r="P74">
        <v>15</v>
      </c>
      <c r="Q74">
        <v>11</v>
      </c>
      <c r="R74">
        <v>5</v>
      </c>
    </row>
    <row r="75" spans="1:18" x14ac:dyDescent="0.25">
      <c r="A75" t="s">
        <v>240</v>
      </c>
      <c r="B75" t="s">
        <v>55</v>
      </c>
      <c r="C75" t="s">
        <v>281</v>
      </c>
      <c r="D75">
        <v>1</v>
      </c>
      <c r="E75">
        <v>16</v>
      </c>
      <c r="F75">
        <v>3</v>
      </c>
      <c r="L75">
        <v>1</v>
      </c>
      <c r="M75">
        <v>1</v>
      </c>
      <c r="N75">
        <v>1</v>
      </c>
    </row>
    <row r="76" spans="1:18" x14ac:dyDescent="0.25">
      <c r="A76" t="s">
        <v>239</v>
      </c>
      <c r="B76" t="s">
        <v>37</v>
      </c>
      <c r="C76" t="s">
        <v>293</v>
      </c>
      <c r="D76">
        <v>14</v>
      </c>
      <c r="E76">
        <v>39</v>
      </c>
      <c r="F76">
        <v>280</v>
      </c>
      <c r="G76">
        <v>2</v>
      </c>
      <c r="H76">
        <v>15</v>
      </c>
      <c r="L76">
        <v>10</v>
      </c>
      <c r="M76">
        <v>6</v>
      </c>
      <c r="N76">
        <v>5</v>
      </c>
      <c r="O76">
        <v>4</v>
      </c>
      <c r="P76">
        <v>1</v>
      </c>
      <c r="Q76">
        <v>1</v>
      </c>
      <c r="R76">
        <v>4</v>
      </c>
    </row>
    <row r="77" spans="1:18" x14ac:dyDescent="0.25">
      <c r="A77" t="s">
        <v>760</v>
      </c>
      <c r="B77" t="s">
        <v>32</v>
      </c>
      <c r="C77" t="s">
        <v>286</v>
      </c>
      <c r="D77">
        <v>15</v>
      </c>
      <c r="E77">
        <v>81</v>
      </c>
      <c r="F77">
        <v>20</v>
      </c>
      <c r="G77">
        <v>5</v>
      </c>
      <c r="H77">
        <v>44</v>
      </c>
      <c r="I77">
        <v>47</v>
      </c>
      <c r="K77">
        <v>3</v>
      </c>
      <c r="L77">
        <v>8</v>
      </c>
      <c r="M77">
        <v>30</v>
      </c>
      <c r="N77">
        <v>34</v>
      </c>
      <c r="O77">
        <v>9</v>
      </c>
      <c r="P77">
        <v>19</v>
      </c>
      <c r="Q77">
        <v>17</v>
      </c>
      <c r="R77">
        <v>19</v>
      </c>
    </row>
    <row r="78" spans="1:18" x14ac:dyDescent="0.25">
      <c r="A78" t="s">
        <v>760</v>
      </c>
      <c r="B78" t="s">
        <v>41</v>
      </c>
      <c r="C78" t="s">
        <v>270</v>
      </c>
      <c r="E78">
        <v>7</v>
      </c>
      <c r="F78">
        <v>2</v>
      </c>
      <c r="H78">
        <v>6</v>
      </c>
      <c r="I78">
        <v>2</v>
      </c>
      <c r="M78">
        <v>5</v>
      </c>
      <c r="O78">
        <v>3</v>
      </c>
      <c r="P78">
        <v>1</v>
      </c>
      <c r="Q78">
        <v>2</v>
      </c>
    </row>
    <row r="79" spans="1:18" x14ac:dyDescent="0.25">
      <c r="A79" t="s">
        <v>760</v>
      </c>
      <c r="B79" t="s">
        <v>52</v>
      </c>
      <c r="C79" t="s">
        <v>279</v>
      </c>
      <c r="D79">
        <v>36</v>
      </c>
      <c r="E79">
        <v>71</v>
      </c>
      <c r="F79">
        <v>10</v>
      </c>
      <c r="G79">
        <v>2</v>
      </c>
      <c r="H79">
        <v>67</v>
      </c>
      <c r="I79">
        <v>33</v>
      </c>
      <c r="L79">
        <v>6</v>
      </c>
      <c r="M79">
        <v>6</v>
      </c>
      <c r="N79">
        <v>6</v>
      </c>
      <c r="O79">
        <v>6</v>
      </c>
      <c r="P79">
        <v>2</v>
      </c>
      <c r="Q79">
        <v>1</v>
      </c>
      <c r="R79">
        <v>2</v>
      </c>
    </row>
    <row r="80" spans="1:18" x14ac:dyDescent="0.25">
      <c r="A80" t="s">
        <v>760</v>
      </c>
      <c r="B80" t="s">
        <v>53</v>
      </c>
      <c r="C80" t="s">
        <v>289</v>
      </c>
      <c r="D80">
        <v>1</v>
      </c>
      <c r="E80">
        <v>48</v>
      </c>
      <c r="F80">
        <v>5</v>
      </c>
      <c r="H80">
        <v>24</v>
      </c>
      <c r="I80">
        <v>20</v>
      </c>
      <c r="J80">
        <v>1</v>
      </c>
      <c r="L80">
        <v>9</v>
      </c>
      <c r="M80">
        <v>7</v>
      </c>
      <c r="N80">
        <v>11</v>
      </c>
      <c r="O80">
        <v>10</v>
      </c>
      <c r="P80">
        <v>5</v>
      </c>
      <c r="Q80">
        <v>3</v>
      </c>
      <c r="R80">
        <v>5</v>
      </c>
    </row>
    <row r="81" spans="1:18" x14ac:dyDescent="0.25">
      <c r="A81" t="s">
        <v>760</v>
      </c>
      <c r="B81" t="s">
        <v>55</v>
      </c>
      <c r="C81" t="s">
        <v>281</v>
      </c>
      <c r="E81">
        <v>11</v>
      </c>
    </row>
    <row r="82" spans="1:18" x14ac:dyDescent="0.25">
      <c r="A82" t="s">
        <v>760</v>
      </c>
      <c r="B82" t="s">
        <v>57</v>
      </c>
      <c r="C82" t="s">
        <v>283</v>
      </c>
      <c r="D82">
        <v>15</v>
      </c>
      <c r="E82">
        <v>61</v>
      </c>
      <c r="F82">
        <v>45</v>
      </c>
      <c r="H82">
        <v>3</v>
      </c>
      <c r="I82">
        <v>2</v>
      </c>
      <c r="K82">
        <v>1</v>
      </c>
      <c r="L82">
        <v>5</v>
      </c>
      <c r="M82">
        <v>1</v>
      </c>
      <c r="N82">
        <v>13</v>
      </c>
      <c r="O82">
        <v>1</v>
      </c>
      <c r="P82">
        <v>5</v>
      </c>
      <c r="Q82">
        <v>3</v>
      </c>
      <c r="R82">
        <v>4</v>
      </c>
    </row>
    <row r="83" spans="1:18" x14ac:dyDescent="0.25">
      <c r="A83" t="s">
        <v>917</v>
      </c>
      <c r="B83" t="s">
        <v>35</v>
      </c>
      <c r="C83" t="s">
        <v>266</v>
      </c>
      <c r="D83">
        <v>2</v>
      </c>
      <c r="E83">
        <v>19</v>
      </c>
      <c r="G83">
        <v>4</v>
      </c>
      <c r="L83">
        <v>1</v>
      </c>
      <c r="M83">
        <v>2</v>
      </c>
      <c r="N83">
        <v>1</v>
      </c>
      <c r="O83">
        <v>3</v>
      </c>
      <c r="P83">
        <v>2</v>
      </c>
      <c r="Q83">
        <v>1</v>
      </c>
    </row>
    <row r="84" spans="1:18" x14ac:dyDescent="0.25">
      <c r="A84" t="s">
        <v>917</v>
      </c>
      <c r="B84" t="s">
        <v>42</v>
      </c>
      <c r="C84" t="s">
        <v>272</v>
      </c>
      <c r="D84">
        <v>7</v>
      </c>
      <c r="E84">
        <v>39</v>
      </c>
      <c r="J84">
        <v>1</v>
      </c>
      <c r="L84">
        <v>1</v>
      </c>
      <c r="M84">
        <v>3</v>
      </c>
      <c r="N84">
        <v>2</v>
      </c>
      <c r="O84">
        <v>3</v>
      </c>
      <c r="P84">
        <v>4</v>
      </c>
      <c r="Q84">
        <v>1</v>
      </c>
      <c r="R84">
        <v>1</v>
      </c>
    </row>
    <row r="85" spans="1:18" x14ac:dyDescent="0.25">
      <c r="A85" t="s">
        <v>917</v>
      </c>
      <c r="B85" t="s">
        <v>44</v>
      </c>
      <c r="C85" t="s">
        <v>273</v>
      </c>
      <c r="D85">
        <v>18</v>
      </c>
      <c r="E85">
        <v>56</v>
      </c>
      <c r="F85">
        <v>16</v>
      </c>
      <c r="H85">
        <v>17</v>
      </c>
      <c r="I85">
        <v>2</v>
      </c>
      <c r="K85">
        <v>1</v>
      </c>
      <c r="L85">
        <v>1</v>
      </c>
      <c r="M85">
        <v>1</v>
      </c>
      <c r="N85">
        <v>2</v>
      </c>
      <c r="O85">
        <v>2</v>
      </c>
      <c r="P85">
        <v>4</v>
      </c>
      <c r="Q85">
        <v>2</v>
      </c>
      <c r="R85">
        <v>2</v>
      </c>
    </row>
    <row r="86" spans="1:18" x14ac:dyDescent="0.25">
      <c r="A86" t="s">
        <v>191</v>
      </c>
      <c r="B86" t="s">
        <v>38</v>
      </c>
      <c r="C86" t="s">
        <v>268</v>
      </c>
      <c r="D86">
        <v>10</v>
      </c>
      <c r="E86">
        <v>30</v>
      </c>
      <c r="F86">
        <v>19</v>
      </c>
      <c r="H86">
        <v>22</v>
      </c>
      <c r="L86">
        <v>11</v>
      </c>
      <c r="M86">
        <v>5</v>
      </c>
      <c r="N86">
        <v>21</v>
      </c>
      <c r="O86">
        <v>11</v>
      </c>
      <c r="P86">
        <v>13</v>
      </c>
      <c r="Q86">
        <v>7</v>
      </c>
      <c r="R86">
        <v>4</v>
      </c>
    </row>
    <row r="87" spans="1:18" x14ac:dyDescent="0.25">
      <c r="A87" t="s">
        <v>191</v>
      </c>
      <c r="B87" t="s">
        <v>50</v>
      </c>
      <c r="C87" t="s">
        <v>294</v>
      </c>
      <c r="D87">
        <v>7</v>
      </c>
      <c r="E87">
        <v>39</v>
      </c>
      <c r="F87">
        <v>55</v>
      </c>
      <c r="H87">
        <v>20</v>
      </c>
      <c r="I87">
        <v>2</v>
      </c>
      <c r="K87">
        <v>5</v>
      </c>
      <c r="L87">
        <v>35</v>
      </c>
      <c r="M87">
        <v>3</v>
      </c>
      <c r="N87">
        <v>42</v>
      </c>
      <c r="O87">
        <v>9</v>
      </c>
      <c r="P87">
        <v>26</v>
      </c>
      <c r="Q87">
        <v>42</v>
      </c>
      <c r="R87">
        <v>16</v>
      </c>
    </row>
    <row r="88" spans="1:18" x14ac:dyDescent="0.25">
      <c r="A88" t="s">
        <v>190</v>
      </c>
      <c r="B88" t="s">
        <v>34</v>
      </c>
      <c r="C88" t="s">
        <v>287</v>
      </c>
      <c r="D88">
        <v>11</v>
      </c>
      <c r="E88">
        <v>32</v>
      </c>
      <c r="F88">
        <v>19</v>
      </c>
      <c r="G88">
        <v>12</v>
      </c>
      <c r="H88">
        <v>176</v>
      </c>
      <c r="I88">
        <v>30</v>
      </c>
      <c r="J88">
        <v>1</v>
      </c>
      <c r="K88">
        <v>2</v>
      </c>
      <c r="L88">
        <v>3</v>
      </c>
      <c r="M88">
        <v>10</v>
      </c>
      <c r="N88">
        <v>18</v>
      </c>
      <c r="O88">
        <v>6</v>
      </c>
      <c r="P88">
        <v>11</v>
      </c>
      <c r="Q88">
        <v>6</v>
      </c>
      <c r="R88">
        <v>4</v>
      </c>
    </row>
    <row r="89" spans="1:18" x14ac:dyDescent="0.25">
      <c r="A89" t="s">
        <v>190</v>
      </c>
      <c r="B89" t="s">
        <v>46</v>
      </c>
      <c r="C89" t="s">
        <v>275</v>
      </c>
      <c r="D89">
        <v>3</v>
      </c>
      <c r="E89">
        <v>16</v>
      </c>
      <c r="F89">
        <v>23</v>
      </c>
      <c r="G89">
        <v>3</v>
      </c>
      <c r="H89">
        <v>6</v>
      </c>
      <c r="I89">
        <v>1</v>
      </c>
      <c r="K89">
        <v>1</v>
      </c>
      <c r="L89">
        <v>6</v>
      </c>
      <c r="M89">
        <v>12</v>
      </c>
      <c r="N89">
        <v>16</v>
      </c>
      <c r="O89">
        <v>4</v>
      </c>
      <c r="P89">
        <v>4</v>
      </c>
      <c r="Q89">
        <v>1</v>
      </c>
      <c r="R89">
        <v>2</v>
      </c>
    </row>
    <row r="90" spans="1:18" x14ac:dyDescent="0.25">
      <c r="A90" t="s">
        <v>190</v>
      </c>
      <c r="B90" t="s">
        <v>56</v>
      </c>
      <c r="C90" t="s">
        <v>282</v>
      </c>
      <c r="D90">
        <v>19</v>
      </c>
      <c r="E90">
        <v>58</v>
      </c>
      <c r="F90">
        <v>29</v>
      </c>
      <c r="G90">
        <v>3</v>
      </c>
      <c r="H90">
        <v>48</v>
      </c>
      <c r="I90">
        <v>15</v>
      </c>
      <c r="L90">
        <v>15</v>
      </c>
      <c r="M90">
        <v>4</v>
      </c>
      <c r="N90">
        <v>26</v>
      </c>
      <c r="O90">
        <v>9</v>
      </c>
      <c r="P90">
        <v>45</v>
      </c>
      <c r="Q90">
        <v>9</v>
      </c>
      <c r="R90">
        <v>8</v>
      </c>
    </row>
    <row r="91" spans="1:18" x14ac:dyDescent="0.25">
      <c r="A91" t="s">
        <v>257</v>
      </c>
      <c r="B91" t="s">
        <v>31</v>
      </c>
      <c r="C91" t="s">
        <v>285</v>
      </c>
      <c r="D91">
        <v>21</v>
      </c>
      <c r="E91">
        <v>103</v>
      </c>
      <c r="F91">
        <v>219</v>
      </c>
      <c r="G91">
        <v>2</v>
      </c>
      <c r="H91">
        <v>50</v>
      </c>
      <c r="I91">
        <v>4</v>
      </c>
      <c r="K91">
        <v>1</v>
      </c>
      <c r="L91">
        <v>10</v>
      </c>
      <c r="M91">
        <v>4</v>
      </c>
      <c r="N91">
        <v>6</v>
      </c>
      <c r="O91">
        <v>6</v>
      </c>
      <c r="P91">
        <v>2</v>
      </c>
      <c r="Q91">
        <v>5</v>
      </c>
      <c r="R91">
        <v>2</v>
      </c>
    </row>
    <row r="92" spans="1:18" x14ac:dyDescent="0.25">
      <c r="A92" t="s">
        <v>257</v>
      </c>
      <c r="B92" t="s">
        <v>44</v>
      </c>
      <c r="C92" t="s">
        <v>273</v>
      </c>
      <c r="D92">
        <v>18</v>
      </c>
      <c r="E92">
        <v>93</v>
      </c>
      <c r="F92">
        <v>47</v>
      </c>
      <c r="G92">
        <v>10</v>
      </c>
      <c r="H92">
        <v>67</v>
      </c>
      <c r="I92">
        <v>9</v>
      </c>
      <c r="L92">
        <v>8</v>
      </c>
      <c r="M92">
        <v>1</v>
      </c>
      <c r="N92">
        <v>8</v>
      </c>
      <c r="O92">
        <v>1</v>
      </c>
      <c r="P92">
        <v>4</v>
      </c>
      <c r="Q92">
        <v>1</v>
      </c>
      <c r="R92">
        <v>1</v>
      </c>
    </row>
    <row r="93" spans="1:18" x14ac:dyDescent="0.25">
      <c r="A93" t="s">
        <v>257</v>
      </c>
      <c r="B93" t="s">
        <v>60</v>
      </c>
      <c r="C93" t="s">
        <v>291</v>
      </c>
      <c r="D93">
        <v>10</v>
      </c>
      <c r="E93">
        <v>47</v>
      </c>
      <c r="F93">
        <v>2</v>
      </c>
      <c r="G93">
        <v>1</v>
      </c>
      <c r="H93">
        <v>16</v>
      </c>
      <c r="I93">
        <v>1</v>
      </c>
      <c r="J93">
        <v>2</v>
      </c>
      <c r="K93">
        <v>4</v>
      </c>
      <c r="L93">
        <v>22</v>
      </c>
      <c r="M93">
        <v>15</v>
      </c>
      <c r="N93">
        <v>12</v>
      </c>
      <c r="O93">
        <v>11</v>
      </c>
      <c r="P93">
        <v>18</v>
      </c>
      <c r="Q93">
        <v>11</v>
      </c>
      <c r="R93">
        <v>5</v>
      </c>
    </row>
    <row r="94" spans="1:18" x14ac:dyDescent="0.25">
      <c r="A94" t="s">
        <v>240</v>
      </c>
      <c r="B94" t="s">
        <v>36</v>
      </c>
      <c r="C94" t="s">
        <v>267</v>
      </c>
      <c r="D94">
        <v>18</v>
      </c>
      <c r="E94">
        <v>88</v>
      </c>
      <c r="F94">
        <v>39</v>
      </c>
      <c r="G94">
        <v>8</v>
      </c>
      <c r="H94">
        <v>86</v>
      </c>
      <c r="I94">
        <v>7</v>
      </c>
      <c r="K94">
        <v>12</v>
      </c>
      <c r="L94">
        <v>15</v>
      </c>
      <c r="M94">
        <v>10</v>
      </c>
      <c r="N94">
        <v>35</v>
      </c>
      <c r="O94">
        <v>15</v>
      </c>
      <c r="P94">
        <v>30</v>
      </c>
      <c r="Q94">
        <v>9</v>
      </c>
      <c r="R94">
        <v>7</v>
      </c>
    </row>
    <row r="95" spans="1:18" x14ac:dyDescent="0.25">
      <c r="A95" t="s">
        <v>240</v>
      </c>
      <c r="B95" t="s">
        <v>45</v>
      </c>
      <c r="C95" t="s">
        <v>274</v>
      </c>
      <c r="E95">
        <v>35</v>
      </c>
      <c r="F95">
        <v>10</v>
      </c>
      <c r="H95">
        <v>6</v>
      </c>
      <c r="I95">
        <v>1</v>
      </c>
      <c r="J95">
        <v>1</v>
      </c>
      <c r="K95">
        <v>1</v>
      </c>
      <c r="L95">
        <v>3</v>
      </c>
      <c r="M95">
        <v>1</v>
      </c>
      <c r="N95">
        <v>1</v>
      </c>
      <c r="O95">
        <v>1</v>
      </c>
      <c r="P95">
        <v>3</v>
      </c>
      <c r="Q95">
        <v>1</v>
      </c>
      <c r="R95">
        <v>1</v>
      </c>
    </row>
    <row r="96" spans="1:18" x14ac:dyDescent="0.25">
      <c r="A96" t="s">
        <v>240</v>
      </c>
      <c r="B96" t="s">
        <v>946</v>
      </c>
      <c r="C96" t="s">
        <v>271</v>
      </c>
      <c r="D96">
        <v>4</v>
      </c>
      <c r="E96">
        <v>11</v>
      </c>
      <c r="H96">
        <v>5</v>
      </c>
      <c r="I96">
        <v>2</v>
      </c>
      <c r="N96">
        <v>1</v>
      </c>
    </row>
    <row r="97" spans="1:18" x14ac:dyDescent="0.25">
      <c r="A97" t="s">
        <v>240</v>
      </c>
      <c r="B97" t="s">
        <v>49</v>
      </c>
      <c r="C97" t="s">
        <v>277</v>
      </c>
      <c r="D97">
        <v>2</v>
      </c>
      <c r="E97">
        <v>40</v>
      </c>
      <c r="F97">
        <v>3</v>
      </c>
      <c r="H97">
        <v>29</v>
      </c>
      <c r="I97">
        <v>4</v>
      </c>
      <c r="J97">
        <v>1</v>
      </c>
      <c r="L97">
        <v>7</v>
      </c>
      <c r="M97">
        <v>1</v>
      </c>
      <c r="N97">
        <v>8</v>
      </c>
      <c r="O97">
        <v>2</v>
      </c>
      <c r="P97">
        <v>1</v>
      </c>
      <c r="Q97">
        <v>3</v>
      </c>
      <c r="R97">
        <v>1</v>
      </c>
    </row>
    <row r="98" spans="1:18" x14ac:dyDescent="0.25">
      <c r="A98" t="s">
        <v>240</v>
      </c>
      <c r="B98" t="s">
        <v>50</v>
      </c>
      <c r="C98" t="s">
        <v>294</v>
      </c>
      <c r="D98">
        <v>10</v>
      </c>
      <c r="E98">
        <v>59</v>
      </c>
      <c r="F98">
        <v>24</v>
      </c>
      <c r="H98">
        <v>27</v>
      </c>
      <c r="I98">
        <v>5</v>
      </c>
      <c r="K98">
        <v>4</v>
      </c>
      <c r="L98">
        <v>26</v>
      </c>
      <c r="M98">
        <v>6</v>
      </c>
      <c r="N98">
        <v>81</v>
      </c>
      <c r="O98">
        <v>18</v>
      </c>
      <c r="P98">
        <v>24</v>
      </c>
      <c r="Q98">
        <v>40</v>
      </c>
      <c r="R98">
        <v>27</v>
      </c>
    </row>
    <row r="99" spans="1:18" x14ac:dyDescent="0.25">
      <c r="A99" t="s">
        <v>240</v>
      </c>
      <c r="B99" t="s">
        <v>52</v>
      </c>
      <c r="C99" t="s">
        <v>279</v>
      </c>
      <c r="D99">
        <v>58</v>
      </c>
      <c r="E99">
        <v>80</v>
      </c>
      <c r="F99">
        <v>6</v>
      </c>
      <c r="G99">
        <v>9</v>
      </c>
      <c r="H99">
        <v>70</v>
      </c>
      <c r="I99">
        <v>36</v>
      </c>
      <c r="K99">
        <v>1</v>
      </c>
      <c r="L99">
        <v>4</v>
      </c>
      <c r="M99">
        <v>2</v>
      </c>
      <c r="N99">
        <v>5</v>
      </c>
      <c r="O99">
        <v>14</v>
      </c>
      <c r="P99">
        <v>3</v>
      </c>
      <c r="Q99">
        <v>4</v>
      </c>
      <c r="R99">
        <v>1</v>
      </c>
    </row>
    <row r="100" spans="1:18" x14ac:dyDescent="0.25">
      <c r="A100" t="s">
        <v>239</v>
      </c>
      <c r="B100" t="s">
        <v>32</v>
      </c>
      <c r="C100" t="s">
        <v>286</v>
      </c>
      <c r="D100">
        <v>26</v>
      </c>
      <c r="E100">
        <v>88</v>
      </c>
      <c r="F100">
        <v>48</v>
      </c>
      <c r="G100">
        <v>7</v>
      </c>
      <c r="H100">
        <v>73</v>
      </c>
      <c r="I100">
        <v>48</v>
      </c>
      <c r="J100">
        <v>3</v>
      </c>
      <c r="K100">
        <v>3</v>
      </c>
      <c r="L100">
        <v>13</v>
      </c>
      <c r="M100">
        <v>8</v>
      </c>
      <c r="N100">
        <v>13</v>
      </c>
      <c r="O100">
        <v>4</v>
      </c>
      <c r="P100">
        <v>21</v>
      </c>
      <c r="Q100">
        <v>13</v>
      </c>
      <c r="R100">
        <v>5</v>
      </c>
    </row>
    <row r="101" spans="1:18" x14ac:dyDescent="0.25">
      <c r="A101" t="s">
        <v>760</v>
      </c>
      <c r="B101" t="s">
        <v>35</v>
      </c>
      <c r="C101" t="s">
        <v>266</v>
      </c>
      <c r="D101">
        <v>4</v>
      </c>
      <c r="E101">
        <v>22</v>
      </c>
      <c r="F101">
        <v>3</v>
      </c>
      <c r="M101">
        <v>8</v>
      </c>
      <c r="N101">
        <v>1</v>
      </c>
      <c r="O101">
        <v>4</v>
      </c>
      <c r="P101">
        <v>3</v>
      </c>
      <c r="Q101">
        <v>4</v>
      </c>
    </row>
    <row r="102" spans="1:18" x14ac:dyDescent="0.25">
      <c r="A102" t="s">
        <v>760</v>
      </c>
      <c r="B102" t="s">
        <v>37</v>
      </c>
      <c r="C102" t="s">
        <v>293</v>
      </c>
      <c r="D102">
        <v>3</v>
      </c>
      <c r="E102">
        <v>35</v>
      </c>
      <c r="F102">
        <v>336</v>
      </c>
      <c r="G102">
        <v>1</v>
      </c>
      <c r="H102">
        <v>17</v>
      </c>
      <c r="I102">
        <v>1</v>
      </c>
      <c r="K102">
        <v>2</v>
      </c>
      <c r="L102">
        <v>12</v>
      </c>
      <c r="M102">
        <v>1</v>
      </c>
      <c r="N102">
        <v>4</v>
      </c>
      <c r="O102">
        <v>7</v>
      </c>
      <c r="P102">
        <v>4</v>
      </c>
      <c r="R102">
        <v>1</v>
      </c>
    </row>
    <row r="103" spans="1:18" x14ac:dyDescent="0.25">
      <c r="A103" t="s">
        <v>760</v>
      </c>
      <c r="B103" t="s">
        <v>54</v>
      </c>
      <c r="C103" t="s">
        <v>280</v>
      </c>
      <c r="D103">
        <v>18</v>
      </c>
      <c r="E103">
        <v>32</v>
      </c>
      <c r="F103">
        <v>16</v>
      </c>
      <c r="H103">
        <v>8</v>
      </c>
      <c r="I103">
        <v>2</v>
      </c>
      <c r="L103">
        <v>4</v>
      </c>
      <c r="M103">
        <v>11</v>
      </c>
      <c r="N103">
        <v>1</v>
      </c>
      <c r="O103">
        <v>6</v>
      </c>
      <c r="P103">
        <v>5</v>
      </c>
      <c r="R103">
        <v>1</v>
      </c>
    </row>
    <row r="104" spans="1:18" x14ac:dyDescent="0.25">
      <c r="A104" t="s">
        <v>917</v>
      </c>
      <c r="B104" t="s">
        <v>34</v>
      </c>
      <c r="C104" t="s">
        <v>287</v>
      </c>
      <c r="E104">
        <v>7</v>
      </c>
      <c r="F104">
        <v>15</v>
      </c>
      <c r="G104">
        <v>6</v>
      </c>
      <c r="H104">
        <v>69</v>
      </c>
      <c r="I104">
        <v>9</v>
      </c>
      <c r="J104">
        <v>2</v>
      </c>
      <c r="M104">
        <v>2</v>
      </c>
      <c r="N104">
        <v>1</v>
      </c>
      <c r="O104">
        <v>4</v>
      </c>
      <c r="P104">
        <v>2</v>
      </c>
      <c r="Q104">
        <v>1</v>
      </c>
      <c r="R104">
        <v>2</v>
      </c>
    </row>
    <row r="105" spans="1:18" x14ac:dyDescent="0.25">
      <c r="A105" t="s">
        <v>917</v>
      </c>
      <c r="B105" t="s">
        <v>45</v>
      </c>
      <c r="C105" t="s">
        <v>274</v>
      </c>
      <c r="E105">
        <v>21</v>
      </c>
      <c r="F105">
        <v>4</v>
      </c>
      <c r="H105">
        <v>1</v>
      </c>
      <c r="L105">
        <v>1</v>
      </c>
      <c r="N105">
        <v>1</v>
      </c>
      <c r="O105">
        <v>1</v>
      </c>
    </row>
    <row r="106" spans="1:18" x14ac:dyDescent="0.25">
      <c r="A106" t="s">
        <v>917</v>
      </c>
      <c r="B106" t="s">
        <v>49</v>
      </c>
      <c r="C106" t="s">
        <v>277</v>
      </c>
      <c r="E106">
        <v>66</v>
      </c>
      <c r="H106">
        <v>10</v>
      </c>
      <c r="I106">
        <v>2</v>
      </c>
      <c r="L106">
        <v>2</v>
      </c>
      <c r="N106">
        <v>6</v>
      </c>
      <c r="O106">
        <v>1</v>
      </c>
      <c r="P106">
        <v>1</v>
      </c>
      <c r="R106">
        <v>1</v>
      </c>
    </row>
    <row r="107" spans="1:18" x14ac:dyDescent="0.25">
      <c r="A107" t="s">
        <v>917</v>
      </c>
      <c r="B107" t="s">
        <v>54</v>
      </c>
      <c r="C107" t="s">
        <v>280</v>
      </c>
      <c r="D107">
        <v>16</v>
      </c>
      <c r="E107">
        <v>34</v>
      </c>
      <c r="F107">
        <v>5</v>
      </c>
      <c r="H107">
        <v>3</v>
      </c>
      <c r="L107">
        <v>1</v>
      </c>
      <c r="M107">
        <v>2</v>
      </c>
      <c r="N107">
        <v>2</v>
      </c>
      <c r="P107">
        <v>1</v>
      </c>
      <c r="R107">
        <v>2</v>
      </c>
    </row>
    <row r="108" spans="1:18" x14ac:dyDescent="0.25">
      <c r="A108" t="s">
        <v>917</v>
      </c>
      <c r="B108" t="s">
        <v>57</v>
      </c>
      <c r="C108" t="s">
        <v>283</v>
      </c>
      <c r="D108">
        <v>9</v>
      </c>
      <c r="E108">
        <v>83</v>
      </c>
      <c r="F108">
        <v>23</v>
      </c>
      <c r="H108">
        <v>6</v>
      </c>
      <c r="L108">
        <v>1</v>
      </c>
      <c r="M108">
        <v>1</v>
      </c>
      <c r="N108">
        <v>5</v>
      </c>
      <c r="O108">
        <v>1</v>
      </c>
      <c r="P108">
        <v>6</v>
      </c>
      <c r="Q108">
        <v>5</v>
      </c>
      <c r="R108">
        <v>5</v>
      </c>
    </row>
    <row r="109" spans="1:18" x14ac:dyDescent="0.25">
      <c r="A109" t="s">
        <v>1010</v>
      </c>
      <c r="B109" t="s">
        <v>39</v>
      </c>
      <c r="C109" t="s">
        <v>295</v>
      </c>
      <c r="D109">
        <v>2</v>
      </c>
      <c r="E109">
        <v>28</v>
      </c>
      <c r="F109">
        <v>25</v>
      </c>
      <c r="H109">
        <v>5</v>
      </c>
      <c r="I109">
        <v>1</v>
      </c>
      <c r="L109">
        <v>3</v>
      </c>
      <c r="M109">
        <v>5</v>
      </c>
      <c r="N109">
        <v>2</v>
      </c>
      <c r="Q109">
        <v>1</v>
      </c>
    </row>
    <row r="110" spans="1:18" x14ac:dyDescent="0.25">
      <c r="A110" t="s">
        <v>1010</v>
      </c>
      <c r="B110" t="s">
        <v>54</v>
      </c>
      <c r="C110" t="s">
        <v>280</v>
      </c>
      <c r="D110">
        <v>17</v>
      </c>
      <c r="E110">
        <v>29</v>
      </c>
      <c r="F110">
        <v>13</v>
      </c>
      <c r="H110">
        <v>8</v>
      </c>
      <c r="I110">
        <v>9</v>
      </c>
      <c r="L110">
        <v>4</v>
      </c>
      <c r="M110">
        <v>5</v>
      </c>
      <c r="N110">
        <v>5</v>
      </c>
      <c r="O110">
        <v>4</v>
      </c>
      <c r="P110">
        <v>3</v>
      </c>
      <c r="Q110">
        <v>1</v>
      </c>
      <c r="R110">
        <v>3</v>
      </c>
    </row>
    <row r="111" spans="1:18" x14ac:dyDescent="0.25">
      <c r="A111" t="s">
        <v>1010</v>
      </c>
      <c r="B111" t="s">
        <v>60</v>
      </c>
      <c r="C111" t="s">
        <v>291</v>
      </c>
      <c r="D111">
        <v>7</v>
      </c>
      <c r="E111">
        <v>42</v>
      </c>
      <c r="F111">
        <v>19</v>
      </c>
      <c r="G111">
        <v>1</v>
      </c>
      <c r="H111">
        <v>15</v>
      </c>
      <c r="J111">
        <v>1</v>
      </c>
      <c r="K111">
        <v>1</v>
      </c>
      <c r="L111">
        <v>15</v>
      </c>
      <c r="M111">
        <v>22</v>
      </c>
      <c r="N111">
        <v>18</v>
      </c>
      <c r="O111">
        <v>12</v>
      </c>
      <c r="P111">
        <v>16</v>
      </c>
      <c r="Q111">
        <v>5</v>
      </c>
      <c r="R111">
        <v>3</v>
      </c>
    </row>
    <row r="112" spans="1:18" x14ac:dyDescent="0.25">
      <c r="A112" t="s">
        <v>1061</v>
      </c>
      <c r="B112" t="s">
        <v>49</v>
      </c>
      <c r="C112" t="s">
        <v>277</v>
      </c>
      <c r="D112">
        <v>5</v>
      </c>
      <c r="E112">
        <v>87</v>
      </c>
      <c r="F112">
        <v>10</v>
      </c>
      <c r="G112">
        <v>3</v>
      </c>
      <c r="H112">
        <v>38</v>
      </c>
      <c r="I112">
        <v>16</v>
      </c>
      <c r="J112">
        <v>7</v>
      </c>
      <c r="L112">
        <v>22</v>
      </c>
      <c r="M112">
        <v>1</v>
      </c>
      <c r="N112">
        <v>60</v>
      </c>
      <c r="O112">
        <v>10</v>
      </c>
      <c r="P112">
        <v>4</v>
      </c>
      <c r="Q112">
        <v>3</v>
      </c>
      <c r="R112">
        <v>5</v>
      </c>
    </row>
    <row r="113" spans="1:18" x14ac:dyDescent="0.25">
      <c r="A113" t="s">
        <v>191</v>
      </c>
      <c r="B113" t="s">
        <v>36</v>
      </c>
      <c r="C113" t="s">
        <v>267</v>
      </c>
      <c r="D113">
        <v>7</v>
      </c>
      <c r="E113">
        <v>38</v>
      </c>
      <c r="F113">
        <v>29</v>
      </c>
      <c r="G113">
        <v>3</v>
      </c>
      <c r="H113">
        <v>58</v>
      </c>
      <c r="I113">
        <v>1</v>
      </c>
      <c r="J113">
        <v>1</v>
      </c>
      <c r="K113">
        <v>2</v>
      </c>
      <c r="L113">
        <v>12</v>
      </c>
      <c r="M113">
        <v>1</v>
      </c>
      <c r="N113">
        <v>21</v>
      </c>
      <c r="O113">
        <v>17</v>
      </c>
      <c r="P113">
        <v>12</v>
      </c>
      <c r="Q113">
        <v>9</v>
      </c>
      <c r="R113">
        <v>2</v>
      </c>
    </row>
    <row r="114" spans="1:18" x14ac:dyDescent="0.25">
      <c r="A114" t="s">
        <v>191</v>
      </c>
      <c r="B114" t="s">
        <v>44</v>
      </c>
      <c r="C114" t="s">
        <v>273</v>
      </c>
      <c r="D114">
        <v>12</v>
      </c>
      <c r="E114">
        <v>83</v>
      </c>
      <c r="F114">
        <v>59</v>
      </c>
      <c r="G114">
        <v>10</v>
      </c>
      <c r="H114">
        <v>92</v>
      </c>
      <c r="I114">
        <v>5</v>
      </c>
      <c r="L114">
        <v>5</v>
      </c>
      <c r="N114">
        <v>3</v>
      </c>
      <c r="P114">
        <v>5</v>
      </c>
      <c r="R114">
        <v>2</v>
      </c>
    </row>
    <row r="115" spans="1:18" x14ac:dyDescent="0.25">
      <c r="A115" t="s">
        <v>191</v>
      </c>
      <c r="B115" t="s">
        <v>47</v>
      </c>
      <c r="C115" t="s">
        <v>276</v>
      </c>
      <c r="E115">
        <v>15</v>
      </c>
      <c r="F115">
        <v>14</v>
      </c>
      <c r="H115">
        <v>46</v>
      </c>
      <c r="I115">
        <v>8</v>
      </c>
      <c r="K115">
        <v>1</v>
      </c>
      <c r="L115">
        <v>4</v>
      </c>
      <c r="N115">
        <v>1</v>
      </c>
      <c r="O115">
        <v>6</v>
      </c>
      <c r="P115">
        <v>16</v>
      </c>
      <c r="Q115">
        <v>3</v>
      </c>
    </row>
    <row r="116" spans="1:18" x14ac:dyDescent="0.25">
      <c r="A116" t="s">
        <v>191</v>
      </c>
      <c r="B116" t="s">
        <v>57</v>
      </c>
      <c r="C116" t="s">
        <v>283</v>
      </c>
      <c r="D116">
        <v>10</v>
      </c>
      <c r="E116">
        <v>110</v>
      </c>
      <c r="F116">
        <v>69</v>
      </c>
      <c r="H116">
        <v>36</v>
      </c>
      <c r="I116">
        <v>3</v>
      </c>
      <c r="K116">
        <v>1</v>
      </c>
      <c r="L116">
        <v>12</v>
      </c>
      <c r="M116">
        <v>7</v>
      </c>
      <c r="N116">
        <v>15</v>
      </c>
      <c r="O116">
        <v>9</v>
      </c>
      <c r="P116">
        <v>5</v>
      </c>
      <c r="Q116">
        <v>7</v>
      </c>
      <c r="R116">
        <v>2</v>
      </c>
    </row>
    <row r="117" spans="1:18" x14ac:dyDescent="0.25">
      <c r="A117" t="s">
        <v>190</v>
      </c>
      <c r="B117" t="s">
        <v>243</v>
      </c>
      <c r="C117" t="s">
        <v>288</v>
      </c>
      <c r="D117">
        <v>35</v>
      </c>
      <c r="E117">
        <v>123</v>
      </c>
      <c r="F117">
        <v>178</v>
      </c>
      <c r="G117">
        <v>33</v>
      </c>
      <c r="H117">
        <v>141</v>
      </c>
      <c r="I117">
        <v>29</v>
      </c>
      <c r="J117">
        <v>4</v>
      </c>
      <c r="K117">
        <v>5</v>
      </c>
      <c r="L117">
        <v>80</v>
      </c>
      <c r="M117">
        <v>20</v>
      </c>
      <c r="N117">
        <v>74</v>
      </c>
      <c r="O117">
        <v>65</v>
      </c>
      <c r="P117">
        <v>7</v>
      </c>
      <c r="Q117">
        <v>52</v>
      </c>
      <c r="R117">
        <v>11</v>
      </c>
    </row>
    <row r="118" spans="1:18" x14ac:dyDescent="0.25">
      <c r="A118" t="s">
        <v>190</v>
      </c>
      <c r="B118" t="s">
        <v>38</v>
      </c>
      <c r="C118" t="s">
        <v>268</v>
      </c>
      <c r="D118">
        <v>8</v>
      </c>
      <c r="E118">
        <v>57</v>
      </c>
      <c r="F118">
        <v>3</v>
      </c>
      <c r="H118">
        <v>28</v>
      </c>
      <c r="I118">
        <v>2</v>
      </c>
      <c r="K118">
        <v>1</v>
      </c>
      <c r="L118">
        <v>6</v>
      </c>
      <c r="M118">
        <v>3</v>
      </c>
      <c r="N118">
        <v>16</v>
      </c>
      <c r="O118">
        <v>3</v>
      </c>
      <c r="P118">
        <v>3</v>
      </c>
      <c r="Q118">
        <v>12</v>
      </c>
      <c r="R118">
        <v>1</v>
      </c>
    </row>
    <row r="119" spans="1:18" x14ac:dyDescent="0.25">
      <c r="A119" t="s">
        <v>190</v>
      </c>
      <c r="B119" t="s">
        <v>946</v>
      </c>
      <c r="C119" t="s">
        <v>271</v>
      </c>
      <c r="D119">
        <v>1</v>
      </c>
      <c r="E119">
        <v>4</v>
      </c>
      <c r="G119">
        <v>2</v>
      </c>
      <c r="H119">
        <v>1</v>
      </c>
      <c r="N119">
        <v>1</v>
      </c>
    </row>
    <row r="120" spans="1:18" x14ac:dyDescent="0.25">
      <c r="A120" t="s">
        <v>190</v>
      </c>
      <c r="B120" t="s">
        <v>53</v>
      </c>
      <c r="C120" t="s">
        <v>289</v>
      </c>
      <c r="D120">
        <v>1</v>
      </c>
      <c r="E120">
        <v>45</v>
      </c>
      <c r="F120">
        <v>70</v>
      </c>
      <c r="H120">
        <v>27</v>
      </c>
      <c r="J120">
        <v>1</v>
      </c>
      <c r="L120">
        <v>10</v>
      </c>
      <c r="M120">
        <v>4</v>
      </c>
      <c r="N120">
        <v>32</v>
      </c>
      <c r="O120">
        <v>7</v>
      </c>
      <c r="P120">
        <v>23</v>
      </c>
      <c r="Q120">
        <v>7</v>
      </c>
      <c r="R120">
        <v>11</v>
      </c>
    </row>
    <row r="121" spans="1:18" x14ac:dyDescent="0.25">
      <c r="A121" t="s">
        <v>257</v>
      </c>
      <c r="B121" t="s">
        <v>40</v>
      </c>
      <c r="C121" t="s">
        <v>269</v>
      </c>
      <c r="D121">
        <v>8</v>
      </c>
      <c r="E121">
        <v>27</v>
      </c>
      <c r="F121">
        <v>12</v>
      </c>
      <c r="G121">
        <v>9</v>
      </c>
      <c r="H121">
        <v>13</v>
      </c>
      <c r="I121">
        <v>5</v>
      </c>
      <c r="K121">
        <v>1</v>
      </c>
      <c r="L121">
        <v>9</v>
      </c>
      <c r="M121">
        <v>20</v>
      </c>
      <c r="N121">
        <v>8</v>
      </c>
      <c r="O121">
        <v>11</v>
      </c>
      <c r="P121">
        <v>3</v>
      </c>
      <c r="Q121">
        <v>8</v>
      </c>
      <c r="R121">
        <v>5</v>
      </c>
    </row>
    <row r="122" spans="1:18" x14ac:dyDescent="0.25">
      <c r="A122" t="s">
        <v>257</v>
      </c>
      <c r="B122" t="s">
        <v>117</v>
      </c>
      <c r="C122" t="s">
        <v>296</v>
      </c>
      <c r="D122">
        <v>47</v>
      </c>
      <c r="E122">
        <v>148</v>
      </c>
      <c r="F122">
        <v>958</v>
      </c>
      <c r="G122">
        <v>19</v>
      </c>
      <c r="H122">
        <v>99</v>
      </c>
      <c r="I122">
        <v>6</v>
      </c>
      <c r="J122">
        <v>3</v>
      </c>
      <c r="K122">
        <v>7</v>
      </c>
      <c r="L122">
        <v>84</v>
      </c>
      <c r="M122">
        <v>45</v>
      </c>
      <c r="N122">
        <v>52</v>
      </c>
      <c r="O122">
        <v>24</v>
      </c>
      <c r="P122">
        <v>18</v>
      </c>
      <c r="Q122">
        <v>27</v>
      </c>
      <c r="R122">
        <v>25</v>
      </c>
    </row>
    <row r="123" spans="1:18" x14ac:dyDescent="0.25">
      <c r="A123" t="s">
        <v>257</v>
      </c>
      <c r="B123" t="s">
        <v>946</v>
      </c>
      <c r="C123" t="s">
        <v>271</v>
      </c>
      <c r="D123">
        <v>2</v>
      </c>
      <c r="E123">
        <v>7</v>
      </c>
      <c r="F123">
        <v>2</v>
      </c>
      <c r="G123">
        <v>1</v>
      </c>
      <c r="H123">
        <v>8</v>
      </c>
      <c r="I123">
        <v>1</v>
      </c>
    </row>
    <row r="124" spans="1:18" x14ac:dyDescent="0.25">
      <c r="A124" t="s">
        <v>240</v>
      </c>
      <c r="B124" t="s">
        <v>243</v>
      </c>
      <c r="C124" t="s">
        <v>288</v>
      </c>
      <c r="D124">
        <v>45</v>
      </c>
      <c r="E124">
        <v>134</v>
      </c>
      <c r="F124">
        <v>183</v>
      </c>
      <c r="G124">
        <v>17</v>
      </c>
      <c r="H124">
        <v>115</v>
      </c>
      <c r="I124">
        <v>58</v>
      </c>
      <c r="J124">
        <v>6</v>
      </c>
      <c r="K124">
        <v>3</v>
      </c>
      <c r="L124">
        <v>55</v>
      </c>
      <c r="M124">
        <v>18</v>
      </c>
      <c r="N124">
        <v>27</v>
      </c>
      <c r="O124">
        <v>47</v>
      </c>
      <c r="P124">
        <v>4</v>
      </c>
      <c r="Q124">
        <v>22</v>
      </c>
      <c r="R124">
        <v>10</v>
      </c>
    </row>
    <row r="125" spans="1:18" x14ac:dyDescent="0.25">
      <c r="A125" t="s">
        <v>240</v>
      </c>
      <c r="B125" t="s">
        <v>43</v>
      </c>
      <c r="C125" t="s">
        <v>388</v>
      </c>
      <c r="D125">
        <v>13</v>
      </c>
      <c r="E125">
        <v>138</v>
      </c>
      <c r="F125">
        <v>175</v>
      </c>
      <c r="G125">
        <v>2</v>
      </c>
      <c r="H125">
        <v>69</v>
      </c>
      <c r="I125">
        <v>7</v>
      </c>
      <c r="K125">
        <v>2</v>
      </c>
      <c r="L125">
        <v>8</v>
      </c>
      <c r="M125">
        <v>5</v>
      </c>
      <c r="N125">
        <v>11</v>
      </c>
      <c r="O125">
        <v>9</v>
      </c>
      <c r="P125">
        <v>10</v>
      </c>
      <c r="Q125">
        <v>10</v>
      </c>
      <c r="R125">
        <v>5</v>
      </c>
    </row>
    <row r="126" spans="1:18" x14ac:dyDescent="0.25">
      <c r="A126" t="s">
        <v>240</v>
      </c>
      <c r="B126" t="s">
        <v>54</v>
      </c>
      <c r="C126" t="s">
        <v>280</v>
      </c>
      <c r="D126">
        <v>17</v>
      </c>
      <c r="E126">
        <v>36</v>
      </c>
      <c r="F126">
        <v>17</v>
      </c>
      <c r="H126">
        <v>60</v>
      </c>
      <c r="I126">
        <v>13</v>
      </c>
      <c r="J126">
        <v>3</v>
      </c>
      <c r="K126">
        <v>2</v>
      </c>
      <c r="L126">
        <v>20</v>
      </c>
      <c r="M126">
        <v>15</v>
      </c>
      <c r="N126">
        <v>21</v>
      </c>
      <c r="O126">
        <v>5</v>
      </c>
      <c r="P126">
        <v>9</v>
      </c>
      <c r="Q126">
        <v>9</v>
      </c>
      <c r="R126">
        <v>4</v>
      </c>
    </row>
    <row r="127" spans="1:18" x14ac:dyDescent="0.25">
      <c r="A127" t="s">
        <v>240</v>
      </c>
      <c r="B127" t="s">
        <v>58</v>
      </c>
      <c r="C127" t="s">
        <v>284</v>
      </c>
      <c r="D127">
        <v>2</v>
      </c>
      <c r="E127">
        <v>45</v>
      </c>
      <c r="F127">
        <v>56</v>
      </c>
      <c r="G127">
        <v>5</v>
      </c>
      <c r="H127">
        <v>41</v>
      </c>
      <c r="I127">
        <v>31</v>
      </c>
      <c r="J127">
        <v>2</v>
      </c>
      <c r="K127">
        <v>2</v>
      </c>
      <c r="L127">
        <v>11</v>
      </c>
      <c r="M127">
        <v>15</v>
      </c>
      <c r="N127">
        <v>2</v>
      </c>
      <c r="O127">
        <v>7</v>
      </c>
      <c r="P127">
        <v>2</v>
      </c>
      <c r="Q127">
        <v>2</v>
      </c>
      <c r="R127">
        <v>1</v>
      </c>
    </row>
    <row r="128" spans="1:18" x14ac:dyDescent="0.25">
      <c r="A128" t="s">
        <v>239</v>
      </c>
      <c r="B128" t="s">
        <v>31</v>
      </c>
      <c r="C128" t="s">
        <v>285</v>
      </c>
      <c r="D128">
        <v>22</v>
      </c>
      <c r="E128">
        <v>113</v>
      </c>
      <c r="F128">
        <v>136</v>
      </c>
      <c r="G128">
        <v>2</v>
      </c>
      <c r="H128">
        <v>32</v>
      </c>
      <c r="I128">
        <v>1</v>
      </c>
      <c r="J128">
        <v>5</v>
      </c>
      <c r="K128">
        <v>2</v>
      </c>
      <c r="L128">
        <v>5</v>
      </c>
      <c r="M128">
        <v>9</v>
      </c>
      <c r="N128">
        <v>10</v>
      </c>
      <c r="O128">
        <v>6</v>
      </c>
      <c r="P128">
        <v>7</v>
      </c>
      <c r="Q128">
        <v>6</v>
      </c>
      <c r="R128">
        <v>8</v>
      </c>
    </row>
    <row r="129" spans="1:18" x14ac:dyDescent="0.25">
      <c r="A129" t="s">
        <v>239</v>
      </c>
      <c r="B129" t="s">
        <v>52</v>
      </c>
      <c r="C129" t="s">
        <v>279</v>
      </c>
      <c r="D129">
        <v>69</v>
      </c>
      <c r="E129">
        <v>86</v>
      </c>
      <c r="F129">
        <v>18</v>
      </c>
      <c r="G129">
        <v>7</v>
      </c>
      <c r="H129">
        <v>48</v>
      </c>
      <c r="I129">
        <v>30</v>
      </c>
      <c r="K129">
        <v>1</v>
      </c>
      <c r="L129">
        <v>5</v>
      </c>
      <c r="M129">
        <v>2</v>
      </c>
      <c r="N129">
        <v>8</v>
      </c>
      <c r="O129">
        <v>5</v>
      </c>
      <c r="P129">
        <v>7</v>
      </c>
      <c r="Q129">
        <v>3</v>
      </c>
      <c r="R129">
        <v>4</v>
      </c>
    </row>
    <row r="130" spans="1:18" x14ac:dyDescent="0.25">
      <c r="A130" t="s">
        <v>760</v>
      </c>
      <c r="B130" t="s">
        <v>47</v>
      </c>
      <c r="C130" t="s">
        <v>276</v>
      </c>
      <c r="D130">
        <v>4</v>
      </c>
      <c r="E130">
        <v>21</v>
      </c>
      <c r="F130">
        <v>6</v>
      </c>
      <c r="G130">
        <v>1</v>
      </c>
      <c r="H130">
        <v>20</v>
      </c>
      <c r="I130">
        <v>23</v>
      </c>
      <c r="J130">
        <v>1</v>
      </c>
      <c r="K130">
        <v>1</v>
      </c>
      <c r="M130">
        <v>7</v>
      </c>
      <c r="N130">
        <v>7</v>
      </c>
      <c r="O130">
        <v>4</v>
      </c>
      <c r="P130">
        <v>4</v>
      </c>
      <c r="Q130">
        <v>1</v>
      </c>
    </row>
    <row r="131" spans="1:18" x14ac:dyDescent="0.25">
      <c r="A131" t="s">
        <v>760</v>
      </c>
      <c r="B131" t="s">
        <v>49</v>
      </c>
      <c r="C131" t="s">
        <v>277</v>
      </c>
      <c r="D131">
        <v>3</v>
      </c>
      <c r="E131">
        <v>62</v>
      </c>
      <c r="F131">
        <v>8</v>
      </c>
      <c r="G131">
        <v>7</v>
      </c>
      <c r="H131">
        <v>8</v>
      </c>
      <c r="I131">
        <v>11</v>
      </c>
      <c r="J131">
        <v>5</v>
      </c>
      <c r="K131">
        <v>1</v>
      </c>
      <c r="L131">
        <v>8</v>
      </c>
      <c r="M131">
        <v>2</v>
      </c>
      <c r="N131">
        <v>14</v>
      </c>
      <c r="O131">
        <v>7</v>
      </c>
      <c r="P131">
        <v>4</v>
      </c>
      <c r="Q131">
        <v>3</v>
      </c>
      <c r="R131">
        <v>5</v>
      </c>
    </row>
    <row r="132" spans="1:18" x14ac:dyDescent="0.25">
      <c r="A132" t="s">
        <v>760</v>
      </c>
      <c r="B132" t="s">
        <v>60</v>
      </c>
      <c r="C132" t="s">
        <v>291</v>
      </c>
      <c r="D132">
        <v>5</v>
      </c>
      <c r="E132">
        <v>45</v>
      </c>
      <c r="F132">
        <v>26</v>
      </c>
      <c r="H132">
        <v>10</v>
      </c>
      <c r="I132">
        <v>2</v>
      </c>
      <c r="J132">
        <v>1</v>
      </c>
      <c r="K132">
        <v>1</v>
      </c>
      <c r="L132">
        <v>9</v>
      </c>
      <c r="M132">
        <v>11</v>
      </c>
      <c r="N132">
        <v>17</v>
      </c>
      <c r="O132">
        <v>22</v>
      </c>
      <c r="P132">
        <v>17</v>
      </c>
      <c r="Q132">
        <v>5</v>
      </c>
      <c r="R132">
        <v>3</v>
      </c>
    </row>
    <row r="133" spans="1:18" x14ac:dyDescent="0.25">
      <c r="A133" t="s">
        <v>917</v>
      </c>
      <c r="B133" t="s">
        <v>31</v>
      </c>
      <c r="C133" t="s">
        <v>285</v>
      </c>
      <c r="D133">
        <v>17</v>
      </c>
      <c r="E133">
        <v>72</v>
      </c>
      <c r="F133">
        <v>71</v>
      </c>
      <c r="H133">
        <v>2</v>
      </c>
      <c r="I133">
        <v>5</v>
      </c>
      <c r="J133">
        <v>1</v>
      </c>
      <c r="L133">
        <v>1</v>
      </c>
      <c r="M133">
        <v>1</v>
      </c>
      <c r="N133">
        <v>3</v>
      </c>
      <c r="P133">
        <v>2</v>
      </c>
      <c r="Q133">
        <v>3</v>
      </c>
      <c r="R133">
        <v>3</v>
      </c>
    </row>
    <row r="134" spans="1:18" x14ac:dyDescent="0.25">
      <c r="A134" t="s">
        <v>917</v>
      </c>
      <c r="B134" t="s">
        <v>33</v>
      </c>
      <c r="C134" t="s">
        <v>292</v>
      </c>
      <c r="D134">
        <v>7</v>
      </c>
      <c r="E134">
        <v>42</v>
      </c>
      <c r="F134">
        <v>3</v>
      </c>
      <c r="I134">
        <v>3</v>
      </c>
      <c r="N134">
        <v>3</v>
      </c>
      <c r="O134">
        <v>1</v>
      </c>
    </row>
    <row r="135" spans="1:18" x14ac:dyDescent="0.25">
      <c r="A135" t="s">
        <v>917</v>
      </c>
      <c r="B135" t="s">
        <v>36</v>
      </c>
      <c r="C135" t="s">
        <v>267</v>
      </c>
      <c r="D135">
        <v>8</v>
      </c>
      <c r="E135">
        <v>69</v>
      </c>
      <c r="F135">
        <v>34</v>
      </c>
      <c r="H135">
        <v>5</v>
      </c>
      <c r="I135">
        <v>2</v>
      </c>
      <c r="L135">
        <v>1</v>
      </c>
      <c r="M135">
        <v>1</v>
      </c>
      <c r="N135">
        <v>4</v>
      </c>
      <c r="O135">
        <v>2</v>
      </c>
      <c r="Q135">
        <v>1</v>
      </c>
    </row>
    <row r="136" spans="1:18" x14ac:dyDescent="0.25">
      <c r="A136" t="s">
        <v>917</v>
      </c>
      <c r="B136" t="s">
        <v>38</v>
      </c>
      <c r="C136" t="s">
        <v>268</v>
      </c>
      <c r="D136">
        <v>8</v>
      </c>
      <c r="E136">
        <v>50</v>
      </c>
      <c r="F136">
        <v>2</v>
      </c>
      <c r="H136">
        <v>1</v>
      </c>
      <c r="I136">
        <v>3</v>
      </c>
      <c r="L136">
        <v>3</v>
      </c>
      <c r="N136">
        <v>2</v>
      </c>
    </row>
    <row r="137" spans="1:18" x14ac:dyDescent="0.25">
      <c r="A137" t="s">
        <v>917</v>
      </c>
      <c r="B137" t="s">
        <v>53</v>
      </c>
      <c r="C137" t="s">
        <v>289</v>
      </c>
      <c r="D137">
        <v>2</v>
      </c>
      <c r="E137">
        <v>39</v>
      </c>
      <c r="F137">
        <v>9</v>
      </c>
      <c r="H137">
        <v>9</v>
      </c>
      <c r="I137">
        <v>3</v>
      </c>
      <c r="J137">
        <v>1</v>
      </c>
      <c r="L137">
        <v>3</v>
      </c>
      <c r="M137">
        <v>6</v>
      </c>
      <c r="N137">
        <v>2</v>
      </c>
      <c r="O137">
        <v>2</v>
      </c>
      <c r="P137">
        <v>2</v>
      </c>
      <c r="R137">
        <v>2</v>
      </c>
    </row>
    <row r="138" spans="1:18" x14ac:dyDescent="0.25">
      <c r="A138" t="s">
        <v>917</v>
      </c>
      <c r="B138" t="s">
        <v>56</v>
      </c>
      <c r="C138" t="s">
        <v>282</v>
      </c>
      <c r="D138">
        <v>6</v>
      </c>
      <c r="E138">
        <v>46</v>
      </c>
      <c r="F138">
        <v>17</v>
      </c>
      <c r="G138">
        <v>2</v>
      </c>
      <c r="H138">
        <v>15</v>
      </c>
      <c r="I138">
        <v>10</v>
      </c>
      <c r="L138">
        <v>3</v>
      </c>
      <c r="M138">
        <v>7</v>
      </c>
      <c r="N138">
        <v>10</v>
      </c>
      <c r="P138">
        <v>1</v>
      </c>
      <c r="R138">
        <v>5</v>
      </c>
    </row>
    <row r="139" spans="1:18" x14ac:dyDescent="0.25">
      <c r="A139" t="s">
        <v>1010</v>
      </c>
      <c r="B139" t="s">
        <v>117</v>
      </c>
      <c r="C139" t="s">
        <v>296</v>
      </c>
      <c r="D139">
        <v>8</v>
      </c>
      <c r="E139">
        <v>90</v>
      </c>
      <c r="F139">
        <v>757</v>
      </c>
      <c r="G139">
        <v>3</v>
      </c>
      <c r="H139">
        <v>65</v>
      </c>
      <c r="I139">
        <v>8</v>
      </c>
      <c r="J139">
        <v>2</v>
      </c>
      <c r="K139">
        <v>2</v>
      </c>
      <c r="L139">
        <v>10</v>
      </c>
      <c r="M139">
        <v>15</v>
      </c>
      <c r="N139">
        <v>27</v>
      </c>
      <c r="O139">
        <v>29</v>
      </c>
      <c r="P139">
        <v>2</v>
      </c>
      <c r="Q139">
        <v>7</v>
      </c>
      <c r="R139">
        <v>20</v>
      </c>
    </row>
    <row r="140" spans="1:18" x14ac:dyDescent="0.25">
      <c r="A140" t="s">
        <v>1010</v>
      </c>
      <c r="B140" t="s">
        <v>56</v>
      </c>
      <c r="C140" t="s">
        <v>282</v>
      </c>
      <c r="D140">
        <v>5</v>
      </c>
      <c r="E140">
        <v>53</v>
      </c>
      <c r="F140">
        <v>4</v>
      </c>
      <c r="G140">
        <v>1</v>
      </c>
      <c r="H140">
        <v>25</v>
      </c>
      <c r="I140">
        <v>8</v>
      </c>
      <c r="J140">
        <v>1</v>
      </c>
      <c r="K140">
        <v>2</v>
      </c>
      <c r="L140">
        <v>3</v>
      </c>
      <c r="M140">
        <v>17</v>
      </c>
      <c r="N140">
        <v>11</v>
      </c>
      <c r="O140">
        <v>6</v>
      </c>
      <c r="P140">
        <v>6</v>
      </c>
      <c r="Q140">
        <v>9</v>
      </c>
      <c r="R140">
        <v>3</v>
      </c>
    </row>
    <row r="141" spans="1:18" x14ac:dyDescent="0.25">
      <c r="A141" t="s">
        <v>1010</v>
      </c>
      <c r="B141" t="s">
        <v>57</v>
      </c>
      <c r="C141" t="s">
        <v>283</v>
      </c>
      <c r="D141">
        <v>11</v>
      </c>
      <c r="E141">
        <v>78</v>
      </c>
      <c r="F141">
        <v>10</v>
      </c>
      <c r="G141">
        <v>2</v>
      </c>
      <c r="H141">
        <v>13</v>
      </c>
      <c r="I141">
        <v>1</v>
      </c>
      <c r="L141">
        <v>4</v>
      </c>
      <c r="M141">
        <v>4</v>
      </c>
      <c r="N141">
        <v>15</v>
      </c>
      <c r="O141">
        <v>8</v>
      </c>
      <c r="P141">
        <v>13</v>
      </c>
      <c r="Q141">
        <v>5</v>
      </c>
      <c r="R141">
        <v>1</v>
      </c>
    </row>
    <row r="142" spans="1:18" x14ac:dyDescent="0.25">
      <c r="A142" t="s">
        <v>1061</v>
      </c>
      <c r="B142" t="s">
        <v>243</v>
      </c>
      <c r="C142" t="s">
        <v>288</v>
      </c>
      <c r="D142">
        <v>24</v>
      </c>
      <c r="E142">
        <v>92</v>
      </c>
      <c r="F142">
        <v>303</v>
      </c>
      <c r="G142">
        <v>10</v>
      </c>
      <c r="H142">
        <v>33</v>
      </c>
      <c r="I142">
        <v>22</v>
      </c>
      <c r="J142">
        <v>1</v>
      </c>
      <c r="K142">
        <v>1</v>
      </c>
      <c r="L142">
        <v>23</v>
      </c>
      <c r="M142">
        <v>15</v>
      </c>
      <c r="N142">
        <v>13</v>
      </c>
      <c r="O142">
        <v>11</v>
      </c>
      <c r="P142">
        <v>9</v>
      </c>
      <c r="Q142">
        <v>4</v>
      </c>
      <c r="R142">
        <v>3</v>
      </c>
    </row>
    <row r="143" spans="1:18" x14ac:dyDescent="0.25">
      <c r="A143" t="s">
        <v>1061</v>
      </c>
      <c r="B143" t="s">
        <v>37</v>
      </c>
      <c r="C143" t="s">
        <v>293</v>
      </c>
      <c r="D143">
        <v>17</v>
      </c>
      <c r="E143">
        <v>36</v>
      </c>
      <c r="F143">
        <v>150</v>
      </c>
      <c r="G143">
        <v>1</v>
      </c>
      <c r="H143">
        <v>18</v>
      </c>
      <c r="I143">
        <v>1</v>
      </c>
      <c r="L143">
        <v>5</v>
      </c>
      <c r="M143">
        <v>11</v>
      </c>
      <c r="N143">
        <v>7</v>
      </c>
      <c r="P143">
        <v>2</v>
      </c>
      <c r="Q143">
        <v>2</v>
      </c>
      <c r="R143">
        <v>1</v>
      </c>
    </row>
    <row r="144" spans="1:18" x14ac:dyDescent="0.25">
      <c r="A144" t="s">
        <v>1061</v>
      </c>
      <c r="B144" t="s">
        <v>117</v>
      </c>
      <c r="C144" t="s">
        <v>296</v>
      </c>
      <c r="D144">
        <v>33</v>
      </c>
      <c r="E144">
        <v>127</v>
      </c>
      <c r="F144">
        <v>704</v>
      </c>
      <c r="G144">
        <v>8</v>
      </c>
      <c r="H144">
        <v>75</v>
      </c>
      <c r="I144">
        <v>9</v>
      </c>
      <c r="J144">
        <v>11</v>
      </c>
      <c r="K144">
        <v>1</v>
      </c>
      <c r="L144">
        <v>25</v>
      </c>
      <c r="M144">
        <v>20</v>
      </c>
      <c r="N144">
        <v>38</v>
      </c>
      <c r="O144">
        <v>27</v>
      </c>
      <c r="P144">
        <v>12</v>
      </c>
      <c r="Q144">
        <v>8</v>
      </c>
      <c r="R144">
        <v>13</v>
      </c>
    </row>
    <row r="145" spans="1:18" x14ac:dyDescent="0.25">
      <c r="A145" t="s">
        <v>1061</v>
      </c>
      <c r="B145" t="s">
        <v>946</v>
      </c>
      <c r="C145" t="s">
        <v>271</v>
      </c>
      <c r="D145">
        <v>2</v>
      </c>
      <c r="E145">
        <v>15</v>
      </c>
      <c r="F145">
        <v>13</v>
      </c>
      <c r="H145">
        <v>4</v>
      </c>
    </row>
    <row r="146" spans="1:18" x14ac:dyDescent="0.25">
      <c r="A146" t="s">
        <v>1061</v>
      </c>
      <c r="B146" t="s">
        <v>60</v>
      </c>
      <c r="C146" t="s">
        <v>291</v>
      </c>
      <c r="D146">
        <v>8</v>
      </c>
      <c r="E146">
        <v>41</v>
      </c>
      <c r="F146">
        <v>21</v>
      </c>
      <c r="H146">
        <v>10</v>
      </c>
      <c r="I146">
        <v>2</v>
      </c>
      <c r="L146">
        <v>6</v>
      </c>
      <c r="M146">
        <v>10</v>
      </c>
      <c r="N146">
        <v>3</v>
      </c>
      <c r="P146">
        <v>4</v>
      </c>
      <c r="Q146">
        <v>2</v>
      </c>
      <c r="R146">
        <v>4</v>
      </c>
    </row>
    <row r="147" spans="1:18" x14ac:dyDescent="0.25">
      <c r="A147" t="s">
        <v>1108</v>
      </c>
      <c r="B147" t="s">
        <v>31</v>
      </c>
      <c r="C147" t="s">
        <v>285</v>
      </c>
      <c r="D147">
        <v>14</v>
      </c>
      <c r="E147">
        <v>73</v>
      </c>
      <c r="F147">
        <v>132</v>
      </c>
      <c r="G147">
        <v>1</v>
      </c>
      <c r="H147">
        <v>68</v>
      </c>
      <c r="I147">
        <v>22</v>
      </c>
      <c r="J147">
        <v>1</v>
      </c>
      <c r="L147">
        <v>5</v>
      </c>
      <c r="M147">
        <v>3</v>
      </c>
      <c r="N147">
        <v>2</v>
      </c>
      <c r="O147">
        <v>6</v>
      </c>
      <c r="P147">
        <v>1</v>
      </c>
      <c r="Q147">
        <v>10</v>
      </c>
      <c r="R147">
        <v>10</v>
      </c>
    </row>
    <row r="148" spans="1:18" x14ac:dyDescent="0.25">
      <c r="A148" t="s">
        <v>1108</v>
      </c>
      <c r="B148" t="s">
        <v>42</v>
      </c>
      <c r="C148" t="s">
        <v>272</v>
      </c>
      <c r="D148">
        <v>11</v>
      </c>
      <c r="E148">
        <v>37</v>
      </c>
      <c r="F148">
        <v>20</v>
      </c>
      <c r="G148">
        <v>1</v>
      </c>
      <c r="H148">
        <v>19</v>
      </c>
      <c r="J148">
        <v>1</v>
      </c>
      <c r="K148">
        <v>1</v>
      </c>
      <c r="L148">
        <v>2</v>
      </c>
      <c r="M148">
        <v>8</v>
      </c>
      <c r="N148">
        <v>5</v>
      </c>
      <c r="O148">
        <v>6</v>
      </c>
      <c r="P148">
        <v>8</v>
      </c>
      <c r="R148">
        <v>2</v>
      </c>
    </row>
    <row r="149" spans="1:18" x14ac:dyDescent="0.25">
      <c r="A149" t="s">
        <v>1108</v>
      </c>
      <c r="B149" t="s">
        <v>46</v>
      </c>
      <c r="C149" t="s">
        <v>275</v>
      </c>
      <c r="D149">
        <v>2</v>
      </c>
      <c r="E149">
        <v>12</v>
      </c>
      <c r="F149">
        <v>18</v>
      </c>
      <c r="H149">
        <v>8</v>
      </c>
      <c r="I149">
        <v>60</v>
      </c>
      <c r="L149">
        <v>5</v>
      </c>
      <c r="M149">
        <v>7</v>
      </c>
      <c r="N149">
        <v>4</v>
      </c>
      <c r="O149">
        <v>4</v>
      </c>
      <c r="P149">
        <v>5</v>
      </c>
      <c r="Q149">
        <v>1</v>
      </c>
      <c r="R149">
        <v>6</v>
      </c>
    </row>
    <row r="150" spans="1:18" x14ac:dyDescent="0.25">
      <c r="A150" t="s">
        <v>1108</v>
      </c>
      <c r="B150" t="s">
        <v>1127</v>
      </c>
      <c r="C150" t="s">
        <v>278</v>
      </c>
      <c r="D150">
        <v>1</v>
      </c>
      <c r="E150">
        <v>8</v>
      </c>
      <c r="F150">
        <v>1</v>
      </c>
      <c r="G150">
        <v>1</v>
      </c>
      <c r="H150">
        <v>8</v>
      </c>
      <c r="I150">
        <v>4</v>
      </c>
      <c r="N150">
        <v>1</v>
      </c>
    </row>
    <row r="151" spans="1:18" x14ac:dyDescent="0.25">
      <c r="A151" t="s">
        <v>191</v>
      </c>
      <c r="B151" t="s">
        <v>39</v>
      </c>
      <c r="C151" t="s">
        <v>295</v>
      </c>
      <c r="D151">
        <v>5</v>
      </c>
      <c r="E151">
        <v>18</v>
      </c>
      <c r="F151">
        <v>1</v>
      </c>
      <c r="H151">
        <v>5</v>
      </c>
      <c r="I151">
        <v>1</v>
      </c>
      <c r="K151">
        <v>1</v>
      </c>
      <c r="L151">
        <v>2</v>
      </c>
      <c r="M151">
        <v>2</v>
      </c>
      <c r="N151">
        <v>6</v>
      </c>
      <c r="O151">
        <v>2</v>
      </c>
      <c r="P151">
        <v>4</v>
      </c>
      <c r="Q151">
        <v>4</v>
      </c>
      <c r="R151">
        <v>3</v>
      </c>
    </row>
    <row r="152" spans="1:18" x14ac:dyDescent="0.25">
      <c r="A152" t="s">
        <v>191</v>
      </c>
      <c r="B152" t="s">
        <v>46</v>
      </c>
      <c r="C152" t="s">
        <v>275</v>
      </c>
      <c r="D152">
        <v>3</v>
      </c>
      <c r="E152">
        <v>18</v>
      </c>
      <c r="F152">
        <v>35</v>
      </c>
      <c r="G152">
        <v>5</v>
      </c>
      <c r="H152">
        <v>2</v>
      </c>
      <c r="I152">
        <v>2</v>
      </c>
      <c r="J152">
        <v>1</v>
      </c>
      <c r="L152">
        <v>4</v>
      </c>
      <c r="M152">
        <v>14</v>
      </c>
      <c r="N152">
        <v>38</v>
      </c>
      <c r="P152">
        <v>1</v>
      </c>
      <c r="Q152">
        <v>1</v>
      </c>
      <c r="R152">
        <v>2</v>
      </c>
    </row>
    <row r="153" spans="1:18" x14ac:dyDescent="0.25">
      <c r="A153" t="s">
        <v>191</v>
      </c>
      <c r="B153" t="s">
        <v>49</v>
      </c>
      <c r="C153" t="s">
        <v>277</v>
      </c>
      <c r="D153">
        <v>7</v>
      </c>
      <c r="E153">
        <v>58</v>
      </c>
      <c r="F153">
        <v>2</v>
      </c>
      <c r="G153">
        <v>1</v>
      </c>
      <c r="H153">
        <v>6</v>
      </c>
      <c r="I153">
        <v>1</v>
      </c>
      <c r="K153">
        <v>1</v>
      </c>
      <c r="L153">
        <v>1</v>
      </c>
      <c r="M153">
        <v>2</v>
      </c>
      <c r="N153">
        <v>11</v>
      </c>
      <c r="O153">
        <v>9</v>
      </c>
      <c r="P153">
        <v>1</v>
      </c>
      <c r="Q153">
        <v>6</v>
      </c>
      <c r="R153">
        <v>3</v>
      </c>
    </row>
    <row r="154" spans="1:18" x14ac:dyDescent="0.25">
      <c r="A154" t="s">
        <v>191</v>
      </c>
      <c r="B154" t="s">
        <v>53</v>
      </c>
      <c r="C154" t="s">
        <v>289</v>
      </c>
      <c r="D154">
        <v>1</v>
      </c>
      <c r="E154">
        <v>51</v>
      </c>
      <c r="F154">
        <v>16</v>
      </c>
      <c r="H154">
        <v>21</v>
      </c>
      <c r="L154">
        <v>31</v>
      </c>
      <c r="M154">
        <v>12</v>
      </c>
      <c r="N154">
        <v>37</v>
      </c>
      <c r="O154">
        <v>10</v>
      </c>
      <c r="P154">
        <v>10</v>
      </c>
      <c r="Q154">
        <v>17</v>
      </c>
      <c r="R154">
        <v>9</v>
      </c>
    </row>
    <row r="155" spans="1:18" x14ac:dyDescent="0.25">
      <c r="A155" t="s">
        <v>191</v>
      </c>
      <c r="B155" t="s">
        <v>54</v>
      </c>
      <c r="C155" t="s">
        <v>280</v>
      </c>
      <c r="D155">
        <v>17</v>
      </c>
      <c r="E155">
        <v>34</v>
      </c>
      <c r="F155">
        <v>22</v>
      </c>
      <c r="G155">
        <v>2</v>
      </c>
      <c r="H155">
        <v>85</v>
      </c>
      <c r="I155">
        <v>41</v>
      </c>
      <c r="K155">
        <v>2</v>
      </c>
      <c r="L155">
        <v>21</v>
      </c>
      <c r="M155">
        <v>8</v>
      </c>
      <c r="N155">
        <v>117</v>
      </c>
      <c r="O155">
        <v>11</v>
      </c>
      <c r="P155">
        <v>7</v>
      </c>
      <c r="Q155">
        <v>7</v>
      </c>
      <c r="R155">
        <v>7</v>
      </c>
    </row>
    <row r="156" spans="1:18" x14ac:dyDescent="0.25">
      <c r="A156" t="s">
        <v>190</v>
      </c>
      <c r="B156" t="s">
        <v>31</v>
      </c>
      <c r="C156" t="s">
        <v>285</v>
      </c>
      <c r="D156">
        <v>23</v>
      </c>
      <c r="E156">
        <v>41</v>
      </c>
      <c r="F156">
        <v>192</v>
      </c>
      <c r="G156">
        <v>2</v>
      </c>
      <c r="H156">
        <v>25</v>
      </c>
      <c r="I156">
        <v>2</v>
      </c>
      <c r="J156">
        <v>5</v>
      </c>
      <c r="L156">
        <v>10</v>
      </c>
      <c r="M156">
        <v>1</v>
      </c>
      <c r="N156">
        <v>1</v>
      </c>
      <c r="O156">
        <v>7</v>
      </c>
      <c r="Q156">
        <v>1</v>
      </c>
      <c r="R156">
        <v>5</v>
      </c>
    </row>
    <row r="157" spans="1:18" x14ac:dyDescent="0.25">
      <c r="A157" t="s">
        <v>190</v>
      </c>
      <c r="B157" t="s">
        <v>32</v>
      </c>
      <c r="C157" t="s">
        <v>286</v>
      </c>
      <c r="D157">
        <v>13</v>
      </c>
      <c r="E157">
        <v>109</v>
      </c>
      <c r="F157">
        <v>44</v>
      </c>
      <c r="G157">
        <v>2</v>
      </c>
      <c r="H157">
        <v>106</v>
      </c>
      <c r="I157">
        <v>38</v>
      </c>
      <c r="L157">
        <v>24</v>
      </c>
      <c r="M157">
        <v>3</v>
      </c>
      <c r="O157">
        <v>8</v>
      </c>
      <c r="P157">
        <v>15</v>
      </c>
      <c r="Q157">
        <v>5</v>
      </c>
      <c r="R157">
        <v>6</v>
      </c>
    </row>
    <row r="158" spans="1:18" x14ac:dyDescent="0.25">
      <c r="A158" t="s">
        <v>190</v>
      </c>
      <c r="B158" t="s">
        <v>40</v>
      </c>
      <c r="C158" t="s">
        <v>269</v>
      </c>
      <c r="D158">
        <v>8</v>
      </c>
      <c r="E158">
        <v>27</v>
      </c>
      <c r="F158">
        <v>13</v>
      </c>
      <c r="G158">
        <v>9</v>
      </c>
      <c r="H158">
        <v>32</v>
      </c>
      <c r="I158">
        <v>22</v>
      </c>
      <c r="J158">
        <v>1</v>
      </c>
      <c r="K158">
        <v>5</v>
      </c>
      <c r="L158">
        <v>8</v>
      </c>
      <c r="M158">
        <v>3</v>
      </c>
      <c r="N158">
        <v>9</v>
      </c>
      <c r="O158">
        <v>7</v>
      </c>
      <c r="P158">
        <v>3</v>
      </c>
      <c r="Q158">
        <v>4</v>
      </c>
      <c r="R158">
        <v>5</v>
      </c>
    </row>
    <row r="159" spans="1:18" x14ac:dyDescent="0.25">
      <c r="A159" t="s">
        <v>190</v>
      </c>
      <c r="B159" t="s">
        <v>41</v>
      </c>
      <c r="C159" t="s">
        <v>270</v>
      </c>
      <c r="D159">
        <v>1</v>
      </c>
      <c r="E159">
        <v>10</v>
      </c>
      <c r="H159">
        <v>5</v>
      </c>
      <c r="I159">
        <v>1</v>
      </c>
      <c r="J159">
        <v>1</v>
      </c>
      <c r="L159">
        <v>4</v>
      </c>
      <c r="M159">
        <v>4</v>
      </c>
      <c r="N159">
        <v>18</v>
      </c>
      <c r="O159">
        <v>1</v>
      </c>
      <c r="Q159">
        <v>9</v>
      </c>
      <c r="R159">
        <v>3</v>
      </c>
    </row>
    <row r="160" spans="1:18" x14ac:dyDescent="0.25">
      <c r="A160" t="s">
        <v>190</v>
      </c>
      <c r="B160" t="s">
        <v>44</v>
      </c>
      <c r="C160" t="s">
        <v>273</v>
      </c>
      <c r="D160">
        <v>17</v>
      </c>
      <c r="E160">
        <v>91</v>
      </c>
      <c r="F160">
        <v>76</v>
      </c>
      <c r="G160">
        <v>6</v>
      </c>
      <c r="H160">
        <v>115</v>
      </c>
      <c r="I160">
        <v>7</v>
      </c>
      <c r="J160">
        <v>2</v>
      </c>
      <c r="K160">
        <v>1</v>
      </c>
      <c r="L160">
        <v>8</v>
      </c>
      <c r="N160">
        <v>5</v>
      </c>
      <c r="O160">
        <v>2</v>
      </c>
      <c r="P160">
        <v>2</v>
      </c>
      <c r="Q160">
        <v>1</v>
      </c>
      <c r="R160">
        <v>3</v>
      </c>
    </row>
    <row r="161" spans="1:18" x14ac:dyDescent="0.25">
      <c r="A161" t="s">
        <v>190</v>
      </c>
      <c r="B161" t="s">
        <v>45</v>
      </c>
      <c r="C161" t="s">
        <v>274</v>
      </c>
      <c r="D161">
        <v>6</v>
      </c>
      <c r="E161">
        <v>21</v>
      </c>
      <c r="F161">
        <v>6</v>
      </c>
      <c r="I161">
        <v>2</v>
      </c>
      <c r="J161">
        <v>1</v>
      </c>
      <c r="L161">
        <v>1</v>
      </c>
      <c r="M161">
        <v>3</v>
      </c>
      <c r="N161">
        <v>8</v>
      </c>
      <c r="O161">
        <v>5</v>
      </c>
      <c r="P161">
        <v>2</v>
      </c>
      <c r="Q161">
        <v>4</v>
      </c>
      <c r="R161">
        <v>4</v>
      </c>
    </row>
    <row r="162" spans="1:18" x14ac:dyDescent="0.25">
      <c r="A162" t="s">
        <v>190</v>
      </c>
      <c r="B162" t="s">
        <v>50</v>
      </c>
      <c r="C162" t="s">
        <v>294</v>
      </c>
      <c r="D162">
        <v>12</v>
      </c>
      <c r="E162">
        <v>87</v>
      </c>
      <c r="F162">
        <v>30</v>
      </c>
      <c r="H162">
        <v>38</v>
      </c>
      <c r="I162">
        <v>5</v>
      </c>
      <c r="J162">
        <v>2</v>
      </c>
      <c r="K162">
        <v>6</v>
      </c>
      <c r="L162">
        <v>23</v>
      </c>
      <c r="M162">
        <v>15</v>
      </c>
      <c r="N162">
        <v>118</v>
      </c>
      <c r="O162">
        <v>18</v>
      </c>
      <c r="P162">
        <v>36</v>
      </c>
      <c r="Q162">
        <v>113</v>
      </c>
      <c r="R162">
        <v>51</v>
      </c>
    </row>
    <row r="163" spans="1:18" x14ac:dyDescent="0.25">
      <c r="A163" t="s">
        <v>190</v>
      </c>
      <c r="B163" t="s">
        <v>55</v>
      </c>
      <c r="C163" t="s">
        <v>281</v>
      </c>
      <c r="E163">
        <v>10</v>
      </c>
      <c r="F163">
        <v>6</v>
      </c>
      <c r="G163">
        <v>1</v>
      </c>
      <c r="H163">
        <v>4</v>
      </c>
      <c r="I163">
        <v>1</v>
      </c>
      <c r="L163">
        <v>1</v>
      </c>
      <c r="O163">
        <v>1</v>
      </c>
    </row>
    <row r="164" spans="1:18" x14ac:dyDescent="0.25">
      <c r="A164" t="s">
        <v>190</v>
      </c>
      <c r="B164" t="s">
        <v>60</v>
      </c>
      <c r="C164" t="s">
        <v>291</v>
      </c>
      <c r="D164">
        <v>7</v>
      </c>
      <c r="E164">
        <v>47</v>
      </c>
      <c r="F164">
        <v>4</v>
      </c>
      <c r="G164">
        <v>1</v>
      </c>
      <c r="H164">
        <v>33</v>
      </c>
      <c r="I164">
        <v>13</v>
      </c>
      <c r="K164">
        <v>2</v>
      </c>
      <c r="L164">
        <v>8</v>
      </c>
      <c r="M164">
        <v>6</v>
      </c>
      <c r="N164">
        <v>6</v>
      </c>
      <c r="O164">
        <v>7</v>
      </c>
      <c r="P164">
        <v>25</v>
      </c>
      <c r="Q164">
        <v>15</v>
      </c>
      <c r="R164">
        <v>2</v>
      </c>
    </row>
    <row r="165" spans="1:18" x14ac:dyDescent="0.25">
      <c r="A165" t="s">
        <v>257</v>
      </c>
      <c r="B165" t="s">
        <v>34</v>
      </c>
      <c r="C165" t="s">
        <v>287</v>
      </c>
      <c r="D165">
        <v>6</v>
      </c>
      <c r="E165">
        <v>29</v>
      </c>
      <c r="F165">
        <v>32</v>
      </c>
      <c r="G165">
        <v>15</v>
      </c>
      <c r="H165">
        <v>146</v>
      </c>
      <c r="I165">
        <v>41</v>
      </c>
      <c r="K165">
        <v>4</v>
      </c>
      <c r="L165">
        <v>11</v>
      </c>
      <c r="M165">
        <v>6</v>
      </c>
      <c r="N165">
        <v>15</v>
      </c>
      <c r="O165">
        <v>6</v>
      </c>
      <c r="P165">
        <v>8</v>
      </c>
      <c r="Q165">
        <v>9</v>
      </c>
      <c r="R165">
        <v>3</v>
      </c>
    </row>
    <row r="166" spans="1:18" x14ac:dyDescent="0.25">
      <c r="A166" t="s">
        <v>257</v>
      </c>
      <c r="B166" t="s">
        <v>37</v>
      </c>
      <c r="C166" t="s">
        <v>293</v>
      </c>
      <c r="D166">
        <v>3</v>
      </c>
      <c r="E166">
        <v>37</v>
      </c>
      <c r="F166">
        <v>570</v>
      </c>
      <c r="G166">
        <v>1</v>
      </c>
      <c r="H166">
        <v>28</v>
      </c>
      <c r="J166">
        <v>1</v>
      </c>
      <c r="L166">
        <v>5</v>
      </c>
      <c r="M166">
        <v>2</v>
      </c>
      <c r="N166">
        <v>2</v>
      </c>
      <c r="O166">
        <v>4</v>
      </c>
      <c r="P166">
        <v>3</v>
      </c>
    </row>
    <row r="167" spans="1:18" x14ac:dyDescent="0.25">
      <c r="A167" t="s">
        <v>257</v>
      </c>
      <c r="B167" t="s">
        <v>39</v>
      </c>
      <c r="C167" t="s">
        <v>295</v>
      </c>
      <c r="D167">
        <v>11</v>
      </c>
      <c r="E167">
        <v>28</v>
      </c>
      <c r="F167">
        <v>19</v>
      </c>
      <c r="H167">
        <v>6</v>
      </c>
      <c r="I167">
        <v>2</v>
      </c>
      <c r="L167">
        <v>1</v>
      </c>
      <c r="M167">
        <v>4</v>
      </c>
      <c r="N167">
        <v>1</v>
      </c>
      <c r="O167">
        <v>2</v>
      </c>
      <c r="P167">
        <v>1</v>
      </c>
      <c r="Q167">
        <v>1</v>
      </c>
      <c r="R167">
        <v>5</v>
      </c>
    </row>
    <row r="168" spans="1:18" x14ac:dyDescent="0.25">
      <c r="A168" t="s">
        <v>257</v>
      </c>
      <c r="B168" t="s">
        <v>47</v>
      </c>
      <c r="C168" t="s">
        <v>276</v>
      </c>
      <c r="D168">
        <v>8</v>
      </c>
      <c r="E168">
        <v>31</v>
      </c>
      <c r="F168">
        <v>4</v>
      </c>
      <c r="G168">
        <v>1</v>
      </c>
      <c r="H168">
        <v>28</v>
      </c>
      <c r="I168">
        <v>15</v>
      </c>
      <c r="K168">
        <v>1</v>
      </c>
      <c r="L168">
        <v>7</v>
      </c>
      <c r="M168">
        <v>20</v>
      </c>
      <c r="N168">
        <v>3</v>
      </c>
      <c r="O168">
        <v>3</v>
      </c>
      <c r="P168">
        <v>19</v>
      </c>
      <c r="Q168">
        <v>2</v>
      </c>
    </row>
    <row r="169" spans="1:18" x14ac:dyDescent="0.25">
      <c r="A169" t="s">
        <v>257</v>
      </c>
      <c r="B169" t="s">
        <v>55</v>
      </c>
      <c r="C169" t="s">
        <v>281</v>
      </c>
      <c r="D169">
        <v>1</v>
      </c>
      <c r="E169">
        <v>11</v>
      </c>
      <c r="G169">
        <v>1</v>
      </c>
      <c r="H169">
        <v>3</v>
      </c>
    </row>
    <row r="170" spans="1:18" x14ac:dyDescent="0.25">
      <c r="A170" t="s">
        <v>240</v>
      </c>
      <c r="B170" t="s">
        <v>47</v>
      </c>
      <c r="C170" t="s">
        <v>276</v>
      </c>
      <c r="D170">
        <v>10</v>
      </c>
      <c r="E170">
        <v>42</v>
      </c>
      <c r="F170">
        <v>15</v>
      </c>
      <c r="G170">
        <v>2</v>
      </c>
      <c r="H170">
        <v>45</v>
      </c>
      <c r="I170">
        <v>44</v>
      </c>
      <c r="J170">
        <v>2</v>
      </c>
      <c r="L170">
        <v>3</v>
      </c>
      <c r="M170">
        <v>21</v>
      </c>
      <c r="N170">
        <v>5</v>
      </c>
      <c r="O170">
        <v>3</v>
      </c>
      <c r="P170">
        <v>14</v>
      </c>
      <c r="Q170">
        <v>9</v>
      </c>
      <c r="R170">
        <v>1</v>
      </c>
    </row>
    <row r="171" spans="1:18" x14ac:dyDescent="0.25">
      <c r="A171" t="s">
        <v>240</v>
      </c>
      <c r="B171" t="s">
        <v>51</v>
      </c>
      <c r="C171" t="s">
        <v>278</v>
      </c>
      <c r="E171">
        <v>9</v>
      </c>
      <c r="H171">
        <v>3</v>
      </c>
      <c r="P171">
        <v>1</v>
      </c>
    </row>
    <row r="172" spans="1:18" x14ac:dyDescent="0.25">
      <c r="A172" t="s">
        <v>240</v>
      </c>
      <c r="B172" t="s">
        <v>59</v>
      </c>
      <c r="C172" t="s">
        <v>290</v>
      </c>
      <c r="D172">
        <v>4</v>
      </c>
      <c r="E172">
        <v>18</v>
      </c>
      <c r="F172">
        <v>21</v>
      </c>
      <c r="H172">
        <v>16</v>
      </c>
      <c r="I172">
        <v>2</v>
      </c>
      <c r="K172">
        <v>1</v>
      </c>
      <c r="L172">
        <v>6</v>
      </c>
      <c r="M172">
        <v>7</v>
      </c>
      <c r="N172">
        <v>10</v>
      </c>
      <c r="O172">
        <v>2</v>
      </c>
      <c r="P172">
        <v>10</v>
      </c>
      <c r="Q172">
        <v>11</v>
      </c>
      <c r="R172">
        <v>1</v>
      </c>
    </row>
    <row r="173" spans="1:18" x14ac:dyDescent="0.25">
      <c r="A173" t="s">
        <v>240</v>
      </c>
      <c r="B173" t="s">
        <v>60</v>
      </c>
      <c r="C173" t="s">
        <v>291</v>
      </c>
      <c r="D173">
        <v>5</v>
      </c>
      <c r="E173">
        <v>56</v>
      </c>
      <c r="F173">
        <v>3</v>
      </c>
      <c r="G173">
        <v>1</v>
      </c>
      <c r="H173">
        <v>8</v>
      </c>
      <c r="K173">
        <v>3</v>
      </c>
      <c r="L173">
        <v>14</v>
      </c>
      <c r="M173">
        <v>16</v>
      </c>
      <c r="N173">
        <v>21</v>
      </c>
      <c r="O173">
        <v>15</v>
      </c>
      <c r="P173">
        <v>14</v>
      </c>
      <c r="Q173">
        <v>5</v>
      </c>
      <c r="R173">
        <v>3</v>
      </c>
    </row>
    <row r="174" spans="1:18" x14ac:dyDescent="0.25">
      <c r="A174" t="s">
        <v>239</v>
      </c>
      <c r="B174" t="s">
        <v>33</v>
      </c>
      <c r="C174" t="s">
        <v>292</v>
      </c>
      <c r="D174">
        <v>6</v>
      </c>
      <c r="E174">
        <v>39</v>
      </c>
      <c r="F174">
        <v>6</v>
      </c>
      <c r="H174">
        <v>14</v>
      </c>
      <c r="I174">
        <v>6</v>
      </c>
      <c r="J174">
        <v>1</v>
      </c>
      <c r="K174">
        <v>5</v>
      </c>
      <c r="L174">
        <v>17</v>
      </c>
      <c r="M174">
        <v>4</v>
      </c>
      <c r="N174">
        <v>3</v>
      </c>
      <c r="O174">
        <v>13</v>
      </c>
      <c r="P174">
        <v>2</v>
      </c>
      <c r="Q174">
        <v>3</v>
      </c>
      <c r="R174">
        <v>7</v>
      </c>
    </row>
    <row r="175" spans="1:18" x14ac:dyDescent="0.25">
      <c r="A175" t="s">
        <v>239</v>
      </c>
      <c r="B175" t="s">
        <v>41</v>
      </c>
      <c r="C175" t="s">
        <v>270</v>
      </c>
      <c r="D175">
        <v>1</v>
      </c>
      <c r="E175">
        <v>15</v>
      </c>
      <c r="H175">
        <v>6</v>
      </c>
      <c r="I175">
        <v>1</v>
      </c>
      <c r="J175">
        <v>1</v>
      </c>
      <c r="K175">
        <v>1</v>
      </c>
      <c r="L175">
        <v>2</v>
      </c>
      <c r="M175">
        <v>2</v>
      </c>
      <c r="N175">
        <v>1</v>
      </c>
      <c r="O175">
        <v>3</v>
      </c>
      <c r="P175">
        <v>2</v>
      </c>
      <c r="R175">
        <v>1</v>
      </c>
    </row>
    <row r="176" spans="1:18" x14ac:dyDescent="0.25">
      <c r="A176" t="s">
        <v>239</v>
      </c>
      <c r="B176" t="s">
        <v>46</v>
      </c>
      <c r="C176" t="s">
        <v>275</v>
      </c>
      <c r="D176">
        <v>3</v>
      </c>
      <c r="E176">
        <v>19</v>
      </c>
      <c r="F176">
        <v>17</v>
      </c>
      <c r="G176">
        <v>2</v>
      </c>
      <c r="H176">
        <v>13</v>
      </c>
      <c r="I176">
        <v>2</v>
      </c>
      <c r="J176">
        <v>2</v>
      </c>
      <c r="K176">
        <v>2</v>
      </c>
      <c r="L176">
        <v>20</v>
      </c>
      <c r="M176">
        <v>12</v>
      </c>
      <c r="N176">
        <v>22</v>
      </c>
      <c r="O176">
        <v>3</v>
      </c>
      <c r="P176">
        <v>6</v>
      </c>
      <c r="Q176">
        <v>4</v>
      </c>
      <c r="R176">
        <v>11</v>
      </c>
    </row>
    <row r="177" spans="1:18" x14ac:dyDescent="0.25">
      <c r="A177" t="s">
        <v>239</v>
      </c>
      <c r="B177" t="s">
        <v>50</v>
      </c>
      <c r="C177" t="s">
        <v>294</v>
      </c>
      <c r="D177">
        <v>9</v>
      </c>
      <c r="E177">
        <v>58</v>
      </c>
      <c r="F177">
        <v>24</v>
      </c>
      <c r="H177">
        <v>29</v>
      </c>
      <c r="I177">
        <v>3</v>
      </c>
      <c r="K177">
        <v>1</v>
      </c>
      <c r="L177">
        <v>24</v>
      </c>
      <c r="M177">
        <v>17</v>
      </c>
      <c r="N177">
        <v>41</v>
      </c>
      <c r="O177">
        <v>28</v>
      </c>
      <c r="P177">
        <v>17</v>
      </c>
      <c r="Q177">
        <v>35</v>
      </c>
      <c r="R177">
        <v>21</v>
      </c>
    </row>
    <row r="178" spans="1:18" x14ac:dyDescent="0.25">
      <c r="A178" t="s">
        <v>917</v>
      </c>
      <c r="B178" t="s">
        <v>47</v>
      </c>
      <c r="C178" t="s">
        <v>276</v>
      </c>
      <c r="D178">
        <v>3</v>
      </c>
      <c r="E178">
        <v>6</v>
      </c>
      <c r="F178">
        <v>2</v>
      </c>
      <c r="H178">
        <v>5</v>
      </c>
      <c r="I178">
        <v>12</v>
      </c>
      <c r="M178">
        <v>4</v>
      </c>
      <c r="N178">
        <v>3</v>
      </c>
      <c r="P178">
        <v>6</v>
      </c>
      <c r="R178">
        <v>1</v>
      </c>
    </row>
    <row r="179" spans="1:18" x14ac:dyDescent="0.25">
      <c r="A179" t="s">
        <v>917</v>
      </c>
      <c r="B179" t="s">
        <v>60</v>
      </c>
      <c r="C179" t="s">
        <v>291</v>
      </c>
      <c r="D179">
        <v>9</v>
      </c>
      <c r="E179">
        <v>46</v>
      </c>
      <c r="F179">
        <v>5</v>
      </c>
      <c r="H179">
        <v>1</v>
      </c>
      <c r="L179">
        <v>1</v>
      </c>
      <c r="M179">
        <v>2</v>
      </c>
      <c r="N179">
        <v>5</v>
      </c>
      <c r="O179">
        <v>2</v>
      </c>
      <c r="P179">
        <v>12</v>
      </c>
      <c r="Q179">
        <v>2</v>
      </c>
      <c r="R179">
        <v>1</v>
      </c>
    </row>
    <row r="180" spans="1:18" x14ac:dyDescent="0.25">
      <c r="A180" t="s">
        <v>1010</v>
      </c>
      <c r="B180" t="s">
        <v>31</v>
      </c>
      <c r="C180" t="s">
        <v>285</v>
      </c>
      <c r="D180">
        <v>14</v>
      </c>
      <c r="E180">
        <v>61</v>
      </c>
      <c r="F180">
        <v>180</v>
      </c>
      <c r="H180">
        <v>39</v>
      </c>
      <c r="I180">
        <v>1</v>
      </c>
      <c r="L180">
        <v>3</v>
      </c>
      <c r="M180">
        <v>4</v>
      </c>
      <c r="N180">
        <v>1</v>
      </c>
      <c r="O180">
        <v>2</v>
      </c>
      <c r="P180">
        <v>7</v>
      </c>
      <c r="Q180">
        <v>1</v>
      </c>
      <c r="R180">
        <v>2</v>
      </c>
    </row>
    <row r="181" spans="1:18" x14ac:dyDescent="0.25">
      <c r="A181" t="s">
        <v>1010</v>
      </c>
      <c r="B181" t="s">
        <v>32</v>
      </c>
      <c r="C181" t="s">
        <v>286</v>
      </c>
      <c r="D181">
        <v>10</v>
      </c>
      <c r="E181">
        <v>106</v>
      </c>
      <c r="F181">
        <v>20</v>
      </c>
      <c r="G181">
        <v>1</v>
      </c>
      <c r="H181">
        <v>9</v>
      </c>
      <c r="I181">
        <v>12</v>
      </c>
      <c r="J181">
        <v>1</v>
      </c>
      <c r="K181">
        <v>1</v>
      </c>
      <c r="L181">
        <v>1</v>
      </c>
      <c r="M181">
        <v>2</v>
      </c>
      <c r="N181">
        <v>3</v>
      </c>
      <c r="O181">
        <v>6</v>
      </c>
      <c r="P181">
        <v>7</v>
      </c>
      <c r="Q181">
        <v>4</v>
      </c>
      <c r="R181">
        <v>3</v>
      </c>
    </row>
    <row r="182" spans="1:18" x14ac:dyDescent="0.25">
      <c r="A182" t="s">
        <v>1010</v>
      </c>
      <c r="B182" t="s">
        <v>33</v>
      </c>
      <c r="C182" t="s">
        <v>292</v>
      </c>
      <c r="D182">
        <v>6</v>
      </c>
      <c r="E182">
        <v>42</v>
      </c>
      <c r="F182">
        <v>5</v>
      </c>
      <c r="H182">
        <v>16</v>
      </c>
      <c r="I182">
        <v>4</v>
      </c>
      <c r="J182">
        <v>1</v>
      </c>
      <c r="K182">
        <v>1</v>
      </c>
      <c r="L182">
        <v>2</v>
      </c>
      <c r="M182">
        <v>19</v>
      </c>
      <c r="N182">
        <v>5</v>
      </c>
      <c r="O182">
        <v>7</v>
      </c>
      <c r="P182">
        <v>9</v>
      </c>
      <c r="Q182">
        <v>4</v>
      </c>
      <c r="R182">
        <v>3</v>
      </c>
    </row>
    <row r="183" spans="1:18" x14ac:dyDescent="0.25">
      <c r="A183" t="s">
        <v>1010</v>
      </c>
      <c r="B183" t="s">
        <v>47</v>
      </c>
      <c r="C183" t="s">
        <v>276</v>
      </c>
      <c r="D183">
        <v>4</v>
      </c>
      <c r="E183">
        <v>15</v>
      </c>
      <c r="F183">
        <v>4</v>
      </c>
      <c r="H183">
        <v>6</v>
      </c>
      <c r="I183">
        <v>15</v>
      </c>
      <c r="J183">
        <v>1</v>
      </c>
      <c r="K183">
        <v>1</v>
      </c>
      <c r="L183">
        <v>1</v>
      </c>
      <c r="M183">
        <v>2</v>
      </c>
      <c r="N183">
        <v>2</v>
      </c>
      <c r="O183">
        <v>3</v>
      </c>
      <c r="P183">
        <v>4</v>
      </c>
      <c r="Q183">
        <v>1</v>
      </c>
    </row>
    <row r="184" spans="1:18" x14ac:dyDescent="0.25">
      <c r="A184" t="s">
        <v>1010</v>
      </c>
      <c r="B184" t="s">
        <v>946</v>
      </c>
      <c r="C184" t="s">
        <v>271</v>
      </c>
      <c r="H184">
        <v>4</v>
      </c>
    </row>
    <row r="185" spans="1:18" x14ac:dyDescent="0.25">
      <c r="A185" t="s">
        <v>1061</v>
      </c>
      <c r="B185" t="s">
        <v>33</v>
      </c>
      <c r="C185" t="s">
        <v>292</v>
      </c>
      <c r="D185">
        <v>6</v>
      </c>
      <c r="E185">
        <v>40</v>
      </c>
      <c r="F185">
        <v>7</v>
      </c>
      <c r="H185">
        <v>5</v>
      </c>
      <c r="I185">
        <v>14</v>
      </c>
      <c r="K185">
        <v>1</v>
      </c>
      <c r="L185">
        <v>1</v>
      </c>
      <c r="M185">
        <v>17</v>
      </c>
      <c r="N185">
        <v>8</v>
      </c>
      <c r="O185">
        <v>2</v>
      </c>
      <c r="P185">
        <v>3</v>
      </c>
      <c r="Q185">
        <v>1</v>
      </c>
    </row>
    <row r="186" spans="1:18" x14ac:dyDescent="0.25">
      <c r="A186" t="s">
        <v>1061</v>
      </c>
      <c r="B186" t="s">
        <v>43</v>
      </c>
      <c r="C186" t="s">
        <v>388</v>
      </c>
      <c r="D186">
        <v>2</v>
      </c>
      <c r="E186">
        <v>77</v>
      </c>
      <c r="F186">
        <v>199</v>
      </c>
      <c r="G186">
        <v>1</v>
      </c>
      <c r="H186">
        <v>10</v>
      </c>
      <c r="I186">
        <v>9</v>
      </c>
      <c r="J186">
        <v>1</v>
      </c>
      <c r="L186">
        <v>2</v>
      </c>
      <c r="M186">
        <v>2</v>
      </c>
      <c r="O186">
        <v>6</v>
      </c>
      <c r="P186">
        <v>4</v>
      </c>
    </row>
    <row r="187" spans="1:18" x14ac:dyDescent="0.25">
      <c r="A187" t="s">
        <v>1108</v>
      </c>
      <c r="B187" t="s">
        <v>36</v>
      </c>
      <c r="C187" t="s">
        <v>267</v>
      </c>
      <c r="D187">
        <v>13</v>
      </c>
      <c r="E187">
        <v>52</v>
      </c>
      <c r="F187">
        <v>25</v>
      </c>
      <c r="H187">
        <v>33</v>
      </c>
      <c r="I187">
        <v>234</v>
      </c>
      <c r="K187">
        <v>2</v>
      </c>
      <c r="L187">
        <v>3</v>
      </c>
      <c r="M187">
        <v>3</v>
      </c>
      <c r="N187">
        <v>6</v>
      </c>
      <c r="O187">
        <v>4</v>
      </c>
      <c r="P187">
        <v>6</v>
      </c>
      <c r="Q187">
        <v>5</v>
      </c>
      <c r="R187">
        <v>3</v>
      </c>
    </row>
    <row r="188" spans="1:18" x14ac:dyDescent="0.25">
      <c r="A188" t="s">
        <v>1108</v>
      </c>
      <c r="B188" t="s">
        <v>37</v>
      </c>
      <c r="C188" t="s">
        <v>293</v>
      </c>
      <c r="D188">
        <v>16</v>
      </c>
      <c r="E188">
        <v>37</v>
      </c>
      <c r="F188">
        <v>197</v>
      </c>
      <c r="G188">
        <v>1</v>
      </c>
      <c r="H188">
        <v>18</v>
      </c>
      <c r="I188">
        <v>16</v>
      </c>
      <c r="J188">
        <v>1</v>
      </c>
      <c r="L188">
        <v>8</v>
      </c>
      <c r="M188">
        <v>19</v>
      </c>
      <c r="N188">
        <v>4</v>
      </c>
      <c r="O188">
        <v>4</v>
      </c>
      <c r="P188">
        <v>3</v>
      </c>
      <c r="R188">
        <v>4</v>
      </c>
    </row>
    <row r="189" spans="1:18" x14ac:dyDescent="0.25">
      <c r="A189" t="s">
        <v>760</v>
      </c>
      <c r="B189" t="s">
        <v>56</v>
      </c>
      <c r="C189" t="s">
        <v>282</v>
      </c>
      <c r="D189">
        <v>7</v>
      </c>
      <c r="E189">
        <v>44</v>
      </c>
      <c r="F189">
        <v>31</v>
      </c>
      <c r="G189">
        <v>2</v>
      </c>
      <c r="H189">
        <v>40</v>
      </c>
      <c r="I189">
        <v>20</v>
      </c>
      <c r="J189">
        <v>2</v>
      </c>
      <c r="L189">
        <v>7</v>
      </c>
      <c r="M189">
        <v>7</v>
      </c>
      <c r="N189">
        <v>10</v>
      </c>
      <c r="O189">
        <v>10</v>
      </c>
      <c r="P189">
        <v>25</v>
      </c>
      <c r="Q189">
        <v>13</v>
      </c>
      <c r="R189">
        <v>7</v>
      </c>
    </row>
    <row r="190" spans="1:18" x14ac:dyDescent="0.25">
      <c r="A190" t="s">
        <v>917</v>
      </c>
      <c r="B190" t="s">
        <v>243</v>
      </c>
      <c r="C190" t="s">
        <v>288</v>
      </c>
      <c r="D190">
        <v>22</v>
      </c>
      <c r="E190">
        <v>90</v>
      </c>
      <c r="F190">
        <v>175</v>
      </c>
      <c r="G190">
        <v>4</v>
      </c>
      <c r="H190">
        <v>10</v>
      </c>
      <c r="I190">
        <v>11</v>
      </c>
      <c r="K190">
        <v>2</v>
      </c>
      <c r="L190">
        <v>20</v>
      </c>
      <c r="M190">
        <v>5</v>
      </c>
      <c r="N190">
        <v>8</v>
      </c>
      <c r="O190">
        <v>9</v>
      </c>
      <c r="P190">
        <v>2</v>
      </c>
      <c r="Q190">
        <v>6</v>
      </c>
    </row>
    <row r="191" spans="1:18" x14ac:dyDescent="0.25">
      <c r="A191" t="s">
        <v>917</v>
      </c>
      <c r="B191" t="s">
        <v>41</v>
      </c>
      <c r="C191" t="s">
        <v>270</v>
      </c>
      <c r="E191">
        <v>14</v>
      </c>
      <c r="F191">
        <v>1</v>
      </c>
      <c r="H191">
        <v>1</v>
      </c>
      <c r="M191">
        <v>2</v>
      </c>
      <c r="N191">
        <v>2</v>
      </c>
      <c r="R191">
        <v>1</v>
      </c>
    </row>
    <row r="192" spans="1:18" x14ac:dyDescent="0.25">
      <c r="A192" t="s">
        <v>917</v>
      </c>
      <c r="B192" t="s">
        <v>46</v>
      </c>
      <c r="C192" t="s">
        <v>275</v>
      </c>
      <c r="D192">
        <v>3</v>
      </c>
      <c r="E192">
        <v>20</v>
      </c>
      <c r="F192">
        <v>4</v>
      </c>
      <c r="L192">
        <v>4</v>
      </c>
      <c r="N192">
        <v>1</v>
      </c>
      <c r="O192">
        <v>2</v>
      </c>
      <c r="P192">
        <v>1</v>
      </c>
      <c r="R192">
        <v>2</v>
      </c>
    </row>
    <row r="193" spans="1:18" x14ac:dyDescent="0.25">
      <c r="A193" t="s">
        <v>917</v>
      </c>
      <c r="B193" t="s">
        <v>50</v>
      </c>
      <c r="C193" t="s">
        <v>922</v>
      </c>
      <c r="D193">
        <v>3</v>
      </c>
      <c r="E193">
        <v>41</v>
      </c>
      <c r="F193">
        <v>3</v>
      </c>
      <c r="G193">
        <v>1</v>
      </c>
      <c r="H193">
        <v>14</v>
      </c>
      <c r="I193">
        <v>1</v>
      </c>
      <c r="L193">
        <v>1</v>
      </c>
      <c r="M193">
        <v>2</v>
      </c>
      <c r="N193">
        <v>8</v>
      </c>
      <c r="O193">
        <v>4</v>
      </c>
      <c r="P193">
        <v>10</v>
      </c>
      <c r="Q193">
        <v>26</v>
      </c>
      <c r="R193">
        <v>3</v>
      </c>
    </row>
    <row r="194" spans="1:18" x14ac:dyDescent="0.25">
      <c r="A194" t="s">
        <v>917</v>
      </c>
      <c r="B194" t="s">
        <v>52</v>
      </c>
      <c r="C194" t="s">
        <v>945</v>
      </c>
      <c r="D194">
        <v>36</v>
      </c>
      <c r="E194">
        <v>68</v>
      </c>
      <c r="F194">
        <v>7</v>
      </c>
      <c r="G194">
        <v>9</v>
      </c>
      <c r="H194">
        <v>2</v>
      </c>
      <c r="I194">
        <v>15</v>
      </c>
      <c r="L194">
        <v>2</v>
      </c>
      <c r="M194">
        <v>2</v>
      </c>
      <c r="N194">
        <v>7</v>
      </c>
      <c r="O194">
        <v>1</v>
      </c>
      <c r="Q194">
        <v>3</v>
      </c>
    </row>
    <row r="195" spans="1:18" x14ac:dyDescent="0.25">
      <c r="A195" t="s">
        <v>917</v>
      </c>
      <c r="B195" t="s">
        <v>58</v>
      </c>
      <c r="C195" t="s">
        <v>284</v>
      </c>
      <c r="D195">
        <v>1</v>
      </c>
      <c r="E195">
        <v>49</v>
      </c>
      <c r="F195">
        <v>13</v>
      </c>
      <c r="G195">
        <v>2</v>
      </c>
      <c r="H195">
        <v>2</v>
      </c>
      <c r="I195">
        <v>2</v>
      </c>
      <c r="L195">
        <v>2</v>
      </c>
      <c r="M195">
        <v>2</v>
      </c>
      <c r="N195">
        <v>4</v>
      </c>
      <c r="O195">
        <v>1</v>
      </c>
      <c r="P195">
        <v>1</v>
      </c>
      <c r="R195">
        <v>1</v>
      </c>
    </row>
    <row r="196" spans="1:18" x14ac:dyDescent="0.25">
      <c r="A196" t="s">
        <v>917</v>
      </c>
      <c r="B196" t="s">
        <v>59</v>
      </c>
      <c r="C196" t="s">
        <v>290</v>
      </c>
      <c r="D196">
        <v>1</v>
      </c>
      <c r="E196">
        <v>8</v>
      </c>
      <c r="F196">
        <v>5</v>
      </c>
      <c r="H196">
        <v>2</v>
      </c>
      <c r="K196">
        <v>1</v>
      </c>
      <c r="L196">
        <v>1</v>
      </c>
      <c r="M196">
        <v>7</v>
      </c>
      <c r="O196">
        <v>1</v>
      </c>
      <c r="Q196">
        <v>1</v>
      </c>
      <c r="R196">
        <v>1</v>
      </c>
    </row>
    <row r="197" spans="1:18" x14ac:dyDescent="0.25">
      <c r="A197" t="s">
        <v>1010</v>
      </c>
      <c r="B197" t="s">
        <v>37</v>
      </c>
      <c r="C197" t="s">
        <v>293</v>
      </c>
      <c r="D197">
        <v>11</v>
      </c>
      <c r="E197">
        <v>37</v>
      </c>
      <c r="F197">
        <v>189</v>
      </c>
      <c r="G197">
        <v>1</v>
      </c>
      <c r="H197">
        <v>8</v>
      </c>
      <c r="L197">
        <v>6</v>
      </c>
      <c r="M197">
        <v>3</v>
      </c>
      <c r="N197">
        <v>4</v>
      </c>
      <c r="O197">
        <v>3</v>
      </c>
      <c r="P197">
        <v>3</v>
      </c>
      <c r="Q197">
        <v>3</v>
      </c>
      <c r="R197">
        <v>3</v>
      </c>
    </row>
    <row r="198" spans="1:18" x14ac:dyDescent="0.25">
      <c r="A198" t="s">
        <v>1010</v>
      </c>
      <c r="B198" t="s">
        <v>41</v>
      </c>
      <c r="C198" t="s">
        <v>270</v>
      </c>
      <c r="E198">
        <v>10</v>
      </c>
      <c r="F198">
        <v>4</v>
      </c>
      <c r="H198">
        <v>8</v>
      </c>
      <c r="M198">
        <v>1</v>
      </c>
    </row>
    <row r="199" spans="1:18" x14ac:dyDescent="0.25">
      <c r="A199" t="s">
        <v>1010</v>
      </c>
      <c r="B199" t="s">
        <v>45</v>
      </c>
      <c r="C199" t="s">
        <v>274</v>
      </c>
      <c r="D199">
        <v>2</v>
      </c>
      <c r="E199">
        <v>28</v>
      </c>
      <c r="F199">
        <v>2</v>
      </c>
      <c r="H199">
        <v>3</v>
      </c>
      <c r="N199">
        <v>2</v>
      </c>
      <c r="O199">
        <v>2</v>
      </c>
      <c r="P199">
        <v>1</v>
      </c>
      <c r="R199">
        <v>3</v>
      </c>
    </row>
    <row r="200" spans="1:18" x14ac:dyDescent="0.25">
      <c r="A200" t="s">
        <v>1010</v>
      </c>
      <c r="B200" t="s">
        <v>51</v>
      </c>
      <c r="C200" t="s">
        <v>278</v>
      </c>
      <c r="E200">
        <v>8</v>
      </c>
      <c r="G200">
        <v>2</v>
      </c>
      <c r="H200">
        <v>5</v>
      </c>
    </row>
    <row r="201" spans="1:18" x14ac:dyDescent="0.25">
      <c r="A201" t="s">
        <v>1010</v>
      </c>
      <c r="B201" t="s">
        <v>58</v>
      </c>
      <c r="C201" t="s">
        <v>284</v>
      </c>
      <c r="D201">
        <v>1</v>
      </c>
      <c r="E201">
        <v>40</v>
      </c>
      <c r="F201">
        <v>86</v>
      </c>
      <c r="G201">
        <v>1</v>
      </c>
      <c r="H201">
        <v>10</v>
      </c>
      <c r="I201">
        <v>15</v>
      </c>
      <c r="K201">
        <v>1</v>
      </c>
      <c r="L201">
        <v>4</v>
      </c>
      <c r="M201">
        <v>1</v>
      </c>
      <c r="N201">
        <v>5</v>
      </c>
      <c r="O201">
        <v>2</v>
      </c>
      <c r="P201">
        <v>3</v>
      </c>
      <c r="Q201">
        <v>3</v>
      </c>
      <c r="R201">
        <v>3</v>
      </c>
    </row>
    <row r="202" spans="1:18" x14ac:dyDescent="0.25">
      <c r="A202" t="s">
        <v>1061</v>
      </c>
      <c r="B202" t="s">
        <v>38</v>
      </c>
      <c r="C202" t="s">
        <v>268</v>
      </c>
      <c r="D202">
        <v>7</v>
      </c>
      <c r="E202">
        <v>51</v>
      </c>
      <c r="F202">
        <v>14</v>
      </c>
      <c r="H202">
        <v>10</v>
      </c>
      <c r="I202">
        <v>24</v>
      </c>
      <c r="L202">
        <v>4</v>
      </c>
      <c r="M202">
        <v>3</v>
      </c>
      <c r="N202">
        <v>18</v>
      </c>
      <c r="O202">
        <v>4</v>
      </c>
      <c r="P202">
        <v>13</v>
      </c>
      <c r="R202">
        <v>2</v>
      </c>
    </row>
    <row r="203" spans="1:18" x14ac:dyDescent="0.25">
      <c r="A203" t="s">
        <v>1061</v>
      </c>
      <c r="B203" t="s">
        <v>39</v>
      </c>
      <c r="C203" t="s">
        <v>295</v>
      </c>
      <c r="D203">
        <v>5</v>
      </c>
      <c r="E203">
        <v>23</v>
      </c>
      <c r="F203">
        <v>12</v>
      </c>
      <c r="H203">
        <v>4</v>
      </c>
      <c r="L203">
        <v>1</v>
      </c>
      <c r="M203">
        <v>2</v>
      </c>
      <c r="N203">
        <v>4</v>
      </c>
      <c r="O203">
        <v>1</v>
      </c>
      <c r="P203">
        <v>1</v>
      </c>
    </row>
    <row r="204" spans="1:18" x14ac:dyDescent="0.25">
      <c r="A204" t="s">
        <v>1061</v>
      </c>
      <c r="B204" t="s">
        <v>51</v>
      </c>
      <c r="C204" t="s">
        <v>278</v>
      </c>
      <c r="D204">
        <v>1</v>
      </c>
      <c r="E204">
        <v>5</v>
      </c>
      <c r="F204">
        <v>2</v>
      </c>
      <c r="H204">
        <v>1</v>
      </c>
    </row>
    <row r="205" spans="1:18" x14ac:dyDescent="0.25">
      <c r="A205" t="s">
        <v>1061</v>
      </c>
      <c r="B205" t="s">
        <v>53</v>
      </c>
      <c r="C205" t="s">
        <v>289</v>
      </c>
      <c r="D205">
        <v>4</v>
      </c>
      <c r="E205">
        <v>65</v>
      </c>
      <c r="F205">
        <v>19</v>
      </c>
      <c r="H205">
        <v>28</v>
      </c>
      <c r="I205">
        <v>21</v>
      </c>
      <c r="L205">
        <v>4</v>
      </c>
      <c r="M205">
        <v>13</v>
      </c>
      <c r="N205">
        <v>13</v>
      </c>
      <c r="O205">
        <v>3</v>
      </c>
      <c r="P205">
        <v>8</v>
      </c>
      <c r="Q205">
        <v>12</v>
      </c>
    </row>
    <row r="206" spans="1:18" x14ac:dyDescent="0.25">
      <c r="A206" t="s">
        <v>1108</v>
      </c>
      <c r="B206" t="s">
        <v>40</v>
      </c>
      <c r="C206" t="s">
        <v>269</v>
      </c>
      <c r="D206">
        <v>1</v>
      </c>
      <c r="E206">
        <v>25</v>
      </c>
      <c r="F206">
        <v>9</v>
      </c>
      <c r="H206">
        <v>20</v>
      </c>
      <c r="I206">
        <v>10</v>
      </c>
      <c r="L206">
        <v>31</v>
      </c>
      <c r="M206">
        <v>8</v>
      </c>
      <c r="N206">
        <v>3</v>
      </c>
      <c r="O206">
        <v>1</v>
      </c>
      <c r="P206">
        <v>6</v>
      </c>
      <c r="Q206">
        <v>1</v>
      </c>
      <c r="R206">
        <v>2</v>
      </c>
    </row>
    <row r="207" spans="1:18" x14ac:dyDescent="0.25">
      <c r="A207" t="s">
        <v>1108</v>
      </c>
      <c r="B207" t="s">
        <v>44</v>
      </c>
      <c r="C207" t="s">
        <v>273</v>
      </c>
      <c r="D207">
        <v>19</v>
      </c>
      <c r="E207">
        <v>88</v>
      </c>
      <c r="F207">
        <v>37</v>
      </c>
      <c r="G207">
        <v>11</v>
      </c>
      <c r="H207">
        <v>167</v>
      </c>
      <c r="I207">
        <v>14</v>
      </c>
      <c r="L207">
        <v>3</v>
      </c>
      <c r="M207">
        <v>2</v>
      </c>
      <c r="N207">
        <v>5</v>
      </c>
      <c r="O207">
        <v>7</v>
      </c>
      <c r="P207">
        <v>4</v>
      </c>
      <c r="Q207">
        <v>2</v>
      </c>
      <c r="R207">
        <v>3</v>
      </c>
    </row>
    <row r="208" spans="1:18" x14ac:dyDescent="0.25">
      <c r="A208" t="s">
        <v>1061</v>
      </c>
      <c r="B208" t="s">
        <v>50</v>
      </c>
      <c r="C208" t="s">
        <v>294</v>
      </c>
      <c r="D208">
        <v>10</v>
      </c>
      <c r="E208">
        <v>48</v>
      </c>
      <c r="F208">
        <v>22</v>
      </c>
      <c r="G208">
        <v>1</v>
      </c>
      <c r="H208">
        <v>31</v>
      </c>
      <c r="I208">
        <v>4</v>
      </c>
      <c r="L208">
        <v>7</v>
      </c>
      <c r="M208">
        <v>9</v>
      </c>
      <c r="N208">
        <v>37</v>
      </c>
      <c r="O208">
        <v>6</v>
      </c>
      <c r="P208">
        <v>11</v>
      </c>
      <c r="Q208">
        <v>10</v>
      </c>
      <c r="R208">
        <v>1</v>
      </c>
    </row>
    <row r="209" spans="1:18" x14ac:dyDescent="0.25">
      <c r="A209" t="s">
        <v>1061</v>
      </c>
      <c r="B209" t="s">
        <v>56</v>
      </c>
      <c r="C209" t="s">
        <v>282</v>
      </c>
      <c r="D209">
        <v>6</v>
      </c>
      <c r="E209">
        <v>46</v>
      </c>
      <c r="F209">
        <v>27</v>
      </c>
      <c r="G209">
        <v>2</v>
      </c>
      <c r="H209">
        <v>45</v>
      </c>
      <c r="I209">
        <v>17</v>
      </c>
      <c r="L209">
        <v>13</v>
      </c>
      <c r="M209">
        <v>5</v>
      </c>
      <c r="N209">
        <v>43</v>
      </c>
      <c r="O209">
        <v>3</v>
      </c>
      <c r="P209">
        <v>17</v>
      </c>
      <c r="Q209">
        <v>12</v>
      </c>
      <c r="R209">
        <v>4</v>
      </c>
    </row>
    <row r="210" spans="1:18" x14ac:dyDescent="0.25">
      <c r="A210" t="s">
        <v>1061</v>
      </c>
      <c r="B210" t="s">
        <v>57</v>
      </c>
      <c r="C210" t="s">
        <v>283</v>
      </c>
      <c r="D210">
        <v>12</v>
      </c>
      <c r="E210">
        <v>113</v>
      </c>
      <c r="F210">
        <v>26</v>
      </c>
      <c r="H210">
        <v>36</v>
      </c>
      <c r="I210">
        <v>1</v>
      </c>
      <c r="J210">
        <v>1</v>
      </c>
      <c r="K210">
        <v>1</v>
      </c>
      <c r="L210">
        <v>7</v>
      </c>
      <c r="M210">
        <v>3</v>
      </c>
      <c r="N210">
        <v>9</v>
      </c>
      <c r="O210">
        <v>8</v>
      </c>
      <c r="P210">
        <v>5</v>
      </c>
      <c r="Q210">
        <v>9</v>
      </c>
      <c r="R210">
        <v>7</v>
      </c>
    </row>
    <row r="211" spans="1:18" x14ac:dyDescent="0.25">
      <c r="A211" t="s">
        <v>1061</v>
      </c>
      <c r="B211" t="s">
        <v>58</v>
      </c>
      <c r="C211" t="s">
        <v>284</v>
      </c>
      <c r="D211">
        <v>2</v>
      </c>
      <c r="E211">
        <v>37</v>
      </c>
      <c r="F211">
        <v>48</v>
      </c>
      <c r="G211">
        <v>2</v>
      </c>
      <c r="H211">
        <v>8</v>
      </c>
      <c r="I211">
        <v>1</v>
      </c>
      <c r="K211">
        <v>1</v>
      </c>
      <c r="L211">
        <v>4</v>
      </c>
      <c r="M211">
        <v>1</v>
      </c>
      <c r="N211">
        <v>2</v>
      </c>
      <c r="O211">
        <v>1</v>
      </c>
      <c r="P211">
        <v>2</v>
      </c>
      <c r="R211">
        <v>1</v>
      </c>
    </row>
    <row r="212" spans="1:18" x14ac:dyDescent="0.25">
      <c r="A212" t="s">
        <v>1108</v>
      </c>
      <c r="B212" t="s">
        <v>33</v>
      </c>
      <c r="C212" t="s">
        <v>292</v>
      </c>
      <c r="D212">
        <v>7</v>
      </c>
      <c r="E212">
        <v>38</v>
      </c>
      <c r="F212">
        <v>6</v>
      </c>
      <c r="H212">
        <v>9</v>
      </c>
      <c r="I212">
        <v>15</v>
      </c>
      <c r="K212">
        <v>2</v>
      </c>
      <c r="L212">
        <v>4</v>
      </c>
      <c r="M212">
        <v>7</v>
      </c>
      <c r="N212">
        <v>3</v>
      </c>
      <c r="O212">
        <v>2</v>
      </c>
      <c r="P212">
        <v>7</v>
      </c>
      <c r="R212">
        <v>3</v>
      </c>
    </row>
    <row r="213" spans="1:18" x14ac:dyDescent="0.25">
      <c r="A213" t="s">
        <v>1108</v>
      </c>
      <c r="B213" t="s">
        <v>34</v>
      </c>
      <c r="C213" t="s">
        <v>287</v>
      </c>
      <c r="D213">
        <v>6</v>
      </c>
      <c r="E213">
        <v>30</v>
      </c>
      <c r="F213">
        <v>18</v>
      </c>
      <c r="G213">
        <v>2</v>
      </c>
      <c r="H213">
        <v>78</v>
      </c>
      <c r="I213">
        <v>319</v>
      </c>
      <c r="K213">
        <v>2</v>
      </c>
      <c r="L213">
        <v>3</v>
      </c>
      <c r="M213">
        <v>1</v>
      </c>
      <c r="N213">
        <v>4</v>
      </c>
      <c r="O213">
        <v>10</v>
      </c>
      <c r="P213">
        <v>5</v>
      </c>
      <c r="Q213">
        <v>2</v>
      </c>
      <c r="R213">
        <v>1</v>
      </c>
    </row>
    <row r="214" spans="1:18" x14ac:dyDescent="0.25">
      <c r="A214" t="s">
        <v>1108</v>
      </c>
      <c r="B214" t="s">
        <v>117</v>
      </c>
      <c r="C214" t="s">
        <v>296</v>
      </c>
      <c r="D214">
        <v>13</v>
      </c>
      <c r="E214">
        <v>135</v>
      </c>
      <c r="F214">
        <v>528</v>
      </c>
      <c r="G214">
        <v>9</v>
      </c>
      <c r="H214">
        <v>104</v>
      </c>
      <c r="I214">
        <v>17</v>
      </c>
      <c r="J214">
        <v>2</v>
      </c>
      <c r="K214">
        <v>3</v>
      </c>
      <c r="L214">
        <v>24</v>
      </c>
      <c r="M214">
        <v>20</v>
      </c>
      <c r="N214">
        <v>27</v>
      </c>
      <c r="O214">
        <v>11</v>
      </c>
      <c r="P214">
        <v>2</v>
      </c>
      <c r="Q214">
        <v>8</v>
      </c>
      <c r="R214">
        <v>10</v>
      </c>
    </row>
    <row r="215" spans="1:18" x14ac:dyDescent="0.25">
      <c r="A215" t="s">
        <v>1108</v>
      </c>
      <c r="B215" t="s">
        <v>1128</v>
      </c>
      <c r="C215" t="s">
        <v>276</v>
      </c>
      <c r="D215">
        <v>3</v>
      </c>
      <c r="E215">
        <v>19</v>
      </c>
      <c r="F215">
        <v>9</v>
      </c>
      <c r="H215">
        <v>28</v>
      </c>
      <c r="I215">
        <v>51</v>
      </c>
      <c r="L215">
        <v>3</v>
      </c>
      <c r="M215">
        <v>2</v>
      </c>
      <c r="N215">
        <v>4</v>
      </c>
      <c r="O215">
        <v>3</v>
      </c>
      <c r="Q215">
        <v>1</v>
      </c>
    </row>
    <row r="216" spans="1:18" x14ac:dyDescent="0.25">
      <c r="A216" t="s">
        <v>1108</v>
      </c>
      <c r="B216" t="s">
        <v>946</v>
      </c>
      <c r="C216" t="s">
        <v>271</v>
      </c>
      <c r="D216">
        <v>3</v>
      </c>
      <c r="E216">
        <v>11</v>
      </c>
      <c r="F216">
        <v>1</v>
      </c>
      <c r="G216">
        <v>3</v>
      </c>
      <c r="H216">
        <v>14</v>
      </c>
      <c r="I216">
        <v>1</v>
      </c>
      <c r="P216">
        <v>1</v>
      </c>
    </row>
    <row r="217" spans="1:18" x14ac:dyDescent="0.25">
      <c r="A217" t="s">
        <v>1108</v>
      </c>
      <c r="B217" t="s">
        <v>50</v>
      </c>
      <c r="C217" t="s">
        <v>294</v>
      </c>
      <c r="D217">
        <v>12</v>
      </c>
      <c r="E217">
        <v>58</v>
      </c>
      <c r="F217">
        <v>16</v>
      </c>
      <c r="H217">
        <v>48</v>
      </c>
      <c r="I217">
        <v>5</v>
      </c>
      <c r="J217">
        <v>3</v>
      </c>
      <c r="K217">
        <v>1</v>
      </c>
      <c r="L217">
        <v>21</v>
      </c>
      <c r="M217">
        <v>2</v>
      </c>
      <c r="N217">
        <v>48</v>
      </c>
      <c r="O217">
        <v>11</v>
      </c>
      <c r="P217">
        <v>26</v>
      </c>
      <c r="Q217">
        <v>136</v>
      </c>
      <c r="R217">
        <v>38</v>
      </c>
    </row>
    <row r="218" spans="1:18" x14ac:dyDescent="0.25">
      <c r="A218" t="s">
        <v>1108</v>
      </c>
      <c r="B218" t="s">
        <v>1129</v>
      </c>
      <c r="L218">
        <v>1</v>
      </c>
      <c r="N218">
        <v>2</v>
      </c>
      <c r="P218">
        <v>2</v>
      </c>
      <c r="Q218">
        <v>5</v>
      </c>
    </row>
    <row r="219" spans="1:18" x14ac:dyDescent="0.25">
      <c r="A219" t="s">
        <v>1108</v>
      </c>
      <c r="B219" t="s">
        <v>54</v>
      </c>
      <c r="C219" t="s">
        <v>280</v>
      </c>
      <c r="D219">
        <v>16</v>
      </c>
      <c r="E219">
        <v>36</v>
      </c>
      <c r="F219">
        <v>3</v>
      </c>
      <c r="H219">
        <v>34</v>
      </c>
      <c r="I219">
        <v>52</v>
      </c>
      <c r="L219">
        <v>4</v>
      </c>
      <c r="M219">
        <v>3</v>
      </c>
      <c r="N219">
        <v>5</v>
      </c>
      <c r="O219">
        <v>3</v>
      </c>
      <c r="P219">
        <v>2</v>
      </c>
      <c r="R219">
        <v>2</v>
      </c>
    </row>
    <row r="220" spans="1:18" x14ac:dyDescent="0.25">
      <c r="A220" t="s">
        <v>1108</v>
      </c>
      <c r="B220" t="s">
        <v>55</v>
      </c>
      <c r="C220" t="s">
        <v>281</v>
      </c>
      <c r="D220">
        <v>1</v>
      </c>
      <c r="E220">
        <v>16</v>
      </c>
      <c r="F220">
        <v>4</v>
      </c>
      <c r="G220">
        <v>5</v>
      </c>
      <c r="H220">
        <v>15</v>
      </c>
      <c r="I220">
        <v>17</v>
      </c>
      <c r="M220">
        <v>8</v>
      </c>
      <c r="O220">
        <v>2</v>
      </c>
      <c r="Q220">
        <v>1</v>
      </c>
      <c r="R220">
        <v>1</v>
      </c>
    </row>
    <row r="221" spans="1:18" x14ac:dyDescent="0.25">
      <c r="A221" t="s">
        <v>191</v>
      </c>
      <c r="B221" t="s">
        <v>32</v>
      </c>
      <c r="C221" t="s">
        <v>286</v>
      </c>
      <c r="D221">
        <v>11</v>
      </c>
      <c r="E221">
        <v>79</v>
      </c>
      <c r="F221">
        <v>48</v>
      </c>
      <c r="H221">
        <v>59</v>
      </c>
      <c r="I221">
        <v>28</v>
      </c>
      <c r="L221">
        <v>14</v>
      </c>
      <c r="M221">
        <v>16</v>
      </c>
      <c r="N221">
        <v>1</v>
      </c>
      <c r="O221">
        <v>1</v>
      </c>
      <c r="P221">
        <v>2</v>
      </c>
      <c r="Q221">
        <v>6</v>
      </c>
      <c r="R221">
        <v>2</v>
      </c>
    </row>
    <row r="222" spans="1:18" x14ac:dyDescent="0.25">
      <c r="A222" t="s">
        <v>191</v>
      </c>
      <c r="B222" t="s">
        <v>33</v>
      </c>
      <c r="C222" t="s">
        <v>292</v>
      </c>
      <c r="D222">
        <v>13</v>
      </c>
      <c r="E222">
        <v>38</v>
      </c>
      <c r="F222">
        <v>6</v>
      </c>
      <c r="G222">
        <v>1</v>
      </c>
      <c r="H222">
        <v>27</v>
      </c>
      <c r="I222">
        <v>9</v>
      </c>
      <c r="K222">
        <v>2</v>
      </c>
      <c r="L222">
        <v>34</v>
      </c>
      <c r="M222">
        <v>4</v>
      </c>
      <c r="N222">
        <v>5</v>
      </c>
      <c r="O222">
        <v>20</v>
      </c>
      <c r="P222">
        <v>25</v>
      </c>
      <c r="Q222">
        <v>13</v>
      </c>
      <c r="R222">
        <v>9</v>
      </c>
    </row>
    <row r="223" spans="1:18" x14ac:dyDescent="0.25">
      <c r="A223" t="s">
        <v>191</v>
      </c>
      <c r="B223" t="s">
        <v>34</v>
      </c>
      <c r="C223" t="s">
        <v>287</v>
      </c>
      <c r="D223">
        <v>5</v>
      </c>
      <c r="E223">
        <v>27</v>
      </c>
      <c r="F223">
        <v>2</v>
      </c>
      <c r="G223">
        <v>5</v>
      </c>
      <c r="H223">
        <v>101</v>
      </c>
      <c r="I223">
        <v>24</v>
      </c>
      <c r="J223">
        <v>2</v>
      </c>
      <c r="K223">
        <v>2</v>
      </c>
      <c r="L223">
        <v>9</v>
      </c>
      <c r="M223">
        <v>36</v>
      </c>
      <c r="N223">
        <v>13</v>
      </c>
      <c r="O223">
        <v>2</v>
      </c>
      <c r="P223">
        <v>3</v>
      </c>
      <c r="Q223">
        <v>4</v>
      </c>
      <c r="R223">
        <v>18</v>
      </c>
    </row>
    <row r="224" spans="1:18" x14ac:dyDescent="0.25">
      <c r="A224" t="s">
        <v>191</v>
      </c>
      <c r="B224" t="s">
        <v>52</v>
      </c>
      <c r="C224" t="s">
        <v>279</v>
      </c>
      <c r="D224">
        <v>49</v>
      </c>
      <c r="E224">
        <v>85</v>
      </c>
      <c r="F224">
        <v>32</v>
      </c>
      <c r="G224">
        <v>1</v>
      </c>
      <c r="H224">
        <v>18</v>
      </c>
      <c r="I224">
        <v>30</v>
      </c>
      <c r="K224">
        <v>1</v>
      </c>
      <c r="L224">
        <v>4</v>
      </c>
      <c r="M224">
        <v>3</v>
      </c>
      <c r="N224">
        <v>5</v>
      </c>
      <c r="O224">
        <v>4</v>
      </c>
      <c r="P224">
        <v>3</v>
      </c>
      <c r="Q224">
        <v>11</v>
      </c>
      <c r="R224">
        <v>1</v>
      </c>
    </row>
    <row r="225" spans="1:18" x14ac:dyDescent="0.25">
      <c r="A225" t="s">
        <v>191</v>
      </c>
      <c r="B225" t="s">
        <v>55</v>
      </c>
      <c r="C225" t="s">
        <v>281</v>
      </c>
      <c r="D225">
        <v>1</v>
      </c>
      <c r="E225">
        <v>14</v>
      </c>
      <c r="F225">
        <v>6</v>
      </c>
      <c r="G225">
        <v>2</v>
      </c>
      <c r="H225">
        <v>8</v>
      </c>
      <c r="Q225">
        <v>1</v>
      </c>
    </row>
    <row r="226" spans="1:18" x14ac:dyDescent="0.25">
      <c r="A226" t="s">
        <v>191</v>
      </c>
      <c r="B226" t="s">
        <v>56</v>
      </c>
      <c r="C226" t="s">
        <v>282</v>
      </c>
      <c r="D226">
        <v>3</v>
      </c>
      <c r="E226">
        <v>46</v>
      </c>
      <c r="F226">
        <v>23</v>
      </c>
      <c r="G226">
        <v>5</v>
      </c>
      <c r="H226">
        <v>39</v>
      </c>
      <c r="I226">
        <v>14</v>
      </c>
      <c r="J226">
        <v>1</v>
      </c>
      <c r="K226">
        <v>1</v>
      </c>
      <c r="L226">
        <v>16</v>
      </c>
      <c r="M226">
        <v>10</v>
      </c>
      <c r="N226">
        <v>36</v>
      </c>
      <c r="O226">
        <v>8</v>
      </c>
      <c r="P226">
        <v>20</v>
      </c>
      <c r="Q226">
        <v>15</v>
      </c>
      <c r="R226">
        <v>10</v>
      </c>
    </row>
    <row r="227" spans="1:18" x14ac:dyDescent="0.25">
      <c r="A227" t="s">
        <v>191</v>
      </c>
      <c r="B227" t="s">
        <v>60</v>
      </c>
      <c r="C227" t="s">
        <v>291</v>
      </c>
      <c r="D227">
        <v>9</v>
      </c>
      <c r="E227">
        <v>45</v>
      </c>
      <c r="F227">
        <v>13</v>
      </c>
      <c r="G227">
        <v>4</v>
      </c>
      <c r="H227">
        <v>5</v>
      </c>
      <c r="I227">
        <v>1</v>
      </c>
      <c r="K227">
        <v>16</v>
      </c>
      <c r="L227">
        <v>34</v>
      </c>
      <c r="M227">
        <v>21</v>
      </c>
      <c r="N227">
        <v>30</v>
      </c>
      <c r="O227">
        <v>15</v>
      </c>
      <c r="P227">
        <v>29</v>
      </c>
      <c r="Q227">
        <v>13</v>
      </c>
      <c r="R227">
        <v>3</v>
      </c>
    </row>
    <row r="228" spans="1:18" x14ac:dyDescent="0.25">
      <c r="A228" t="s">
        <v>190</v>
      </c>
      <c r="B228" t="s">
        <v>33</v>
      </c>
      <c r="C228" t="s">
        <v>292</v>
      </c>
      <c r="D228">
        <v>8</v>
      </c>
      <c r="E228">
        <v>36</v>
      </c>
      <c r="F228">
        <v>4</v>
      </c>
      <c r="H228">
        <v>12</v>
      </c>
      <c r="I228">
        <v>27</v>
      </c>
      <c r="L228">
        <v>39</v>
      </c>
      <c r="M228">
        <v>7</v>
      </c>
      <c r="N228">
        <v>3</v>
      </c>
      <c r="O228">
        <v>19</v>
      </c>
      <c r="P228">
        <v>8</v>
      </c>
      <c r="Q228">
        <v>8</v>
      </c>
      <c r="R228">
        <v>3</v>
      </c>
    </row>
    <row r="229" spans="1:18" x14ac:dyDescent="0.25">
      <c r="A229" t="s">
        <v>190</v>
      </c>
      <c r="B229" t="s">
        <v>36</v>
      </c>
      <c r="C229" t="s">
        <v>267</v>
      </c>
      <c r="D229">
        <v>10</v>
      </c>
      <c r="E229">
        <v>91</v>
      </c>
      <c r="F229">
        <v>27</v>
      </c>
      <c r="G229">
        <v>3</v>
      </c>
      <c r="H229">
        <v>82</v>
      </c>
      <c r="I229">
        <v>7</v>
      </c>
      <c r="J229">
        <v>1</v>
      </c>
      <c r="K229">
        <v>1</v>
      </c>
      <c r="L229">
        <v>9</v>
      </c>
      <c r="M229">
        <v>11</v>
      </c>
      <c r="N229">
        <v>10</v>
      </c>
      <c r="O229">
        <v>15</v>
      </c>
      <c r="P229">
        <v>19</v>
      </c>
      <c r="Q229">
        <v>7</v>
      </c>
      <c r="R229">
        <v>3</v>
      </c>
    </row>
    <row r="230" spans="1:18" x14ac:dyDescent="0.25">
      <c r="A230" t="s">
        <v>190</v>
      </c>
      <c r="B230" t="s">
        <v>42</v>
      </c>
      <c r="C230" t="s">
        <v>272</v>
      </c>
      <c r="D230">
        <v>10</v>
      </c>
      <c r="E230">
        <v>45</v>
      </c>
      <c r="F230">
        <v>8</v>
      </c>
      <c r="G230">
        <v>1</v>
      </c>
      <c r="H230">
        <v>18</v>
      </c>
      <c r="I230">
        <v>5</v>
      </c>
      <c r="J230">
        <v>2</v>
      </c>
      <c r="K230">
        <v>4</v>
      </c>
      <c r="L230">
        <v>17</v>
      </c>
      <c r="M230">
        <v>6</v>
      </c>
      <c r="N230">
        <v>16</v>
      </c>
      <c r="O230">
        <v>7</v>
      </c>
      <c r="P230">
        <v>10</v>
      </c>
      <c r="Q230">
        <v>8</v>
      </c>
      <c r="R230">
        <v>3</v>
      </c>
    </row>
    <row r="231" spans="1:18" x14ac:dyDescent="0.25">
      <c r="A231" t="s">
        <v>190</v>
      </c>
      <c r="B231" t="s">
        <v>52</v>
      </c>
      <c r="C231" t="s">
        <v>279</v>
      </c>
      <c r="D231">
        <v>65</v>
      </c>
      <c r="E231">
        <v>88</v>
      </c>
      <c r="F231">
        <v>38</v>
      </c>
      <c r="H231">
        <v>11</v>
      </c>
      <c r="I231">
        <v>27</v>
      </c>
      <c r="L231">
        <v>13</v>
      </c>
      <c r="M231">
        <v>2</v>
      </c>
      <c r="N231">
        <v>1</v>
      </c>
      <c r="O231">
        <v>13</v>
      </c>
      <c r="P231">
        <v>6</v>
      </c>
      <c r="Q231">
        <v>3</v>
      </c>
      <c r="R231">
        <v>3</v>
      </c>
    </row>
    <row r="232" spans="1:18" x14ac:dyDescent="0.25">
      <c r="A232" t="s">
        <v>190</v>
      </c>
      <c r="B232" t="s">
        <v>57</v>
      </c>
      <c r="C232" t="s">
        <v>283</v>
      </c>
      <c r="D232">
        <v>15</v>
      </c>
      <c r="E232">
        <v>102</v>
      </c>
      <c r="F232">
        <v>59</v>
      </c>
      <c r="H232">
        <v>25</v>
      </c>
      <c r="I232">
        <v>3</v>
      </c>
      <c r="K232">
        <v>1</v>
      </c>
      <c r="L232">
        <v>6</v>
      </c>
      <c r="M232">
        <v>3</v>
      </c>
      <c r="N232">
        <v>5</v>
      </c>
      <c r="O232">
        <v>8</v>
      </c>
      <c r="P232">
        <v>4</v>
      </c>
      <c r="Q232">
        <v>16</v>
      </c>
      <c r="R232">
        <v>3</v>
      </c>
    </row>
    <row r="233" spans="1:18" x14ac:dyDescent="0.25">
      <c r="A233" t="s">
        <v>257</v>
      </c>
      <c r="B233" t="s">
        <v>243</v>
      </c>
      <c r="C233" t="s">
        <v>288</v>
      </c>
      <c r="D233">
        <v>27</v>
      </c>
      <c r="E233">
        <v>110</v>
      </c>
      <c r="F233">
        <v>211</v>
      </c>
      <c r="G233">
        <v>30</v>
      </c>
      <c r="H233">
        <v>110</v>
      </c>
      <c r="I233">
        <v>22</v>
      </c>
      <c r="J233">
        <v>2</v>
      </c>
      <c r="K233">
        <v>5</v>
      </c>
      <c r="L233">
        <v>109</v>
      </c>
      <c r="M233">
        <v>24</v>
      </c>
      <c r="N233">
        <v>79</v>
      </c>
      <c r="O233">
        <v>27</v>
      </c>
      <c r="P233">
        <v>1</v>
      </c>
      <c r="Q233">
        <v>22</v>
      </c>
      <c r="R233">
        <v>4</v>
      </c>
    </row>
    <row r="234" spans="1:18" x14ac:dyDescent="0.25">
      <c r="A234" t="s">
        <v>257</v>
      </c>
      <c r="B234" t="s">
        <v>43</v>
      </c>
      <c r="C234" t="s">
        <v>388</v>
      </c>
      <c r="D234">
        <v>24</v>
      </c>
      <c r="E234">
        <v>132</v>
      </c>
      <c r="F234">
        <v>202</v>
      </c>
      <c r="H234">
        <v>31</v>
      </c>
      <c r="I234">
        <v>5</v>
      </c>
      <c r="J234">
        <v>6</v>
      </c>
      <c r="K234">
        <v>2</v>
      </c>
      <c r="L234">
        <v>14</v>
      </c>
      <c r="M234">
        <v>7</v>
      </c>
      <c r="N234">
        <v>15</v>
      </c>
      <c r="O234">
        <v>17</v>
      </c>
      <c r="P234">
        <v>11</v>
      </c>
      <c r="Q234">
        <v>9</v>
      </c>
      <c r="R234">
        <v>7</v>
      </c>
    </row>
    <row r="235" spans="1:18" x14ac:dyDescent="0.25">
      <c r="A235" t="s">
        <v>257</v>
      </c>
      <c r="B235" t="s">
        <v>51</v>
      </c>
      <c r="C235" t="s">
        <v>278</v>
      </c>
      <c r="D235">
        <v>1</v>
      </c>
      <c r="E235">
        <v>9</v>
      </c>
      <c r="F235">
        <v>2</v>
      </c>
      <c r="G235">
        <v>6</v>
      </c>
      <c r="H235">
        <v>10</v>
      </c>
      <c r="I235">
        <v>1</v>
      </c>
    </row>
    <row r="236" spans="1:18" x14ac:dyDescent="0.25">
      <c r="A236" t="s">
        <v>257</v>
      </c>
      <c r="B236" t="s">
        <v>53</v>
      </c>
      <c r="C236" t="s">
        <v>289</v>
      </c>
      <c r="D236">
        <v>1</v>
      </c>
      <c r="E236">
        <v>56</v>
      </c>
      <c r="F236">
        <v>8</v>
      </c>
      <c r="H236">
        <v>22</v>
      </c>
      <c r="K236">
        <v>2</v>
      </c>
      <c r="L236">
        <v>16</v>
      </c>
      <c r="M236">
        <v>2</v>
      </c>
      <c r="N236">
        <v>25</v>
      </c>
      <c r="O236">
        <v>6</v>
      </c>
      <c r="P236">
        <v>13</v>
      </c>
      <c r="Q236">
        <v>9</v>
      </c>
      <c r="R236">
        <v>9</v>
      </c>
    </row>
    <row r="237" spans="1:18" x14ac:dyDescent="0.25">
      <c r="A237" t="s">
        <v>257</v>
      </c>
      <c r="B237" t="s">
        <v>58</v>
      </c>
      <c r="C237" t="s">
        <v>284</v>
      </c>
      <c r="D237">
        <v>16</v>
      </c>
      <c r="E237">
        <v>46</v>
      </c>
      <c r="F237">
        <v>33</v>
      </c>
      <c r="G237">
        <v>4</v>
      </c>
      <c r="H237">
        <v>22</v>
      </c>
      <c r="I237">
        <v>10</v>
      </c>
      <c r="L237">
        <v>5</v>
      </c>
      <c r="M237">
        <v>3</v>
      </c>
      <c r="N237">
        <v>6</v>
      </c>
      <c r="O237">
        <v>3</v>
      </c>
      <c r="P237">
        <v>3</v>
      </c>
      <c r="Q237">
        <v>4</v>
      </c>
      <c r="R237">
        <v>5</v>
      </c>
    </row>
    <row r="238" spans="1:18" x14ac:dyDescent="0.25">
      <c r="A238" t="s">
        <v>257</v>
      </c>
      <c r="B238" t="s">
        <v>59</v>
      </c>
      <c r="C238" t="s">
        <v>290</v>
      </c>
      <c r="D238">
        <v>4</v>
      </c>
      <c r="E238">
        <v>24</v>
      </c>
      <c r="F238">
        <v>13</v>
      </c>
      <c r="H238">
        <v>17</v>
      </c>
      <c r="I238">
        <v>6</v>
      </c>
      <c r="K238">
        <v>2</v>
      </c>
      <c r="L238">
        <v>3</v>
      </c>
      <c r="M238">
        <v>3</v>
      </c>
      <c r="N238">
        <v>8</v>
      </c>
      <c r="O238">
        <v>3</v>
      </c>
      <c r="P238">
        <v>31</v>
      </c>
      <c r="Q238">
        <v>5</v>
      </c>
      <c r="R238">
        <v>2</v>
      </c>
    </row>
    <row r="239" spans="1:18" x14ac:dyDescent="0.25">
      <c r="A239" t="s">
        <v>240</v>
      </c>
      <c r="B239" t="s">
        <v>117</v>
      </c>
      <c r="C239" t="s">
        <v>296</v>
      </c>
      <c r="D239">
        <v>41</v>
      </c>
      <c r="E239">
        <v>109</v>
      </c>
      <c r="F239">
        <v>831</v>
      </c>
      <c r="G239">
        <v>15</v>
      </c>
      <c r="H239">
        <v>81</v>
      </c>
      <c r="I239">
        <v>4</v>
      </c>
      <c r="J239">
        <v>6</v>
      </c>
      <c r="K239">
        <v>5</v>
      </c>
      <c r="L239">
        <v>25</v>
      </c>
      <c r="M239">
        <v>11</v>
      </c>
      <c r="N239">
        <v>28</v>
      </c>
      <c r="O239">
        <v>9</v>
      </c>
      <c r="P239">
        <v>5</v>
      </c>
      <c r="Q239">
        <v>14</v>
      </c>
      <c r="R239">
        <v>3</v>
      </c>
    </row>
    <row r="240" spans="1:18" x14ac:dyDescent="0.25">
      <c r="A240" t="s">
        <v>240</v>
      </c>
      <c r="B240" t="s">
        <v>57</v>
      </c>
      <c r="C240" t="s">
        <v>283</v>
      </c>
      <c r="D240">
        <v>24</v>
      </c>
      <c r="E240">
        <v>115</v>
      </c>
      <c r="F240">
        <v>74</v>
      </c>
      <c r="G240">
        <v>3</v>
      </c>
      <c r="H240">
        <v>37</v>
      </c>
      <c r="I240">
        <v>4</v>
      </c>
      <c r="J240">
        <v>2</v>
      </c>
      <c r="K240">
        <v>1</v>
      </c>
      <c r="L240">
        <v>14</v>
      </c>
      <c r="M240">
        <v>9</v>
      </c>
      <c r="N240">
        <v>14</v>
      </c>
      <c r="O240">
        <v>8</v>
      </c>
      <c r="P240">
        <v>16</v>
      </c>
      <c r="Q240">
        <v>7</v>
      </c>
      <c r="R240">
        <v>5</v>
      </c>
    </row>
    <row r="241" spans="1:18" x14ac:dyDescent="0.25">
      <c r="A241" t="s">
        <v>239</v>
      </c>
      <c r="B241" t="s">
        <v>117</v>
      </c>
      <c r="C241" t="s">
        <v>296</v>
      </c>
      <c r="D241">
        <v>68</v>
      </c>
      <c r="E241">
        <v>127</v>
      </c>
      <c r="F241">
        <v>602</v>
      </c>
      <c r="G241">
        <v>13</v>
      </c>
      <c r="H241">
        <v>102</v>
      </c>
      <c r="I241">
        <v>1</v>
      </c>
      <c r="J241">
        <v>7</v>
      </c>
      <c r="K241">
        <v>2</v>
      </c>
      <c r="L241">
        <v>51</v>
      </c>
      <c r="M241">
        <v>18</v>
      </c>
      <c r="N241">
        <v>57</v>
      </c>
      <c r="O241">
        <v>26</v>
      </c>
      <c r="P241">
        <v>10</v>
      </c>
      <c r="Q241">
        <v>24</v>
      </c>
      <c r="R241">
        <v>18</v>
      </c>
    </row>
    <row r="242" spans="1:18" x14ac:dyDescent="0.25">
      <c r="A242" t="s">
        <v>239</v>
      </c>
      <c r="B242" t="s">
        <v>946</v>
      </c>
      <c r="C242" t="s">
        <v>271</v>
      </c>
      <c r="D242">
        <v>2</v>
      </c>
      <c r="E242">
        <v>6</v>
      </c>
      <c r="H242">
        <v>8</v>
      </c>
      <c r="L242">
        <v>1</v>
      </c>
      <c r="M242">
        <v>1</v>
      </c>
      <c r="P242">
        <v>2</v>
      </c>
      <c r="Q242">
        <v>1</v>
      </c>
    </row>
    <row r="243" spans="1:18" x14ac:dyDescent="0.25">
      <c r="A243" t="s">
        <v>239</v>
      </c>
      <c r="B243" t="s">
        <v>54</v>
      </c>
      <c r="C243" t="s">
        <v>280</v>
      </c>
      <c r="D243">
        <v>15</v>
      </c>
      <c r="E243">
        <v>36</v>
      </c>
      <c r="F243">
        <v>31</v>
      </c>
      <c r="G243">
        <v>1</v>
      </c>
      <c r="H243">
        <v>44</v>
      </c>
      <c r="I243">
        <v>23</v>
      </c>
      <c r="L243">
        <v>11</v>
      </c>
      <c r="M243">
        <v>15</v>
      </c>
      <c r="N243">
        <v>11</v>
      </c>
      <c r="O243">
        <v>16</v>
      </c>
      <c r="P243">
        <v>9</v>
      </c>
      <c r="Q243">
        <v>3</v>
      </c>
      <c r="R243">
        <v>4</v>
      </c>
    </row>
    <row r="244" spans="1:18" x14ac:dyDescent="0.25">
      <c r="A244" t="s">
        <v>239</v>
      </c>
      <c r="B244" t="s">
        <v>56</v>
      </c>
      <c r="C244" t="s">
        <v>282</v>
      </c>
      <c r="D244">
        <v>8</v>
      </c>
      <c r="E244">
        <v>56</v>
      </c>
      <c r="F244">
        <v>28</v>
      </c>
      <c r="G244">
        <v>3</v>
      </c>
      <c r="H244">
        <v>38</v>
      </c>
      <c r="I244">
        <v>7</v>
      </c>
      <c r="K244">
        <v>2</v>
      </c>
      <c r="L244">
        <v>11</v>
      </c>
      <c r="M244">
        <v>19</v>
      </c>
      <c r="N244">
        <v>13</v>
      </c>
      <c r="O244">
        <v>6</v>
      </c>
      <c r="P244">
        <v>17</v>
      </c>
      <c r="Q244">
        <v>11</v>
      </c>
      <c r="R244">
        <v>10</v>
      </c>
    </row>
    <row r="245" spans="1:18" x14ac:dyDescent="0.25">
      <c r="A245" t="s">
        <v>239</v>
      </c>
      <c r="B245" t="s">
        <v>60</v>
      </c>
      <c r="C245" t="s">
        <v>291</v>
      </c>
      <c r="D245">
        <v>11</v>
      </c>
      <c r="E245">
        <v>60</v>
      </c>
      <c r="F245">
        <v>9</v>
      </c>
      <c r="H245">
        <v>15</v>
      </c>
      <c r="I245">
        <v>1</v>
      </c>
      <c r="K245">
        <v>8</v>
      </c>
      <c r="L245">
        <v>8</v>
      </c>
      <c r="M245">
        <v>28</v>
      </c>
      <c r="N245">
        <v>19</v>
      </c>
      <c r="O245">
        <v>17</v>
      </c>
      <c r="P245">
        <v>21</v>
      </c>
      <c r="Q245">
        <v>11</v>
      </c>
      <c r="R245">
        <v>5</v>
      </c>
    </row>
    <row r="246" spans="1:18" x14ac:dyDescent="0.25">
      <c r="A246" t="s">
        <v>760</v>
      </c>
      <c r="B246" t="s">
        <v>34</v>
      </c>
      <c r="C246" t="s">
        <v>287</v>
      </c>
      <c r="D246">
        <v>7</v>
      </c>
      <c r="E246">
        <v>28</v>
      </c>
      <c r="F246">
        <v>38</v>
      </c>
      <c r="G246">
        <v>8</v>
      </c>
      <c r="H246">
        <v>107</v>
      </c>
      <c r="I246">
        <v>49</v>
      </c>
      <c r="J246">
        <v>2</v>
      </c>
      <c r="K246">
        <v>3</v>
      </c>
      <c r="L246">
        <v>5</v>
      </c>
      <c r="M246">
        <v>7</v>
      </c>
      <c r="N246">
        <v>8</v>
      </c>
      <c r="O246">
        <v>5</v>
      </c>
      <c r="P246">
        <v>7</v>
      </c>
      <c r="Q246">
        <v>6</v>
      </c>
      <c r="R246">
        <v>2</v>
      </c>
    </row>
    <row r="247" spans="1:18" x14ac:dyDescent="0.25">
      <c r="A247" t="s">
        <v>760</v>
      </c>
      <c r="B247" t="s">
        <v>117</v>
      </c>
      <c r="C247" t="s">
        <v>296</v>
      </c>
      <c r="D247">
        <v>25</v>
      </c>
      <c r="E247">
        <v>86</v>
      </c>
      <c r="F247">
        <v>646</v>
      </c>
      <c r="G247">
        <v>6</v>
      </c>
      <c r="H247">
        <v>74</v>
      </c>
      <c r="I247">
        <v>5</v>
      </c>
      <c r="J247">
        <v>4</v>
      </c>
      <c r="K247">
        <v>3</v>
      </c>
      <c r="L247">
        <v>42</v>
      </c>
      <c r="M247">
        <v>17</v>
      </c>
      <c r="N247">
        <v>58</v>
      </c>
      <c r="O247">
        <v>23</v>
      </c>
      <c r="P247">
        <v>10</v>
      </c>
      <c r="Q247">
        <v>27</v>
      </c>
      <c r="R247">
        <v>13</v>
      </c>
    </row>
    <row r="248" spans="1:18" x14ac:dyDescent="0.25">
      <c r="A248" t="s">
        <v>1010</v>
      </c>
      <c r="B248" t="s">
        <v>44</v>
      </c>
      <c r="C248" t="s">
        <v>273</v>
      </c>
      <c r="D248">
        <v>19</v>
      </c>
      <c r="E248">
        <v>83</v>
      </c>
      <c r="F248">
        <v>27</v>
      </c>
      <c r="G248">
        <v>4</v>
      </c>
      <c r="H248">
        <v>55</v>
      </c>
      <c r="I248">
        <v>5</v>
      </c>
      <c r="K248">
        <v>1</v>
      </c>
      <c r="L248">
        <v>3</v>
      </c>
      <c r="M248">
        <v>3</v>
      </c>
      <c r="N248">
        <v>2</v>
      </c>
      <c r="O248">
        <v>3</v>
      </c>
      <c r="P248">
        <v>2</v>
      </c>
    </row>
    <row r="249" spans="1:18" x14ac:dyDescent="0.25">
      <c r="A249" t="s">
        <v>1010</v>
      </c>
      <c r="B249" t="s">
        <v>1011</v>
      </c>
      <c r="C249" t="s">
        <v>277</v>
      </c>
      <c r="D249">
        <v>3</v>
      </c>
      <c r="E249">
        <v>64</v>
      </c>
      <c r="F249">
        <v>6</v>
      </c>
      <c r="H249">
        <v>19</v>
      </c>
      <c r="I249">
        <v>14</v>
      </c>
      <c r="J249">
        <v>1</v>
      </c>
      <c r="L249">
        <v>1</v>
      </c>
      <c r="M249">
        <v>2</v>
      </c>
      <c r="N249">
        <v>14</v>
      </c>
      <c r="O249">
        <v>7</v>
      </c>
      <c r="P249">
        <v>10</v>
      </c>
      <c r="Q249">
        <v>7</v>
      </c>
      <c r="R249">
        <v>5</v>
      </c>
    </row>
    <row r="250" spans="1:18" x14ac:dyDescent="0.25">
      <c r="A250" t="s">
        <v>1010</v>
      </c>
      <c r="B250" t="s">
        <v>50</v>
      </c>
      <c r="C250" t="s">
        <v>294</v>
      </c>
      <c r="D250">
        <v>5</v>
      </c>
      <c r="E250">
        <v>57</v>
      </c>
      <c r="F250">
        <v>18</v>
      </c>
      <c r="G250">
        <v>1</v>
      </c>
      <c r="H250">
        <v>27</v>
      </c>
      <c r="K250">
        <v>1</v>
      </c>
      <c r="L250">
        <v>4</v>
      </c>
      <c r="M250">
        <v>4</v>
      </c>
      <c r="N250">
        <v>16</v>
      </c>
      <c r="O250">
        <v>22</v>
      </c>
      <c r="P250">
        <v>12</v>
      </c>
      <c r="Q250">
        <v>9</v>
      </c>
      <c r="R250">
        <v>9</v>
      </c>
    </row>
    <row r="251" spans="1:18" x14ac:dyDescent="0.25">
      <c r="A251" t="s">
        <v>1010</v>
      </c>
      <c r="B251" t="s">
        <v>52</v>
      </c>
      <c r="C251" t="s">
        <v>279</v>
      </c>
      <c r="D251">
        <v>32</v>
      </c>
      <c r="E251">
        <v>60</v>
      </c>
      <c r="F251">
        <v>8</v>
      </c>
      <c r="G251">
        <v>2</v>
      </c>
      <c r="H251">
        <v>16</v>
      </c>
      <c r="I251">
        <v>8</v>
      </c>
      <c r="L251">
        <v>1</v>
      </c>
      <c r="M251">
        <v>3</v>
      </c>
      <c r="N251">
        <v>5</v>
      </c>
      <c r="O251">
        <v>4</v>
      </c>
      <c r="P251">
        <v>1</v>
      </c>
      <c r="Q251">
        <v>4</v>
      </c>
      <c r="R251">
        <v>2</v>
      </c>
    </row>
    <row r="252" spans="1:18" x14ac:dyDescent="0.25">
      <c r="A252" t="s">
        <v>1061</v>
      </c>
      <c r="B252" t="s">
        <v>31</v>
      </c>
      <c r="C252" t="s">
        <v>285</v>
      </c>
      <c r="D252">
        <v>22</v>
      </c>
      <c r="E252">
        <v>102</v>
      </c>
      <c r="F252">
        <v>142</v>
      </c>
      <c r="G252">
        <v>1</v>
      </c>
      <c r="H252">
        <v>48</v>
      </c>
      <c r="I252">
        <v>12</v>
      </c>
      <c r="K252">
        <v>1</v>
      </c>
      <c r="L252">
        <v>4</v>
      </c>
      <c r="M252">
        <v>3</v>
      </c>
      <c r="N252">
        <v>7</v>
      </c>
      <c r="O252">
        <v>5</v>
      </c>
      <c r="P252">
        <v>5</v>
      </c>
      <c r="Q252">
        <v>3</v>
      </c>
      <c r="R252">
        <v>2</v>
      </c>
    </row>
    <row r="253" spans="1:18" x14ac:dyDescent="0.25">
      <c r="A253" t="s">
        <v>1061</v>
      </c>
      <c r="B253" t="s">
        <v>36</v>
      </c>
      <c r="C253" t="s">
        <v>267</v>
      </c>
      <c r="D253">
        <v>16</v>
      </c>
      <c r="E253">
        <v>72</v>
      </c>
      <c r="F253">
        <v>40</v>
      </c>
      <c r="G253">
        <v>8</v>
      </c>
      <c r="H253">
        <v>99</v>
      </c>
      <c r="I253">
        <v>92</v>
      </c>
      <c r="K253">
        <v>1</v>
      </c>
      <c r="L253">
        <v>2</v>
      </c>
      <c r="M253">
        <v>2</v>
      </c>
      <c r="N253">
        <v>2</v>
      </c>
      <c r="O253">
        <v>12</v>
      </c>
      <c r="P253">
        <v>11</v>
      </c>
      <c r="Q253">
        <v>7</v>
      </c>
      <c r="R253">
        <v>1</v>
      </c>
    </row>
    <row r="254" spans="1:18" x14ac:dyDescent="0.25">
      <c r="A254" t="s">
        <v>1061</v>
      </c>
      <c r="B254" t="s">
        <v>40</v>
      </c>
      <c r="C254" t="s">
        <v>269</v>
      </c>
      <c r="D254">
        <v>1</v>
      </c>
      <c r="E254">
        <v>27</v>
      </c>
      <c r="F254">
        <v>19</v>
      </c>
      <c r="H254">
        <v>9</v>
      </c>
      <c r="I254">
        <v>9</v>
      </c>
      <c r="K254">
        <v>1</v>
      </c>
      <c r="L254">
        <v>11</v>
      </c>
      <c r="M254">
        <v>18</v>
      </c>
      <c r="N254">
        <v>4</v>
      </c>
      <c r="O254">
        <v>12</v>
      </c>
      <c r="P254">
        <v>4</v>
      </c>
      <c r="Q254">
        <v>4</v>
      </c>
    </row>
    <row r="255" spans="1:18" x14ac:dyDescent="0.25">
      <c r="A255" t="s">
        <v>1061</v>
      </c>
      <c r="B255" t="s">
        <v>41</v>
      </c>
      <c r="C255" t="s">
        <v>270</v>
      </c>
      <c r="E255">
        <v>13</v>
      </c>
      <c r="F255">
        <v>11</v>
      </c>
      <c r="H255">
        <v>10</v>
      </c>
      <c r="I255">
        <v>2</v>
      </c>
      <c r="K255">
        <v>1</v>
      </c>
      <c r="L255">
        <v>1</v>
      </c>
      <c r="M255">
        <v>5</v>
      </c>
      <c r="N255">
        <v>4</v>
      </c>
      <c r="O255">
        <v>1</v>
      </c>
      <c r="P255">
        <v>1</v>
      </c>
    </row>
    <row r="256" spans="1:18" x14ac:dyDescent="0.25">
      <c r="A256" t="s">
        <v>1061</v>
      </c>
      <c r="B256" t="s">
        <v>44</v>
      </c>
      <c r="C256" t="s">
        <v>273</v>
      </c>
      <c r="D256">
        <v>18</v>
      </c>
      <c r="E256">
        <v>90</v>
      </c>
      <c r="F256">
        <v>21</v>
      </c>
      <c r="G256">
        <v>3</v>
      </c>
      <c r="H256">
        <v>87</v>
      </c>
      <c r="I256">
        <v>1</v>
      </c>
      <c r="J256">
        <v>1</v>
      </c>
      <c r="L256">
        <v>5</v>
      </c>
      <c r="N256">
        <v>3</v>
      </c>
      <c r="O256">
        <v>3</v>
      </c>
      <c r="P256">
        <v>7</v>
      </c>
      <c r="Q256">
        <v>2</v>
      </c>
      <c r="R256">
        <v>1</v>
      </c>
    </row>
    <row r="257" spans="1:18" x14ac:dyDescent="0.25">
      <c r="A257" t="s">
        <v>1061</v>
      </c>
      <c r="B257" t="s">
        <v>46</v>
      </c>
      <c r="C257" t="s">
        <v>275</v>
      </c>
      <c r="D257">
        <v>2</v>
      </c>
      <c r="E257">
        <v>20</v>
      </c>
      <c r="F257">
        <v>8</v>
      </c>
      <c r="H257">
        <v>6</v>
      </c>
      <c r="I257">
        <v>1</v>
      </c>
      <c r="L257">
        <v>9</v>
      </c>
      <c r="M257">
        <v>14</v>
      </c>
      <c r="N257">
        <v>4</v>
      </c>
      <c r="O257">
        <v>1</v>
      </c>
      <c r="P257">
        <v>3</v>
      </c>
      <c r="R257">
        <v>19</v>
      </c>
    </row>
    <row r="258" spans="1:18" x14ac:dyDescent="0.25">
      <c r="A258" t="s">
        <v>1061</v>
      </c>
      <c r="B258" t="s">
        <v>55</v>
      </c>
      <c r="C258" t="s">
        <v>281</v>
      </c>
      <c r="E258">
        <v>15</v>
      </c>
      <c r="F258">
        <v>8</v>
      </c>
      <c r="G258">
        <v>7</v>
      </c>
      <c r="H258">
        <v>22</v>
      </c>
      <c r="I258">
        <v>12</v>
      </c>
      <c r="O258">
        <v>1</v>
      </c>
      <c r="P258">
        <v>1</v>
      </c>
    </row>
    <row r="259" spans="1:18" x14ac:dyDescent="0.25">
      <c r="A259" t="s">
        <v>1108</v>
      </c>
      <c r="F259">
        <v>1</v>
      </c>
      <c r="G259">
        <v>1</v>
      </c>
    </row>
    <row r="260" spans="1:18" x14ac:dyDescent="0.25">
      <c r="A260" t="s">
        <v>1108</v>
      </c>
      <c r="B260" t="s">
        <v>243</v>
      </c>
      <c r="C260" t="s">
        <v>288</v>
      </c>
      <c r="D260">
        <v>35</v>
      </c>
      <c r="E260">
        <v>113</v>
      </c>
      <c r="F260">
        <v>277</v>
      </c>
      <c r="G260">
        <v>12</v>
      </c>
      <c r="H260">
        <v>84</v>
      </c>
      <c r="I260">
        <v>33</v>
      </c>
      <c r="J260">
        <v>1</v>
      </c>
      <c r="K260">
        <v>1</v>
      </c>
      <c r="L260">
        <v>33</v>
      </c>
      <c r="M260">
        <v>5</v>
      </c>
      <c r="N260">
        <v>24</v>
      </c>
      <c r="O260">
        <v>8</v>
      </c>
      <c r="P260">
        <v>5</v>
      </c>
      <c r="Q260">
        <v>11</v>
      </c>
      <c r="R260">
        <v>6</v>
      </c>
    </row>
    <row r="261" spans="1:18" x14ac:dyDescent="0.25">
      <c r="A261" t="s">
        <v>1108</v>
      </c>
      <c r="B261" t="s">
        <v>41</v>
      </c>
      <c r="C261" t="s">
        <v>270</v>
      </c>
      <c r="E261">
        <v>11</v>
      </c>
      <c r="F261">
        <v>13</v>
      </c>
      <c r="H261">
        <v>8</v>
      </c>
      <c r="I261">
        <v>5</v>
      </c>
      <c r="M261">
        <v>9</v>
      </c>
      <c r="N261">
        <v>4</v>
      </c>
      <c r="O261">
        <v>4</v>
      </c>
    </row>
    <row r="262" spans="1:18" x14ac:dyDescent="0.25">
      <c r="A262" t="s">
        <v>1108</v>
      </c>
      <c r="B262" t="s">
        <v>56</v>
      </c>
      <c r="C262" t="s">
        <v>282</v>
      </c>
      <c r="D262">
        <v>9</v>
      </c>
      <c r="E262">
        <v>52</v>
      </c>
      <c r="F262">
        <v>31</v>
      </c>
      <c r="G262">
        <v>2</v>
      </c>
      <c r="H262">
        <v>49</v>
      </c>
      <c r="I262">
        <v>20</v>
      </c>
      <c r="K262">
        <v>1</v>
      </c>
      <c r="L262">
        <v>8</v>
      </c>
      <c r="M262">
        <v>8</v>
      </c>
      <c r="N262">
        <v>41</v>
      </c>
      <c r="O262">
        <v>6</v>
      </c>
      <c r="P262">
        <v>11</v>
      </c>
      <c r="Q262">
        <v>12</v>
      </c>
      <c r="R262">
        <v>5</v>
      </c>
    </row>
    <row r="263" spans="1:18" x14ac:dyDescent="0.25">
      <c r="A263" t="s">
        <v>191</v>
      </c>
      <c r="B263" t="s">
        <v>35</v>
      </c>
      <c r="C263" t="s">
        <v>266</v>
      </c>
      <c r="E263">
        <v>22</v>
      </c>
      <c r="F263">
        <v>2</v>
      </c>
      <c r="H263">
        <v>5</v>
      </c>
      <c r="I263">
        <v>4</v>
      </c>
      <c r="L263">
        <v>1</v>
      </c>
      <c r="M263">
        <v>3</v>
      </c>
      <c r="N263">
        <v>2</v>
      </c>
      <c r="O263">
        <v>1</v>
      </c>
      <c r="P263">
        <v>1</v>
      </c>
      <c r="Q263">
        <v>3</v>
      </c>
    </row>
    <row r="264" spans="1:18" x14ac:dyDescent="0.25">
      <c r="A264" t="s">
        <v>191</v>
      </c>
      <c r="B264" t="s">
        <v>117</v>
      </c>
      <c r="C264" t="s">
        <v>296</v>
      </c>
      <c r="D264">
        <v>41</v>
      </c>
      <c r="E264">
        <v>102</v>
      </c>
      <c r="F264">
        <v>475</v>
      </c>
      <c r="G264">
        <v>15</v>
      </c>
      <c r="H264">
        <v>83</v>
      </c>
      <c r="I264">
        <v>1</v>
      </c>
      <c r="J264">
        <v>11</v>
      </c>
      <c r="K264">
        <v>6</v>
      </c>
      <c r="L264">
        <v>98</v>
      </c>
      <c r="M264">
        <v>27</v>
      </c>
      <c r="N264">
        <v>93</v>
      </c>
      <c r="O264">
        <v>31</v>
      </c>
      <c r="P264">
        <v>54</v>
      </c>
      <c r="Q264">
        <v>63</v>
      </c>
      <c r="R264">
        <v>22</v>
      </c>
    </row>
    <row r="265" spans="1:18" x14ac:dyDescent="0.25">
      <c r="A265" t="s">
        <v>190</v>
      </c>
      <c r="B265" t="s">
        <v>54</v>
      </c>
      <c r="C265" t="s">
        <v>280</v>
      </c>
      <c r="D265">
        <v>16</v>
      </c>
      <c r="E265">
        <v>39</v>
      </c>
      <c r="F265">
        <v>37</v>
      </c>
      <c r="G265">
        <v>1</v>
      </c>
      <c r="H265">
        <v>55</v>
      </c>
      <c r="I265">
        <v>35</v>
      </c>
      <c r="K265">
        <v>6</v>
      </c>
      <c r="L265">
        <v>20</v>
      </c>
      <c r="M265">
        <v>16</v>
      </c>
      <c r="N265">
        <v>20</v>
      </c>
      <c r="O265">
        <v>12</v>
      </c>
      <c r="P265">
        <v>10</v>
      </c>
      <c r="Q265">
        <v>13</v>
      </c>
      <c r="R265">
        <v>10</v>
      </c>
    </row>
    <row r="266" spans="1:18" x14ac:dyDescent="0.25">
      <c r="A266" t="s">
        <v>257</v>
      </c>
      <c r="B266" t="s">
        <v>33</v>
      </c>
      <c r="C266" t="s">
        <v>292</v>
      </c>
      <c r="D266">
        <v>1</v>
      </c>
      <c r="E266">
        <v>35</v>
      </c>
      <c r="F266">
        <v>9</v>
      </c>
      <c r="H266">
        <v>12</v>
      </c>
      <c r="I266">
        <v>11</v>
      </c>
      <c r="L266">
        <v>8</v>
      </c>
      <c r="M266">
        <v>1</v>
      </c>
      <c r="N266">
        <v>6</v>
      </c>
      <c r="O266">
        <v>7</v>
      </c>
      <c r="P266">
        <v>2</v>
      </c>
      <c r="Q266">
        <v>2</v>
      </c>
      <c r="R266">
        <v>5</v>
      </c>
    </row>
    <row r="267" spans="1:18" x14ac:dyDescent="0.25">
      <c r="A267" t="s">
        <v>257</v>
      </c>
      <c r="B267" t="s">
        <v>49</v>
      </c>
      <c r="C267" t="s">
        <v>277</v>
      </c>
      <c r="D267">
        <v>5</v>
      </c>
      <c r="E267">
        <v>72</v>
      </c>
      <c r="F267">
        <v>6</v>
      </c>
      <c r="G267">
        <v>3</v>
      </c>
      <c r="H267">
        <v>20</v>
      </c>
      <c r="I267">
        <v>47</v>
      </c>
      <c r="K267">
        <v>1</v>
      </c>
      <c r="L267">
        <v>9</v>
      </c>
      <c r="M267">
        <v>9</v>
      </c>
      <c r="N267">
        <v>11</v>
      </c>
      <c r="O267">
        <v>16</v>
      </c>
      <c r="P267">
        <v>22</v>
      </c>
      <c r="Q267">
        <v>5</v>
      </c>
      <c r="R267">
        <v>4</v>
      </c>
    </row>
    <row r="268" spans="1:18" x14ac:dyDescent="0.25">
      <c r="A268" t="s">
        <v>257</v>
      </c>
      <c r="B268" t="s">
        <v>54</v>
      </c>
      <c r="C268" t="s">
        <v>280</v>
      </c>
      <c r="D268">
        <v>18</v>
      </c>
      <c r="E268">
        <v>32</v>
      </c>
      <c r="F268">
        <v>39</v>
      </c>
      <c r="H268">
        <v>53</v>
      </c>
      <c r="I268">
        <v>26</v>
      </c>
      <c r="J268">
        <v>1</v>
      </c>
      <c r="K268">
        <v>6</v>
      </c>
      <c r="L268">
        <v>29</v>
      </c>
      <c r="M268">
        <v>19</v>
      </c>
      <c r="N268">
        <v>31</v>
      </c>
      <c r="O268">
        <v>8</v>
      </c>
      <c r="P268">
        <v>9</v>
      </c>
      <c r="Q268">
        <v>11</v>
      </c>
      <c r="R268">
        <v>3</v>
      </c>
    </row>
    <row r="269" spans="1:18" x14ac:dyDescent="0.25">
      <c r="A269" t="s">
        <v>240</v>
      </c>
      <c r="B269" t="s">
        <v>39</v>
      </c>
      <c r="C269" t="s">
        <v>295</v>
      </c>
      <c r="D269">
        <v>1</v>
      </c>
      <c r="E269">
        <v>32</v>
      </c>
      <c r="F269">
        <v>22</v>
      </c>
      <c r="H269">
        <v>7</v>
      </c>
      <c r="I269">
        <v>1</v>
      </c>
      <c r="K269">
        <v>3</v>
      </c>
      <c r="L269">
        <v>4</v>
      </c>
      <c r="M269">
        <v>4</v>
      </c>
      <c r="N269">
        <v>6</v>
      </c>
      <c r="O269">
        <v>5</v>
      </c>
      <c r="P269">
        <v>1</v>
      </c>
      <c r="Q269">
        <v>3</v>
      </c>
      <c r="R269">
        <v>3</v>
      </c>
    </row>
    <row r="270" spans="1:18" x14ac:dyDescent="0.25">
      <c r="A270" t="s">
        <v>240</v>
      </c>
      <c r="B270" t="s">
        <v>41</v>
      </c>
      <c r="C270" t="s">
        <v>270</v>
      </c>
      <c r="D270">
        <v>1</v>
      </c>
      <c r="E270">
        <v>16</v>
      </c>
      <c r="F270">
        <v>2</v>
      </c>
      <c r="H270">
        <v>8</v>
      </c>
      <c r="M270">
        <v>1</v>
      </c>
      <c r="N270">
        <v>1</v>
      </c>
      <c r="P270">
        <v>1</v>
      </c>
    </row>
    <row r="271" spans="1:18" x14ac:dyDescent="0.25">
      <c r="A271" t="s">
        <v>240</v>
      </c>
      <c r="B271" t="s">
        <v>44</v>
      </c>
      <c r="C271" t="s">
        <v>273</v>
      </c>
      <c r="D271">
        <v>12</v>
      </c>
      <c r="E271">
        <v>79</v>
      </c>
      <c r="F271">
        <v>60</v>
      </c>
      <c r="G271">
        <v>27</v>
      </c>
      <c r="H271">
        <v>82</v>
      </c>
      <c r="I271">
        <v>10</v>
      </c>
      <c r="K271">
        <v>1</v>
      </c>
      <c r="L271">
        <v>4</v>
      </c>
      <c r="M271">
        <v>2</v>
      </c>
      <c r="N271">
        <v>1</v>
      </c>
      <c r="O271">
        <v>4</v>
      </c>
      <c r="P271">
        <v>2</v>
      </c>
      <c r="R271">
        <v>2</v>
      </c>
    </row>
    <row r="272" spans="1:18" x14ac:dyDescent="0.25">
      <c r="A272" t="s">
        <v>240</v>
      </c>
      <c r="B272" t="s">
        <v>53</v>
      </c>
      <c r="C272" t="s">
        <v>289</v>
      </c>
      <c r="D272">
        <v>3</v>
      </c>
      <c r="E272">
        <v>56</v>
      </c>
      <c r="F272">
        <v>6</v>
      </c>
      <c r="H272">
        <v>16</v>
      </c>
      <c r="J272">
        <v>2</v>
      </c>
      <c r="L272">
        <v>4</v>
      </c>
      <c r="M272">
        <v>1</v>
      </c>
      <c r="N272">
        <v>1</v>
      </c>
      <c r="P272">
        <v>1</v>
      </c>
      <c r="Q272">
        <v>1</v>
      </c>
    </row>
    <row r="273" spans="1:18" x14ac:dyDescent="0.25">
      <c r="A273" t="s">
        <v>239</v>
      </c>
      <c r="B273" t="s">
        <v>243</v>
      </c>
      <c r="C273" t="s">
        <v>288</v>
      </c>
      <c r="D273">
        <v>66</v>
      </c>
      <c r="E273">
        <v>120</v>
      </c>
      <c r="F273">
        <v>142</v>
      </c>
      <c r="G273">
        <v>21</v>
      </c>
      <c r="H273">
        <v>112</v>
      </c>
      <c r="I273">
        <v>23</v>
      </c>
      <c r="J273">
        <v>2</v>
      </c>
      <c r="K273">
        <v>5</v>
      </c>
      <c r="L273">
        <v>85</v>
      </c>
      <c r="M273">
        <v>16</v>
      </c>
      <c r="N273">
        <v>26</v>
      </c>
      <c r="O273">
        <v>40</v>
      </c>
      <c r="P273">
        <v>7</v>
      </c>
      <c r="Q273">
        <v>41</v>
      </c>
      <c r="R273">
        <v>8</v>
      </c>
    </row>
    <row r="274" spans="1:18" x14ac:dyDescent="0.25">
      <c r="A274" t="s">
        <v>239</v>
      </c>
      <c r="B274" t="s">
        <v>38</v>
      </c>
      <c r="C274" t="s">
        <v>268</v>
      </c>
      <c r="D274">
        <v>3</v>
      </c>
      <c r="E274">
        <v>57</v>
      </c>
      <c r="F274">
        <v>7</v>
      </c>
      <c r="H274">
        <v>24</v>
      </c>
      <c r="I274">
        <v>8</v>
      </c>
      <c r="L274">
        <v>9</v>
      </c>
      <c r="M274">
        <v>8</v>
      </c>
      <c r="N274">
        <v>11</v>
      </c>
      <c r="O274">
        <v>6</v>
      </c>
      <c r="P274">
        <v>7</v>
      </c>
      <c r="Q274">
        <v>3</v>
      </c>
      <c r="R274">
        <v>2</v>
      </c>
    </row>
    <row r="275" spans="1:18" x14ac:dyDescent="0.25">
      <c r="A275" t="s">
        <v>239</v>
      </c>
      <c r="B275" t="s">
        <v>57</v>
      </c>
      <c r="C275" t="s">
        <v>283</v>
      </c>
      <c r="D275">
        <v>26</v>
      </c>
      <c r="E275">
        <v>98</v>
      </c>
      <c r="F275">
        <v>52</v>
      </c>
      <c r="H275">
        <v>31</v>
      </c>
      <c r="I275">
        <v>2</v>
      </c>
      <c r="L275">
        <v>5</v>
      </c>
      <c r="M275">
        <v>1</v>
      </c>
      <c r="N275">
        <v>8</v>
      </c>
      <c r="O275">
        <v>10</v>
      </c>
      <c r="P275">
        <v>6</v>
      </c>
      <c r="Q275">
        <v>9</v>
      </c>
      <c r="R275">
        <v>4</v>
      </c>
    </row>
    <row r="276" spans="1:18" x14ac:dyDescent="0.25">
      <c r="A276" t="s">
        <v>760</v>
      </c>
      <c r="B276" t="s">
        <v>31</v>
      </c>
      <c r="C276" t="s">
        <v>285</v>
      </c>
      <c r="D276">
        <v>15</v>
      </c>
      <c r="E276">
        <v>70</v>
      </c>
      <c r="F276">
        <v>231</v>
      </c>
      <c r="H276">
        <v>44</v>
      </c>
      <c r="I276">
        <v>17</v>
      </c>
      <c r="J276">
        <v>2</v>
      </c>
      <c r="K276">
        <v>1</v>
      </c>
      <c r="L276">
        <v>7</v>
      </c>
      <c r="M276">
        <v>6</v>
      </c>
      <c r="N276">
        <v>13</v>
      </c>
      <c r="O276">
        <v>9</v>
      </c>
      <c r="P276">
        <v>8</v>
      </c>
      <c r="Q276">
        <v>6</v>
      </c>
      <c r="R276">
        <v>4</v>
      </c>
    </row>
    <row r="277" spans="1:18" x14ac:dyDescent="0.25">
      <c r="A277" t="s">
        <v>760</v>
      </c>
      <c r="B277" t="s">
        <v>33</v>
      </c>
      <c r="C277" t="s">
        <v>292</v>
      </c>
      <c r="D277">
        <v>7</v>
      </c>
      <c r="E277">
        <v>38</v>
      </c>
      <c r="F277">
        <v>7</v>
      </c>
      <c r="H277">
        <v>2</v>
      </c>
      <c r="I277">
        <v>6</v>
      </c>
      <c r="K277">
        <v>7</v>
      </c>
      <c r="L277">
        <v>10</v>
      </c>
      <c r="M277">
        <v>8</v>
      </c>
      <c r="N277">
        <v>10</v>
      </c>
      <c r="O277">
        <v>9</v>
      </c>
      <c r="P277">
        <v>8</v>
      </c>
      <c r="Q277">
        <v>2</v>
      </c>
      <c r="R277">
        <v>9</v>
      </c>
    </row>
    <row r="278" spans="1:18" x14ac:dyDescent="0.25">
      <c r="A278" t="s">
        <v>760</v>
      </c>
      <c r="B278" t="s">
        <v>59</v>
      </c>
      <c r="C278" t="s">
        <v>290</v>
      </c>
      <c r="D278">
        <v>6</v>
      </c>
      <c r="E278">
        <v>19</v>
      </c>
      <c r="F278">
        <v>21</v>
      </c>
      <c r="H278">
        <v>20</v>
      </c>
      <c r="I278">
        <v>3</v>
      </c>
      <c r="K278">
        <v>2</v>
      </c>
      <c r="L278">
        <v>12</v>
      </c>
      <c r="M278">
        <v>1</v>
      </c>
      <c r="N278">
        <v>13</v>
      </c>
      <c r="O278">
        <v>7</v>
      </c>
      <c r="P278">
        <v>15</v>
      </c>
      <c r="Q278">
        <v>5</v>
      </c>
      <c r="R278">
        <v>4</v>
      </c>
    </row>
    <row r="279" spans="1:18" x14ac:dyDescent="0.25">
      <c r="A279" t="s">
        <v>917</v>
      </c>
      <c r="B279" t="s">
        <v>43</v>
      </c>
      <c r="C279" t="s">
        <v>297</v>
      </c>
      <c r="D279">
        <v>2</v>
      </c>
      <c r="E279">
        <v>120</v>
      </c>
      <c r="F279">
        <v>79</v>
      </c>
      <c r="G279">
        <v>2</v>
      </c>
      <c r="H279">
        <v>2</v>
      </c>
      <c r="I279">
        <v>10</v>
      </c>
      <c r="K279">
        <v>1</v>
      </c>
      <c r="L279">
        <v>2</v>
      </c>
      <c r="M279">
        <v>3</v>
      </c>
      <c r="N279">
        <v>7</v>
      </c>
      <c r="O279">
        <v>6</v>
      </c>
      <c r="P279">
        <v>13</v>
      </c>
      <c r="Q279">
        <v>3</v>
      </c>
    </row>
    <row r="280" spans="1:18" x14ac:dyDescent="0.25">
      <c r="A280" t="s">
        <v>1010</v>
      </c>
      <c r="B280" t="s">
        <v>36</v>
      </c>
      <c r="C280" t="s">
        <v>267</v>
      </c>
      <c r="D280">
        <v>7</v>
      </c>
      <c r="E280">
        <v>35</v>
      </c>
      <c r="F280">
        <v>33</v>
      </c>
      <c r="H280">
        <v>17</v>
      </c>
      <c r="I280">
        <v>20</v>
      </c>
      <c r="J280">
        <v>2</v>
      </c>
      <c r="L280">
        <v>6</v>
      </c>
      <c r="N280">
        <v>3</v>
      </c>
      <c r="O280">
        <v>2</v>
      </c>
      <c r="P280">
        <v>6</v>
      </c>
      <c r="Q280">
        <v>7</v>
      </c>
      <c r="R280">
        <v>3</v>
      </c>
    </row>
    <row r="281" spans="1:18" x14ac:dyDescent="0.25">
      <c r="A281" t="s">
        <v>1010</v>
      </c>
      <c r="B281" t="s">
        <v>43</v>
      </c>
      <c r="C281" t="s">
        <v>388</v>
      </c>
      <c r="D281">
        <v>1</v>
      </c>
      <c r="E281">
        <v>121</v>
      </c>
      <c r="F281">
        <v>156</v>
      </c>
      <c r="H281">
        <v>11</v>
      </c>
      <c r="I281">
        <v>14</v>
      </c>
      <c r="K281">
        <v>3</v>
      </c>
      <c r="L281">
        <v>3</v>
      </c>
      <c r="M281">
        <v>13</v>
      </c>
      <c r="N281">
        <v>13</v>
      </c>
      <c r="O281">
        <v>5</v>
      </c>
      <c r="P281">
        <v>20</v>
      </c>
      <c r="Q281">
        <v>1</v>
      </c>
      <c r="R281">
        <v>9</v>
      </c>
    </row>
    <row r="282" spans="1:18" x14ac:dyDescent="0.25">
      <c r="A282" t="s">
        <v>1061</v>
      </c>
      <c r="B282" t="s">
        <v>35</v>
      </c>
      <c r="C282" t="s">
        <v>266</v>
      </c>
      <c r="D282">
        <v>1</v>
      </c>
      <c r="E282">
        <v>15</v>
      </c>
      <c r="F282">
        <v>2</v>
      </c>
      <c r="M282">
        <v>6</v>
      </c>
      <c r="N282">
        <v>1</v>
      </c>
      <c r="P282">
        <v>2</v>
      </c>
    </row>
    <row r="283" spans="1:18" x14ac:dyDescent="0.25">
      <c r="A283" t="s">
        <v>1061</v>
      </c>
      <c r="B283" t="s">
        <v>52</v>
      </c>
      <c r="C283" t="s">
        <v>279</v>
      </c>
      <c r="D283">
        <v>24</v>
      </c>
      <c r="E283">
        <v>46</v>
      </c>
      <c r="F283">
        <v>10</v>
      </c>
      <c r="G283">
        <v>1</v>
      </c>
      <c r="H283">
        <v>15</v>
      </c>
      <c r="I283">
        <v>10</v>
      </c>
      <c r="K283">
        <v>1</v>
      </c>
      <c r="L283">
        <v>12</v>
      </c>
      <c r="M283">
        <v>7</v>
      </c>
      <c r="N283">
        <v>3</v>
      </c>
      <c r="O283">
        <v>4</v>
      </c>
      <c r="P283">
        <v>3</v>
      </c>
      <c r="Q283">
        <v>1</v>
      </c>
      <c r="R283">
        <v>1</v>
      </c>
    </row>
    <row r="284" spans="1:18" x14ac:dyDescent="0.25">
      <c r="A284" t="s">
        <v>1061</v>
      </c>
      <c r="B284" t="s">
        <v>59</v>
      </c>
      <c r="C284" t="s">
        <v>290</v>
      </c>
      <c r="E284">
        <v>14</v>
      </c>
      <c r="F284">
        <v>11</v>
      </c>
      <c r="H284">
        <v>3</v>
      </c>
      <c r="K284">
        <v>1</v>
      </c>
      <c r="L284">
        <v>1</v>
      </c>
      <c r="M284">
        <v>3</v>
      </c>
      <c r="N284">
        <v>3</v>
      </c>
      <c r="O284">
        <v>3</v>
      </c>
      <c r="P284">
        <v>2</v>
      </c>
      <c r="Q284">
        <v>1</v>
      </c>
      <c r="R284">
        <v>1</v>
      </c>
    </row>
    <row r="285" spans="1:18" x14ac:dyDescent="0.25">
      <c r="A285" t="s">
        <v>1108</v>
      </c>
      <c r="B285" t="s">
        <v>32</v>
      </c>
      <c r="C285" t="s">
        <v>286</v>
      </c>
      <c r="D285">
        <v>8</v>
      </c>
      <c r="E285">
        <v>67</v>
      </c>
      <c r="F285">
        <v>16</v>
      </c>
      <c r="G285">
        <v>2</v>
      </c>
      <c r="H285">
        <v>28</v>
      </c>
      <c r="I285">
        <v>147</v>
      </c>
      <c r="K285">
        <v>5</v>
      </c>
      <c r="L285">
        <v>3</v>
      </c>
      <c r="M285">
        <v>7</v>
      </c>
      <c r="N285">
        <v>11</v>
      </c>
      <c r="O285">
        <v>6</v>
      </c>
      <c r="P285">
        <v>19</v>
      </c>
      <c r="Q285">
        <v>4</v>
      </c>
      <c r="R285">
        <v>10</v>
      </c>
    </row>
    <row r="286" spans="1:18" x14ac:dyDescent="0.25">
      <c r="A286" t="s">
        <v>1108</v>
      </c>
      <c r="B286" t="s">
        <v>39</v>
      </c>
      <c r="C286" t="s">
        <v>295</v>
      </c>
      <c r="D286">
        <v>4</v>
      </c>
      <c r="E286">
        <v>25</v>
      </c>
      <c r="F286">
        <v>23</v>
      </c>
      <c r="H286">
        <v>2</v>
      </c>
      <c r="I286">
        <v>1</v>
      </c>
      <c r="L286">
        <v>2</v>
      </c>
      <c r="M286">
        <v>3</v>
      </c>
      <c r="O286">
        <v>1</v>
      </c>
      <c r="Q286">
        <v>1</v>
      </c>
      <c r="R286">
        <v>1</v>
      </c>
    </row>
    <row r="287" spans="1:18" x14ac:dyDescent="0.25">
      <c r="A287" t="s">
        <v>1108</v>
      </c>
      <c r="B287" t="s">
        <v>1130</v>
      </c>
      <c r="I287">
        <v>1</v>
      </c>
      <c r="P287">
        <v>2</v>
      </c>
      <c r="Q287">
        <v>2</v>
      </c>
      <c r="R287">
        <v>1</v>
      </c>
    </row>
    <row r="288" spans="1:18" x14ac:dyDescent="0.25">
      <c r="A288" t="s">
        <v>1108</v>
      </c>
      <c r="B288" t="s">
        <v>57</v>
      </c>
      <c r="C288" t="s">
        <v>283</v>
      </c>
      <c r="D288">
        <v>23</v>
      </c>
      <c r="E288">
        <v>143</v>
      </c>
      <c r="F288">
        <v>59</v>
      </c>
      <c r="H288">
        <v>59</v>
      </c>
      <c r="I288">
        <v>21</v>
      </c>
      <c r="L288">
        <v>4</v>
      </c>
      <c r="M288">
        <v>7</v>
      </c>
      <c r="N288">
        <v>13</v>
      </c>
      <c r="O288">
        <v>18</v>
      </c>
      <c r="P288">
        <v>6</v>
      </c>
      <c r="Q288">
        <v>13</v>
      </c>
      <c r="R288">
        <v>12</v>
      </c>
    </row>
    <row r="289" spans="1:18" x14ac:dyDescent="0.25">
      <c r="A289" t="s">
        <v>239</v>
      </c>
      <c r="B289" t="s">
        <v>58</v>
      </c>
      <c r="C289" t="s">
        <v>284</v>
      </c>
      <c r="D289">
        <v>7</v>
      </c>
      <c r="E289">
        <v>56</v>
      </c>
      <c r="F289">
        <v>37</v>
      </c>
      <c r="G289">
        <v>2</v>
      </c>
      <c r="H289">
        <v>33</v>
      </c>
      <c r="I289">
        <v>4</v>
      </c>
      <c r="K289">
        <v>1</v>
      </c>
      <c r="L289">
        <v>1</v>
      </c>
      <c r="M289">
        <v>36</v>
      </c>
      <c r="N289">
        <v>4</v>
      </c>
      <c r="O289">
        <v>4</v>
      </c>
      <c r="P289">
        <v>3</v>
      </c>
      <c r="Q289">
        <v>2</v>
      </c>
      <c r="R289">
        <v>3</v>
      </c>
    </row>
    <row r="290" spans="1:18" x14ac:dyDescent="0.25">
      <c r="A290" t="s">
        <v>760</v>
      </c>
      <c r="B290" t="s">
        <v>243</v>
      </c>
      <c r="C290" t="s">
        <v>288</v>
      </c>
      <c r="D290">
        <v>44</v>
      </c>
      <c r="E290">
        <v>107</v>
      </c>
      <c r="F290">
        <v>91</v>
      </c>
      <c r="G290">
        <v>11</v>
      </c>
      <c r="H290">
        <v>97</v>
      </c>
      <c r="I290">
        <v>84</v>
      </c>
      <c r="J290">
        <v>4</v>
      </c>
      <c r="K290">
        <v>2</v>
      </c>
      <c r="L290">
        <v>52</v>
      </c>
      <c r="M290">
        <v>28</v>
      </c>
      <c r="N290">
        <v>42</v>
      </c>
      <c r="O290">
        <v>31</v>
      </c>
      <c r="P290">
        <v>7</v>
      </c>
      <c r="Q290">
        <v>45</v>
      </c>
      <c r="R290">
        <v>3</v>
      </c>
    </row>
    <row r="291" spans="1:18" x14ac:dyDescent="0.25">
      <c r="A291" t="s">
        <v>760</v>
      </c>
      <c r="B291" t="s">
        <v>38</v>
      </c>
      <c r="C291" t="s">
        <v>268</v>
      </c>
      <c r="D291">
        <v>2</v>
      </c>
      <c r="E291">
        <v>54</v>
      </c>
      <c r="F291">
        <v>8</v>
      </c>
      <c r="H291">
        <v>13</v>
      </c>
      <c r="I291">
        <v>11</v>
      </c>
      <c r="L291">
        <v>3</v>
      </c>
      <c r="M291">
        <v>10</v>
      </c>
      <c r="N291">
        <v>6</v>
      </c>
      <c r="O291">
        <v>3</v>
      </c>
    </row>
    <row r="292" spans="1:18" x14ac:dyDescent="0.25">
      <c r="A292" t="s">
        <v>760</v>
      </c>
      <c r="B292" t="s">
        <v>40</v>
      </c>
      <c r="C292" t="s">
        <v>269</v>
      </c>
      <c r="D292">
        <v>5</v>
      </c>
      <c r="E292">
        <v>23</v>
      </c>
      <c r="F292">
        <v>12</v>
      </c>
      <c r="H292">
        <v>4</v>
      </c>
      <c r="I292">
        <v>2</v>
      </c>
      <c r="K292">
        <v>1</v>
      </c>
      <c r="L292">
        <v>10</v>
      </c>
      <c r="M292">
        <v>8</v>
      </c>
      <c r="N292">
        <v>2</v>
      </c>
      <c r="O292">
        <v>7</v>
      </c>
      <c r="P292">
        <v>1</v>
      </c>
      <c r="Q292">
        <v>1</v>
      </c>
      <c r="R292">
        <v>2</v>
      </c>
    </row>
    <row r="293" spans="1:18" x14ac:dyDescent="0.25">
      <c r="A293" t="s">
        <v>760</v>
      </c>
      <c r="B293" t="s">
        <v>42</v>
      </c>
      <c r="C293" t="s">
        <v>272</v>
      </c>
      <c r="D293">
        <v>9</v>
      </c>
      <c r="E293">
        <v>41</v>
      </c>
      <c r="F293">
        <v>4</v>
      </c>
      <c r="G293">
        <v>1</v>
      </c>
      <c r="H293">
        <v>19</v>
      </c>
      <c r="J293">
        <v>1</v>
      </c>
      <c r="K293">
        <v>5</v>
      </c>
      <c r="L293">
        <v>22</v>
      </c>
      <c r="M293">
        <v>12</v>
      </c>
      <c r="N293">
        <v>13</v>
      </c>
      <c r="O293">
        <v>14</v>
      </c>
      <c r="P293">
        <v>8</v>
      </c>
      <c r="Q293">
        <v>1</v>
      </c>
    </row>
    <row r="294" spans="1:18" x14ac:dyDescent="0.25">
      <c r="A294" t="s">
        <v>760</v>
      </c>
      <c r="B294" t="s">
        <v>43</v>
      </c>
      <c r="C294" t="s">
        <v>388</v>
      </c>
      <c r="D294">
        <v>13</v>
      </c>
      <c r="E294">
        <v>132</v>
      </c>
      <c r="F294">
        <v>156</v>
      </c>
      <c r="G294">
        <v>1</v>
      </c>
      <c r="H294">
        <v>54</v>
      </c>
      <c r="I294">
        <v>17</v>
      </c>
      <c r="J294">
        <v>1</v>
      </c>
      <c r="L294">
        <v>7</v>
      </c>
      <c r="M294">
        <v>10</v>
      </c>
      <c r="N294">
        <v>4</v>
      </c>
      <c r="O294">
        <v>9</v>
      </c>
      <c r="P294">
        <v>7</v>
      </c>
      <c r="Q294">
        <v>2</v>
      </c>
      <c r="R294">
        <v>4</v>
      </c>
    </row>
    <row r="295" spans="1:18" x14ac:dyDescent="0.25">
      <c r="A295" t="s">
        <v>917</v>
      </c>
      <c r="B295" t="s">
        <v>32</v>
      </c>
      <c r="C295" t="s">
        <v>286</v>
      </c>
      <c r="D295">
        <v>8</v>
      </c>
      <c r="E295">
        <v>27</v>
      </c>
      <c r="F295">
        <v>6</v>
      </c>
      <c r="H295">
        <v>7</v>
      </c>
      <c r="I295">
        <v>19</v>
      </c>
      <c r="L295">
        <v>4</v>
      </c>
      <c r="M295">
        <v>1</v>
      </c>
      <c r="N295">
        <v>1</v>
      </c>
      <c r="O295">
        <v>3</v>
      </c>
      <c r="P295">
        <v>4</v>
      </c>
      <c r="R295">
        <v>1</v>
      </c>
    </row>
    <row r="296" spans="1:18" x14ac:dyDescent="0.25">
      <c r="A296" t="s">
        <v>917</v>
      </c>
      <c r="B296" t="s">
        <v>946</v>
      </c>
      <c r="C296" t="s">
        <v>271</v>
      </c>
      <c r="D296">
        <v>2</v>
      </c>
      <c r="E296">
        <v>9</v>
      </c>
    </row>
    <row r="297" spans="1:18" x14ac:dyDescent="0.25">
      <c r="A297" t="s">
        <v>917</v>
      </c>
      <c r="B297" t="s">
        <v>55</v>
      </c>
      <c r="C297" t="s">
        <v>281</v>
      </c>
      <c r="E297">
        <v>8</v>
      </c>
      <c r="F297">
        <v>1</v>
      </c>
      <c r="H297">
        <v>1</v>
      </c>
    </row>
    <row r="298" spans="1:18" x14ac:dyDescent="0.25">
      <c r="A298" t="s">
        <v>1010</v>
      </c>
      <c r="B298" t="s">
        <v>243</v>
      </c>
      <c r="C298" t="s">
        <v>288</v>
      </c>
      <c r="D298">
        <v>46</v>
      </c>
      <c r="E298">
        <v>107</v>
      </c>
      <c r="F298">
        <v>331</v>
      </c>
      <c r="G298">
        <v>2</v>
      </c>
      <c r="H298">
        <v>73</v>
      </c>
      <c r="I298">
        <v>67</v>
      </c>
      <c r="K298">
        <v>4</v>
      </c>
      <c r="L298">
        <v>26</v>
      </c>
      <c r="M298">
        <v>8</v>
      </c>
      <c r="N298">
        <v>14</v>
      </c>
      <c r="O298">
        <v>11</v>
      </c>
      <c r="P298">
        <v>2</v>
      </c>
      <c r="Q298">
        <v>16</v>
      </c>
      <c r="R298">
        <v>3</v>
      </c>
    </row>
    <row r="299" spans="1:18" x14ac:dyDescent="0.25">
      <c r="A299" t="s">
        <v>1010</v>
      </c>
      <c r="B299" t="s">
        <v>59</v>
      </c>
      <c r="C299" t="s">
        <v>290</v>
      </c>
      <c r="D299">
        <v>6</v>
      </c>
      <c r="E299">
        <v>16</v>
      </c>
      <c r="F299">
        <v>17</v>
      </c>
      <c r="H299">
        <v>14</v>
      </c>
      <c r="I299">
        <v>3</v>
      </c>
      <c r="L299">
        <v>2</v>
      </c>
      <c r="M299">
        <v>3</v>
      </c>
      <c r="N299">
        <v>1</v>
      </c>
      <c r="O299">
        <v>2</v>
      </c>
      <c r="P299">
        <v>3</v>
      </c>
      <c r="Q299">
        <v>2</v>
      </c>
    </row>
    <row r="300" spans="1:18" x14ac:dyDescent="0.25">
      <c r="A300" t="s">
        <v>1061</v>
      </c>
      <c r="B300" t="s">
        <v>34</v>
      </c>
      <c r="C300" t="s">
        <v>287</v>
      </c>
      <c r="D300">
        <v>7</v>
      </c>
      <c r="E300">
        <v>41</v>
      </c>
      <c r="F300">
        <v>29</v>
      </c>
      <c r="G300">
        <v>8</v>
      </c>
      <c r="H300">
        <v>125</v>
      </c>
      <c r="I300">
        <v>102</v>
      </c>
      <c r="J300">
        <v>1</v>
      </c>
      <c r="K300">
        <v>1</v>
      </c>
      <c r="L300">
        <v>8</v>
      </c>
      <c r="M300">
        <v>10</v>
      </c>
      <c r="N300">
        <v>3</v>
      </c>
      <c r="O300">
        <v>13</v>
      </c>
      <c r="P300">
        <v>3</v>
      </c>
      <c r="Q300">
        <v>9</v>
      </c>
      <c r="R300">
        <v>19</v>
      </c>
    </row>
    <row r="301" spans="1:18" x14ac:dyDescent="0.25">
      <c r="A301" t="s">
        <v>1061</v>
      </c>
      <c r="B301" t="s">
        <v>42</v>
      </c>
      <c r="C301" t="s">
        <v>272</v>
      </c>
      <c r="D301">
        <v>6</v>
      </c>
      <c r="E301">
        <v>35</v>
      </c>
      <c r="F301">
        <v>3</v>
      </c>
      <c r="G301">
        <v>1</v>
      </c>
      <c r="H301">
        <v>17</v>
      </c>
      <c r="J301">
        <v>1</v>
      </c>
      <c r="K301">
        <v>1</v>
      </c>
      <c r="L301">
        <v>2</v>
      </c>
      <c r="M301">
        <v>4</v>
      </c>
      <c r="N301">
        <v>6</v>
      </c>
      <c r="O301">
        <v>3</v>
      </c>
      <c r="P301">
        <v>7</v>
      </c>
      <c r="Q301">
        <v>4</v>
      </c>
      <c r="R301">
        <v>1</v>
      </c>
    </row>
    <row r="302" spans="1:18" x14ac:dyDescent="0.25">
      <c r="A302" t="s">
        <v>1108</v>
      </c>
      <c r="B302" t="s">
        <v>49</v>
      </c>
      <c r="C302" t="s">
        <v>277</v>
      </c>
      <c r="D302">
        <v>3</v>
      </c>
      <c r="E302">
        <v>79</v>
      </c>
      <c r="F302">
        <v>11</v>
      </c>
      <c r="H302">
        <v>30</v>
      </c>
      <c r="I302">
        <v>25</v>
      </c>
      <c r="J302">
        <v>1</v>
      </c>
      <c r="K302">
        <v>1</v>
      </c>
      <c r="L302">
        <v>10</v>
      </c>
      <c r="M302">
        <v>4</v>
      </c>
      <c r="N302">
        <v>16</v>
      </c>
      <c r="O302">
        <v>11</v>
      </c>
      <c r="P302">
        <v>37</v>
      </c>
      <c r="Q302">
        <v>9</v>
      </c>
      <c r="R302">
        <v>21</v>
      </c>
    </row>
    <row r="303" spans="1:18" x14ac:dyDescent="0.25">
      <c r="A303" t="s">
        <v>1108</v>
      </c>
      <c r="B303" t="s">
        <v>52</v>
      </c>
      <c r="C303" t="s">
        <v>279</v>
      </c>
      <c r="D303">
        <v>25</v>
      </c>
      <c r="E303">
        <v>63</v>
      </c>
      <c r="F303">
        <v>17</v>
      </c>
      <c r="H303">
        <v>64</v>
      </c>
      <c r="I303">
        <v>31</v>
      </c>
      <c r="K303">
        <v>1</v>
      </c>
      <c r="L303">
        <v>6</v>
      </c>
      <c r="M303">
        <v>3</v>
      </c>
      <c r="N303">
        <v>3</v>
      </c>
      <c r="O303">
        <v>3</v>
      </c>
      <c r="Q303">
        <v>4</v>
      </c>
      <c r="R303">
        <v>9</v>
      </c>
    </row>
    <row r="304" spans="1:18" x14ac:dyDescent="0.25">
      <c r="A304" t="s">
        <v>1108</v>
      </c>
      <c r="B304" t="s">
        <v>53</v>
      </c>
      <c r="C304" t="s">
        <v>289</v>
      </c>
      <c r="D304">
        <v>2</v>
      </c>
      <c r="E304">
        <v>64</v>
      </c>
      <c r="F304">
        <v>22</v>
      </c>
      <c r="H304">
        <v>25</v>
      </c>
      <c r="I304">
        <v>25</v>
      </c>
      <c r="K304">
        <v>1</v>
      </c>
      <c r="L304">
        <v>6</v>
      </c>
      <c r="M304">
        <v>6</v>
      </c>
      <c r="N304">
        <v>15</v>
      </c>
      <c r="O304">
        <v>13</v>
      </c>
      <c r="P304">
        <v>6</v>
      </c>
      <c r="Q304">
        <v>8</v>
      </c>
      <c r="R304">
        <v>4</v>
      </c>
    </row>
    <row r="305" spans="1:18" x14ac:dyDescent="0.25">
      <c r="A305" t="s">
        <v>1108</v>
      </c>
      <c r="B305" t="s">
        <v>58</v>
      </c>
      <c r="C305" t="s">
        <v>284</v>
      </c>
      <c r="D305">
        <v>1</v>
      </c>
      <c r="E305">
        <v>34</v>
      </c>
      <c r="F305">
        <v>31</v>
      </c>
      <c r="H305">
        <v>19</v>
      </c>
      <c r="I305">
        <v>5</v>
      </c>
      <c r="L305">
        <v>1</v>
      </c>
      <c r="N305">
        <v>1</v>
      </c>
      <c r="O305">
        <v>1</v>
      </c>
      <c r="P305">
        <v>1</v>
      </c>
      <c r="R305">
        <v>1</v>
      </c>
    </row>
    <row r="306" spans="1:18" x14ac:dyDescent="0.25">
      <c r="A306" t="s">
        <v>1108</v>
      </c>
      <c r="B306" t="s">
        <v>60</v>
      </c>
      <c r="C306" t="s">
        <v>291</v>
      </c>
      <c r="D306">
        <v>7</v>
      </c>
      <c r="E306">
        <v>49</v>
      </c>
      <c r="F306">
        <v>38</v>
      </c>
      <c r="H306">
        <v>14</v>
      </c>
      <c r="I306">
        <v>10</v>
      </c>
      <c r="J306">
        <v>1</v>
      </c>
      <c r="K306">
        <v>1</v>
      </c>
      <c r="L306">
        <v>8</v>
      </c>
      <c r="M306">
        <v>10</v>
      </c>
      <c r="N306">
        <v>18</v>
      </c>
      <c r="O306">
        <v>15</v>
      </c>
      <c r="P306">
        <v>16</v>
      </c>
      <c r="Q306">
        <v>3</v>
      </c>
      <c r="R306">
        <v>4</v>
      </c>
    </row>
    <row r="307" spans="1:18" x14ac:dyDescent="0.25">
      <c r="A307" t="s">
        <v>760</v>
      </c>
      <c r="B307" t="s">
        <v>46</v>
      </c>
      <c r="C307" t="s">
        <v>275</v>
      </c>
      <c r="D307">
        <v>3</v>
      </c>
      <c r="E307">
        <v>18</v>
      </c>
      <c r="F307">
        <v>8</v>
      </c>
      <c r="H307">
        <v>5</v>
      </c>
      <c r="I307">
        <v>1</v>
      </c>
      <c r="L307">
        <v>6</v>
      </c>
      <c r="M307">
        <v>12</v>
      </c>
      <c r="N307">
        <v>5</v>
      </c>
      <c r="O307">
        <v>8</v>
      </c>
      <c r="Q307">
        <v>4</v>
      </c>
    </row>
    <row r="308" spans="1:18" x14ac:dyDescent="0.25">
      <c r="A308" t="s">
        <v>760</v>
      </c>
      <c r="B308" t="s">
        <v>58</v>
      </c>
      <c r="C308" t="s">
        <v>284</v>
      </c>
      <c r="D308">
        <v>5</v>
      </c>
      <c r="E308">
        <v>46</v>
      </c>
      <c r="F308">
        <v>87</v>
      </c>
      <c r="G308">
        <v>3</v>
      </c>
      <c r="H308">
        <v>25</v>
      </c>
      <c r="I308">
        <v>6</v>
      </c>
      <c r="L308">
        <v>3</v>
      </c>
      <c r="M308">
        <v>10</v>
      </c>
      <c r="N308">
        <v>6</v>
      </c>
      <c r="O308">
        <v>3</v>
      </c>
      <c r="P308">
        <v>3</v>
      </c>
      <c r="Q308">
        <v>4</v>
      </c>
    </row>
    <row r="309" spans="1:18" x14ac:dyDescent="0.25">
      <c r="A309" t="s">
        <v>917</v>
      </c>
      <c r="B309" t="s">
        <v>37</v>
      </c>
      <c r="C309" t="s">
        <v>293</v>
      </c>
      <c r="D309">
        <v>14</v>
      </c>
      <c r="E309">
        <v>34</v>
      </c>
      <c r="F309">
        <v>70</v>
      </c>
      <c r="G309">
        <v>1</v>
      </c>
      <c r="H309">
        <v>16</v>
      </c>
      <c r="I309">
        <v>5</v>
      </c>
      <c r="L309">
        <v>3</v>
      </c>
      <c r="M309">
        <v>4</v>
      </c>
      <c r="N309">
        <v>2</v>
      </c>
      <c r="O309">
        <v>1</v>
      </c>
      <c r="P309">
        <v>2</v>
      </c>
      <c r="Q309">
        <v>2</v>
      </c>
      <c r="R309">
        <v>1</v>
      </c>
    </row>
    <row r="310" spans="1:18" x14ac:dyDescent="0.25">
      <c r="A310" t="s">
        <v>917</v>
      </c>
      <c r="B310" t="s">
        <v>117</v>
      </c>
      <c r="C310" t="s">
        <v>921</v>
      </c>
      <c r="D310">
        <v>8</v>
      </c>
      <c r="E310">
        <v>108</v>
      </c>
      <c r="F310">
        <v>227</v>
      </c>
      <c r="G310">
        <v>7</v>
      </c>
      <c r="H310">
        <v>31</v>
      </c>
      <c r="I310">
        <v>4</v>
      </c>
      <c r="J310">
        <v>5</v>
      </c>
      <c r="K310">
        <v>1</v>
      </c>
      <c r="L310">
        <v>10</v>
      </c>
      <c r="M310">
        <v>7</v>
      </c>
      <c r="N310">
        <v>30</v>
      </c>
      <c r="O310">
        <v>13</v>
      </c>
      <c r="P310">
        <v>8</v>
      </c>
      <c r="Q310">
        <v>6</v>
      </c>
      <c r="R310">
        <v>14</v>
      </c>
    </row>
    <row r="311" spans="1:18" x14ac:dyDescent="0.25">
      <c r="A311" t="s">
        <v>1010</v>
      </c>
      <c r="B311" t="s">
        <v>35</v>
      </c>
      <c r="C311" t="s">
        <v>266</v>
      </c>
      <c r="D311">
        <v>1</v>
      </c>
      <c r="E311">
        <v>19</v>
      </c>
      <c r="F311">
        <v>5</v>
      </c>
      <c r="I311">
        <v>4</v>
      </c>
      <c r="L311">
        <v>2</v>
      </c>
      <c r="M311">
        <v>1</v>
      </c>
      <c r="N311">
        <v>5</v>
      </c>
      <c r="O311">
        <v>1</v>
      </c>
      <c r="P311">
        <v>1</v>
      </c>
      <c r="R311">
        <v>2</v>
      </c>
    </row>
    <row r="312" spans="1:18" x14ac:dyDescent="0.25">
      <c r="A312" t="s">
        <v>1010</v>
      </c>
      <c r="B312" t="s">
        <v>38</v>
      </c>
      <c r="C312" t="s">
        <v>268</v>
      </c>
      <c r="D312">
        <v>2</v>
      </c>
      <c r="E312">
        <v>53</v>
      </c>
      <c r="F312">
        <v>4</v>
      </c>
      <c r="H312">
        <v>10</v>
      </c>
      <c r="I312">
        <v>8</v>
      </c>
      <c r="K312">
        <v>1</v>
      </c>
      <c r="L312">
        <v>3</v>
      </c>
      <c r="M312">
        <v>1</v>
      </c>
      <c r="N312">
        <v>5</v>
      </c>
      <c r="O312">
        <v>3</v>
      </c>
      <c r="P312">
        <v>8</v>
      </c>
      <c r="Q312">
        <v>7</v>
      </c>
      <c r="R312">
        <v>5</v>
      </c>
    </row>
    <row r="313" spans="1:18" x14ac:dyDescent="0.25">
      <c r="A313" t="s">
        <v>1010</v>
      </c>
      <c r="B313" t="s">
        <v>40</v>
      </c>
      <c r="C313" t="s">
        <v>269</v>
      </c>
      <c r="D313">
        <v>2</v>
      </c>
      <c r="E313">
        <v>18</v>
      </c>
      <c r="F313">
        <v>8</v>
      </c>
      <c r="H313">
        <v>14</v>
      </c>
      <c r="I313">
        <v>10</v>
      </c>
      <c r="K313">
        <v>1</v>
      </c>
      <c r="L313">
        <v>11</v>
      </c>
      <c r="M313">
        <v>10</v>
      </c>
      <c r="N313">
        <v>1</v>
      </c>
      <c r="O313">
        <v>13</v>
      </c>
      <c r="P313">
        <v>5</v>
      </c>
      <c r="Q313">
        <v>9</v>
      </c>
      <c r="R313">
        <v>4</v>
      </c>
    </row>
    <row r="314" spans="1:18" x14ac:dyDescent="0.25">
      <c r="A314" t="s">
        <v>1010</v>
      </c>
      <c r="B314" t="s">
        <v>42</v>
      </c>
      <c r="C314" t="s">
        <v>272</v>
      </c>
      <c r="D314">
        <v>8</v>
      </c>
      <c r="E314">
        <v>38</v>
      </c>
      <c r="F314">
        <v>4</v>
      </c>
      <c r="G314">
        <v>1</v>
      </c>
      <c r="H314">
        <v>17</v>
      </c>
      <c r="K314">
        <v>1</v>
      </c>
      <c r="L314">
        <v>4</v>
      </c>
      <c r="M314">
        <v>8</v>
      </c>
      <c r="N314">
        <v>7</v>
      </c>
      <c r="O314">
        <v>11</v>
      </c>
      <c r="P314">
        <v>9</v>
      </c>
      <c r="Q314">
        <v>1</v>
      </c>
      <c r="R314">
        <v>3</v>
      </c>
    </row>
    <row r="315" spans="1:18" x14ac:dyDescent="0.25">
      <c r="A315" t="s">
        <v>1010</v>
      </c>
      <c r="B315" t="s">
        <v>53</v>
      </c>
      <c r="C315" t="s">
        <v>289</v>
      </c>
      <c r="D315">
        <v>2</v>
      </c>
      <c r="E315">
        <v>37</v>
      </c>
      <c r="F315">
        <v>5</v>
      </c>
      <c r="H315">
        <v>25</v>
      </c>
      <c r="I315">
        <v>6</v>
      </c>
      <c r="L315">
        <v>2</v>
      </c>
      <c r="M315">
        <v>6</v>
      </c>
      <c r="N315">
        <v>3</v>
      </c>
      <c r="O315">
        <v>2</v>
      </c>
      <c r="P315">
        <v>7</v>
      </c>
    </row>
    <row r="316" spans="1:18" x14ac:dyDescent="0.25">
      <c r="A316" t="s">
        <v>1061</v>
      </c>
      <c r="B316" t="s">
        <v>32</v>
      </c>
      <c r="C316" t="s">
        <v>286</v>
      </c>
      <c r="D316">
        <v>20</v>
      </c>
      <c r="E316">
        <v>101</v>
      </c>
      <c r="F316">
        <v>28</v>
      </c>
      <c r="G316">
        <v>1</v>
      </c>
      <c r="H316">
        <v>61</v>
      </c>
      <c r="I316">
        <v>101</v>
      </c>
      <c r="J316">
        <v>1</v>
      </c>
      <c r="K316">
        <v>7</v>
      </c>
      <c r="L316">
        <v>10</v>
      </c>
      <c r="M316">
        <v>21</v>
      </c>
      <c r="N316">
        <v>21</v>
      </c>
      <c r="O316">
        <v>15</v>
      </c>
      <c r="P316">
        <v>15</v>
      </c>
      <c r="Q316">
        <v>11</v>
      </c>
      <c r="R316">
        <v>16</v>
      </c>
    </row>
    <row r="317" spans="1:18" x14ac:dyDescent="0.25">
      <c r="A317" t="s">
        <v>1061</v>
      </c>
      <c r="B317" t="s">
        <v>45</v>
      </c>
      <c r="C317" t="s">
        <v>274</v>
      </c>
      <c r="D317">
        <v>4</v>
      </c>
      <c r="E317">
        <v>36</v>
      </c>
      <c r="F317">
        <v>9</v>
      </c>
      <c r="H317">
        <v>3</v>
      </c>
      <c r="I317">
        <v>5</v>
      </c>
      <c r="L317">
        <v>1</v>
      </c>
      <c r="M317">
        <v>2</v>
      </c>
      <c r="N317">
        <v>7</v>
      </c>
      <c r="O317">
        <v>5</v>
      </c>
      <c r="R317">
        <v>1</v>
      </c>
    </row>
    <row r="318" spans="1:18" x14ac:dyDescent="0.25">
      <c r="A318" t="s">
        <v>1061</v>
      </c>
      <c r="B318" t="s">
        <v>47</v>
      </c>
      <c r="C318" t="s">
        <v>276</v>
      </c>
      <c r="D318">
        <v>6</v>
      </c>
      <c r="E318">
        <v>36</v>
      </c>
      <c r="F318">
        <v>10</v>
      </c>
      <c r="G318">
        <v>2</v>
      </c>
      <c r="H318">
        <v>25</v>
      </c>
      <c r="I318">
        <v>41</v>
      </c>
      <c r="L318">
        <v>2</v>
      </c>
      <c r="M318">
        <v>8</v>
      </c>
      <c r="N318">
        <v>10</v>
      </c>
      <c r="O318">
        <v>1</v>
      </c>
      <c r="P318">
        <v>8</v>
      </c>
      <c r="Q318">
        <v>2</v>
      </c>
    </row>
    <row r="319" spans="1:18" x14ac:dyDescent="0.25">
      <c r="A319" t="s">
        <v>1061</v>
      </c>
      <c r="B319" t="s">
        <v>54</v>
      </c>
      <c r="C319" t="s">
        <v>280</v>
      </c>
      <c r="D319">
        <v>17</v>
      </c>
      <c r="E319">
        <v>40</v>
      </c>
      <c r="F319">
        <v>30</v>
      </c>
      <c r="H319">
        <v>12</v>
      </c>
      <c r="I319">
        <v>18</v>
      </c>
      <c r="L319">
        <v>3</v>
      </c>
      <c r="M319">
        <v>4</v>
      </c>
      <c r="N319">
        <v>9</v>
      </c>
      <c r="O319">
        <v>7</v>
      </c>
      <c r="P319">
        <v>5</v>
      </c>
      <c r="Q319">
        <v>3</v>
      </c>
      <c r="R319">
        <v>1</v>
      </c>
    </row>
    <row r="320" spans="1:18" x14ac:dyDescent="0.25">
      <c r="A320" t="s">
        <v>1108</v>
      </c>
      <c r="B320" t="s">
        <v>35</v>
      </c>
      <c r="C320" t="s">
        <v>266</v>
      </c>
      <c r="E320">
        <v>22</v>
      </c>
      <c r="H320">
        <v>1</v>
      </c>
      <c r="N320">
        <v>1</v>
      </c>
      <c r="O320">
        <v>1</v>
      </c>
    </row>
    <row r="321" spans="1:18" x14ac:dyDescent="0.25">
      <c r="A321" t="s">
        <v>1108</v>
      </c>
      <c r="B321" t="s">
        <v>38</v>
      </c>
      <c r="C321" t="s">
        <v>268</v>
      </c>
      <c r="D321">
        <v>8</v>
      </c>
      <c r="E321">
        <v>54</v>
      </c>
      <c r="F321">
        <v>21</v>
      </c>
      <c r="H321">
        <v>14</v>
      </c>
      <c r="I321">
        <v>31</v>
      </c>
      <c r="L321">
        <v>3</v>
      </c>
      <c r="M321">
        <v>2</v>
      </c>
      <c r="N321">
        <v>22</v>
      </c>
      <c r="O321">
        <v>1</v>
      </c>
      <c r="P321">
        <v>20</v>
      </c>
      <c r="Q321">
        <v>4</v>
      </c>
      <c r="R321">
        <v>3</v>
      </c>
    </row>
    <row r="322" spans="1:18" x14ac:dyDescent="0.25">
      <c r="A322" t="s">
        <v>1108</v>
      </c>
      <c r="B322" t="s">
        <v>43</v>
      </c>
      <c r="C322" t="s">
        <v>388</v>
      </c>
      <c r="D322">
        <v>7</v>
      </c>
      <c r="E322">
        <v>113</v>
      </c>
      <c r="F322">
        <v>219</v>
      </c>
      <c r="H322">
        <v>17</v>
      </c>
      <c r="I322">
        <v>12</v>
      </c>
      <c r="L322">
        <v>1</v>
      </c>
      <c r="N322">
        <v>2</v>
      </c>
      <c r="O322">
        <v>2</v>
      </c>
      <c r="P322">
        <v>2</v>
      </c>
    </row>
    <row r="323" spans="1:18" x14ac:dyDescent="0.25">
      <c r="A323" t="s">
        <v>1108</v>
      </c>
      <c r="B323" t="s">
        <v>45</v>
      </c>
      <c r="C323" t="s">
        <v>274</v>
      </c>
      <c r="D323">
        <v>9</v>
      </c>
      <c r="E323">
        <v>29</v>
      </c>
      <c r="F323">
        <v>6</v>
      </c>
      <c r="H323">
        <v>6</v>
      </c>
      <c r="I323">
        <v>12</v>
      </c>
      <c r="K323">
        <v>2</v>
      </c>
      <c r="L323">
        <v>2</v>
      </c>
      <c r="M323">
        <v>1</v>
      </c>
      <c r="N323">
        <v>4</v>
      </c>
      <c r="O323">
        <v>6</v>
      </c>
      <c r="P323">
        <v>5</v>
      </c>
      <c r="Q323">
        <v>3</v>
      </c>
      <c r="R323">
        <v>5</v>
      </c>
    </row>
    <row r="324" spans="1:18" x14ac:dyDescent="0.25">
      <c r="A324" t="s">
        <v>1108</v>
      </c>
      <c r="B324" t="s">
        <v>59</v>
      </c>
      <c r="C324" t="s">
        <v>290</v>
      </c>
      <c r="D324">
        <v>8</v>
      </c>
      <c r="E324">
        <v>17</v>
      </c>
      <c r="F324">
        <v>18</v>
      </c>
      <c r="H324">
        <v>19</v>
      </c>
      <c r="I324">
        <v>40</v>
      </c>
      <c r="K324">
        <v>1</v>
      </c>
      <c r="L324">
        <v>1</v>
      </c>
      <c r="M324">
        <v>1</v>
      </c>
      <c r="N324">
        <v>3</v>
      </c>
      <c r="O324">
        <v>2</v>
      </c>
      <c r="P324">
        <v>14</v>
      </c>
      <c r="Q324">
        <v>3</v>
      </c>
      <c r="R324">
        <v>2</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abColor theme="3" tint="0.39997558519241921"/>
  </sheetPr>
  <dimension ref="A1:I19"/>
  <sheetViews>
    <sheetView workbookViewId="0">
      <selection activeCell="D9" sqref="D9"/>
    </sheetView>
  </sheetViews>
  <sheetFormatPr defaultRowHeight="15" x14ac:dyDescent="0.25"/>
  <cols>
    <col min="1" max="1" width="12.42578125" bestFit="1" customWidth="1"/>
    <col min="2" max="2" width="13.140625" bestFit="1" customWidth="1"/>
    <col min="3" max="3" width="14.42578125" bestFit="1" customWidth="1"/>
    <col min="4" max="4" width="13.140625" bestFit="1" customWidth="1"/>
    <col min="5" max="5" width="14.28515625" bestFit="1" customWidth="1"/>
    <col min="6" max="6" width="23" bestFit="1" customWidth="1"/>
    <col min="7" max="7" width="24.140625" bestFit="1" customWidth="1"/>
    <col min="8" max="8" width="21.5703125" bestFit="1" customWidth="1"/>
    <col min="9" max="10" width="22.7109375" bestFit="1" customWidth="1"/>
    <col min="11" max="16" width="3.85546875" bestFit="1" customWidth="1"/>
    <col min="17" max="17" width="14.42578125" bestFit="1" customWidth="1"/>
    <col min="18" max="20" width="1.85546875" bestFit="1" customWidth="1"/>
    <col min="21" max="21" width="1.7109375" bestFit="1" customWidth="1"/>
    <col min="22" max="22" width="2.140625" bestFit="1" customWidth="1"/>
    <col min="23" max="23" width="1.42578125" bestFit="1" customWidth="1"/>
    <col min="24" max="24" width="1.85546875" bestFit="1" customWidth="1"/>
    <col min="25" max="25" width="1.5703125" bestFit="1" customWidth="1"/>
    <col min="26" max="26" width="2.5703125" bestFit="1" customWidth="1"/>
    <col min="27" max="27" width="2.140625" bestFit="1" customWidth="1"/>
    <col min="28" max="29" width="1.85546875" bestFit="1" customWidth="1"/>
    <col min="30" max="30" width="1.7109375" bestFit="1" customWidth="1"/>
    <col min="31" max="31" width="1.85546875" bestFit="1" customWidth="1"/>
    <col min="32" max="32" width="13.140625" bestFit="1" customWidth="1"/>
    <col min="33" max="33" width="2.85546875" bestFit="1" customWidth="1"/>
    <col min="34" max="34" width="3.85546875" bestFit="1" customWidth="1"/>
    <col min="35" max="35" width="1.85546875" bestFit="1" customWidth="1"/>
    <col min="36" max="37" width="2.85546875" bestFit="1" customWidth="1"/>
    <col min="38" max="38" width="1.42578125" bestFit="1" customWidth="1"/>
    <col min="39" max="39" width="1.85546875" bestFit="1" customWidth="1"/>
    <col min="40" max="40" width="2.85546875" bestFit="1" customWidth="1"/>
    <col min="41" max="41" width="2.5703125" bestFit="1" customWidth="1"/>
    <col min="42" max="42" width="2.140625" bestFit="1" customWidth="1"/>
    <col min="43" max="46" width="1.85546875" bestFit="1" customWidth="1"/>
    <col min="47" max="47" width="14.28515625" bestFit="1" customWidth="1"/>
    <col min="48" max="50" width="1.85546875" bestFit="1" customWidth="1"/>
    <col min="51" max="51" width="1.7109375" bestFit="1" customWidth="1"/>
    <col min="52" max="52" width="2.140625" bestFit="1" customWidth="1"/>
    <col min="53" max="53" width="1.42578125" bestFit="1" customWidth="1"/>
    <col min="54" max="54" width="1.85546875" bestFit="1" customWidth="1"/>
    <col min="55" max="55" width="1.5703125" bestFit="1" customWidth="1"/>
    <col min="56" max="56" width="2.5703125" bestFit="1" customWidth="1"/>
    <col min="57" max="57" width="2.140625" bestFit="1" customWidth="1"/>
    <col min="58" max="59" width="1.85546875" bestFit="1" customWidth="1"/>
    <col min="60" max="60" width="1.7109375" bestFit="1" customWidth="1"/>
    <col min="61" max="61" width="1.85546875" bestFit="1" customWidth="1"/>
    <col min="62" max="62" width="23" bestFit="1" customWidth="1"/>
    <col min="63" max="65" width="1.85546875" bestFit="1" customWidth="1"/>
    <col min="66" max="66" width="1.7109375" bestFit="1" customWidth="1"/>
    <col min="67" max="67" width="2.140625" bestFit="1" customWidth="1"/>
    <col min="68" max="68" width="1.42578125" bestFit="1" customWidth="1"/>
    <col min="69" max="69" width="1.85546875" bestFit="1" customWidth="1"/>
    <col min="70" max="70" width="1.5703125" bestFit="1" customWidth="1"/>
    <col min="71" max="71" width="2.5703125" bestFit="1" customWidth="1"/>
    <col min="72" max="72" width="2.140625" bestFit="1" customWidth="1"/>
    <col min="73" max="74" width="1.85546875" bestFit="1" customWidth="1"/>
    <col min="75" max="75" width="1.7109375" bestFit="1" customWidth="1"/>
    <col min="76" max="76" width="1.85546875" bestFit="1" customWidth="1"/>
    <col min="77" max="77" width="24.140625" bestFit="1" customWidth="1"/>
    <col min="78" max="80" width="1.85546875" bestFit="1" customWidth="1"/>
    <col min="81" max="81" width="1.7109375" bestFit="1" customWidth="1"/>
    <col min="82" max="82" width="2.140625" bestFit="1" customWidth="1"/>
    <col min="83" max="83" width="1.42578125" bestFit="1" customWidth="1"/>
    <col min="84" max="84" width="1.85546875" bestFit="1" customWidth="1"/>
    <col min="85" max="85" width="1.5703125" bestFit="1" customWidth="1"/>
    <col min="86" max="86" width="2.5703125" bestFit="1" customWidth="1"/>
    <col min="87" max="87" width="2.140625" bestFit="1" customWidth="1"/>
    <col min="88" max="89" width="1.85546875" bestFit="1" customWidth="1"/>
    <col min="90" max="90" width="1.7109375" bestFit="1" customWidth="1"/>
    <col min="91" max="91" width="1.85546875" bestFit="1" customWidth="1"/>
    <col min="92" max="92" width="21.5703125" bestFit="1" customWidth="1"/>
    <col min="93" max="95" width="1.85546875" bestFit="1" customWidth="1"/>
    <col min="96" max="96" width="1.7109375" bestFit="1" customWidth="1"/>
    <col min="97" max="97" width="2.140625" bestFit="1" customWidth="1"/>
    <col min="98" max="98" width="1.42578125" bestFit="1" customWidth="1"/>
    <col min="99" max="100" width="1.85546875" bestFit="1" customWidth="1"/>
    <col min="101" max="101" width="2.5703125" bestFit="1" customWidth="1"/>
    <col min="102" max="102" width="2.140625" bestFit="1" customWidth="1"/>
    <col min="103" max="104" width="1.85546875" bestFit="1" customWidth="1"/>
    <col min="105" max="105" width="1.7109375" bestFit="1" customWidth="1"/>
    <col min="106" max="106" width="1.85546875" bestFit="1" customWidth="1"/>
    <col min="107" max="107" width="22.7109375" bestFit="1" customWidth="1"/>
    <col min="108" max="110" width="1.85546875" bestFit="1" customWidth="1"/>
    <col min="111" max="111" width="1.7109375" bestFit="1" customWidth="1"/>
    <col min="112" max="112" width="2.140625" bestFit="1" customWidth="1"/>
    <col min="113" max="113" width="1.42578125" bestFit="1" customWidth="1"/>
    <col min="114" max="114" width="1.85546875" bestFit="1" customWidth="1"/>
    <col min="115" max="115" width="1.5703125" bestFit="1" customWidth="1"/>
    <col min="116" max="116" width="2.5703125" bestFit="1" customWidth="1"/>
    <col min="117" max="117" width="2.140625" bestFit="1" customWidth="1"/>
    <col min="118" max="119" width="1.85546875" bestFit="1" customWidth="1"/>
    <col min="120" max="120" width="1.7109375" bestFit="1" customWidth="1"/>
    <col min="121" max="121" width="1.85546875" bestFit="1" customWidth="1"/>
    <col min="122" max="122" width="18" bestFit="1" customWidth="1"/>
    <col min="123" max="123" width="19.140625" bestFit="1" customWidth="1"/>
    <col min="124" max="124" width="17.85546875" bestFit="1" customWidth="1"/>
    <col min="125" max="125" width="19.140625" bestFit="1" customWidth="1"/>
    <col min="126" max="126" width="27.85546875" bestFit="1" customWidth="1"/>
    <col min="127" max="127" width="29" bestFit="1" customWidth="1"/>
    <col min="128" max="128" width="26.42578125" bestFit="1" customWidth="1"/>
    <col min="129" max="129" width="27.5703125" bestFit="1" customWidth="1"/>
  </cols>
  <sheetData>
    <row r="1" spans="1:9" x14ac:dyDescent="0.25">
      <c r="A1" s="394" t="s">
        <v>1</v>
      </c>
      <c r="B1" t="s">
        <v>1108</v>
      </c>
    </row>
    <row r="3" spans="1:9" x14ac:dyDescent="0.25">
      <c r="A3" s="394" t="s">
        <v>231</v>
      </c>
      <c r="B3" t="s">
        <v>404</v>
      </c>
      <c r="C3" t="s">
        <v>405</v>
      </c>
      <c r="D3" t="s">
        <v>406</v>
      </c>
      <c r="E3" t="s">
        <v>407</v>
      </c>
      <c r="F3" t="s">
        <v>408</v>
      </c>
      <c r="G3" t="s">
        <v>410</v>
      </c>
      <c r="H3" t="s">
        <v>409</v>
      </c>
      <c r="I3" t="s">
        <v>411</v>
      </c>
    </row>
    <row r="4" spans="1:9" x14ac:dyDescent="0.25">
      <c r="A4" s="395" t="s">
        <v>389</v>
      </c>
      <c r="B4">
        <v>267</v>
      </c>
      <c r="C4">
        <v>1896.25</v>
      </c>
      <c r="D4">
        <v>20</v>
      </c>
      <c r="E4">
        <v>278.25</v>
      </c>
    </row>
    <row r="5" spans="1:9" x14ac:dyDescent="0.25">
      <c r="A5" s="395" t="s">
        <v>390</v>
      </c>
      <c r="B5">
        <v>1578</v>
      </c>
      <c r="C5">
        <v>9945.75</v>
      </c>
      <c r="D5">
        <v>32</v>
      </c>
      <c r="E5">
        <v>384.25</v>
      </c>
      <c r="H5">
        <v>1</v>
      </c>
      <c r="I5">
        <v>57.25</v>
      </c>
    </row>
    <row r="6" spans="1:9" x14ac:dyDescent="0.25">
      <c r="A6" s="395" t="s">
        <v>391</v>
      </c>
      <c r="B6">
        <v>1765</v>
      </c>
      <c r="C6">
        <v>7900.75</v>
      </c>
      <c r="D6">
        <v>62</v>
      </c>
      <c r="E6">
        <v>473.5</v>
      </c>
      <c r="F6">
        <v>1</v>
      </c>
      <c r="G6">
        <v>30.25</v>
      </c>
      <c r="H6">
        <v>1</v>
      </c>
      <c r="I6">
        <v>4</v>
      </c>
    </row>
    <row r="7" spans="1:9" x14ac:dyDescent="0.25">
      <c r="A7" s="395" t="s">
        <v>392</v>
      </c>
      <c r="B7">
        <v>48</v>
      </c>
      <c r="C7">
        <v>313.25</v>
      </c>
      <c r="D7">
        <v>3</v>
      </c>
      <c r="E7">
        <v>27.75</v>
      </c>
    </row>
    <row r="8" spans="1:9" x14ac:dyDescent="0.25">
      <c r="A8" s="395" t="s">
        <v>393</v>
      </c>
      <c r="B8">
        <v>1020</v>
      </c>
      <c r="C8">
        <v>6979.5</v>
      </c>
      <c r="D8">
        <v>90</v>
      </c>
      <c r="E8">
        <v>1630.75</v>
      </c>
      <c r="F8">
        <v>2</v>
      </c>
      <c r="G8">
        <v>140.25</v>
      </c>
      <c r="H8">
        <v>4</v>
      </c>
      <c r="I8">
        <v>143.75</v>
      </c>
    </row>
    <row r="9" spans="1:9" x14ac:dyDescent="0.25">
      <c r="A9" s="395" t="s">
        <v>394</v>
      </c>
      <c r="B9">
        <v>1212</v>
      </c>
      <c r="C9">
        <v>6995.25</v>
      </c>
      <c r="D9">
        <v>44</v>
      </c>
      <c r="E9">
        <v>503</v>
      </c>
      <c r="F9">
        <v>1</v>
      </c>
      <c r="G9">
        <v>19.25</v>
      </c>
      <c r="H9">
        <v>1</v>
      </c>
      <c r="I9">
        <v>78</v>
      </c>
    </row>
    <row r="10" spans="1:9" x14ac:dyDescent="0.25">
      <c r="A10" s="395" t="s">
        <v>395</v>
      </c>
      <c r="B10">
        <v>11</v>
      </c>
      <c r="C10">
        <v>69</v>
      </c>
    </row>
    <row r="11" spans="1:9" x14ac:dyDescent="0.25">
      <c r="A11" s="395" t="s">
        <v>396</v>
      </c>
      <c r="B11">
        <v>25</v>
      </c>
      <c r="C11">
        <v>143.25</v>
      </c>
    </row>
    <row r="12" spans="1:9" x14ac:dyDescent="0.25">
      <c r="A12" s="395" t="s">
        <v>397</v>
      </c>
      <c r="B12">
        <v>183</v>
      </c>
      <c r="C12">
        <v>1112.5</v>
      </c>
      <c r="D12">
        <v>22</v>
      </c>
      <c r="E12">
        <v>249</v>
      </c>
      <c r="H12">
        <v>2</v>
      </c>
      <c r="I12">
        <v>7.25</v>
      </c>
    </row>
    <row r="13" spans="1:9" x14ac:dyDescent="0.25">
      <c r="A13" s="395" t="s">
        <v>398</v>
      </c>
      <c r="B13">
        <v>157</v>
      </c>
      <c r="C13">
        <v>1092.5</v>
      </c>
      <c r="D13">
        <v>2</v>
      </c>
      <c r="E13">
        <v>21.25</v>
      </c>
    </row>
    <row r="14" spans="1:9" x14ac:dyDescent="0.25">
      <c r="A14" s="395" t="s">
        <v>399</v>
      </c>
      <c r="B14">
        <v>293</v>
      </c>
      <c r="C14">
        <v>1643.5</v>
      </c>
      <c r="D14">
        <v>8</v>
      </c>
      <c r="E14">
        <v>109</v>
      </c>
      <c r="F14">
        <v>1</v>
      </c>
      <c r="G14">
        <v>25</v>
      </c>
      <c r="H14">
        <v>2</v>
      </c>
    </row>
    <row r="15" spans="1:9" x14ac:dyDescent="0.25">
      <c r="A15" s="395" t="s">
        <v>400</v>
      </c>
      <c r="B15">
        <v>170</v>
      </c>
      <c r="C15">
        <v>1127.25</v>
      </c>
      <c r="D15">
        <v>2</v>
      </c>
      <c r="E15">
        <v>37.25</v>
      </c>
      <c r="H15">
        <v>1</v>
      </c>
    </row>
    <row r="16" spans="1:9" x14ac:dyDescent="0.25">
      <c r="A16" s="395" t="s">
        <v>401</v>
      </c>
      <c r="B16">
        <v>220</v>
      </c>
      <c r="C16">
        <v>1402</v>
      </c>
      <c r="D16">
        <v>2</v>
      </c>
      <c r="E16">
        <v>19.25</v>
      </c>
    </row>
    <row r="17" spans="1:9" x14ac:dyDescent="0.25">
      <c r="A17" s="395" t="s">
        <v>402</v>
      </c>
      <c r="B17">
        <v>249</v>
      </c>
      <c r="C17">
        <v>1198</v>
      </c>
    </row>
    <row r="18" spans="1:9" x14ac:dyDescent="0.25">
      <c r="A18" s="395" t="s">
        <v>403</v>
      </c>
      <c r="B18">
        <v>164</v>
      </c>
      <c r="C18">
        <v>1001.5</v>
      </c>
      <c r="D18">
        <v>5</v>
      </c>
      <c r="E18">
        <v>97.75</v>
      </c>
    </row>
    <row r="19" spans="1:9" x14ac:dyDescent="0.25">
      <c r="A19" s="395" t="s">
        <v>236</v>
      </c>
      <c r="B19">
        <v>7362</v>
      </c>
      <c r="C19">
        <v>42820.25</v>
      </c>
      <c r="D19">
        <v>292</v>
      </c>
      <c r="E19">
        <v>3831</v>
      </c>
      <c r="F19">
        <v>5</v>
      </c>
      <c r="G19">
        <v>214.75</v>
      </c>
      <c r="H19">
        <v>12</v>
      </c>
      <c r="I19">
        <v>290.25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tabColor theme="3" tint="0.39997558519241921"/>
  </sheetPr>
  <dimension ref="A1:K151"/>
  <sheetViews>
    <sheetView topLeftCell="A50" workbookViewId="0">
      <selection activeCell="D59" sqref="D59"/>
    </sheetView>
  </sheetViews>
  <sheetFormatPr defaultRowHeight="15" x14ac:dyDescent="0.25"/>
  <cols>
    <col min="1" max="1" width="7.42578125" bestFit="1" customWidth="1"/>
    <col min="2" max="2" width="7" bestFit="1" customWidth="1"/>
    <col min="3" max="3" width="27.42578125" bestFit="1" customWidth="1"/>
    <col min="4" max="4" width="9.140625" bestFit="1" customWidth="1"/>
    <col min="5" max="5" width="10.28515625" bestFit="1" customWidth="1"/>
    <col min="6" max="6" width="9" bestFit="1" customWidth="1"/>
    <col min="7" max="7" width="10.140625" bestFit="1" customWidth="1"/>
    <col min="8" max="8" width="18.85546875" bestFit="1" customWidth="1"/>
    <col min="9" max="9" width="20.140625" bestFit="1" customWidth="1"/>
    <col min="10" max="10" width="17.42578125" bestFit="1" customWidth="1"/>
    <col min="11" max="11" width="18.5703125" bestFit="1" customWidth="1"/>
  </cols>
  <sheetData>
    <row r="1" spans="1:11" x14ac:dyDescent="0.25">
      <c r="A1" t="s">
        <v>313</v>
      </c>
      <c r="B1" t="s">
        <v>956</v>
      </c>
      <c r="C1" t="s">
        <v>160</v>
      </c>
      <c r="D1" t="s">
        <v>948</v>
      </c>
      <c r="E1" t="s">
        <v>949</v>
      </c>
      <c r="F1" t="s">
        <v>950</v>
      </c>
      <c r="G1" t="s">
        <v>951</v>
      </c>
      <c r="H1" t="s">
        <v>952</v>
      </c>
      <c r="I1" t="s">
        <v>953</v>
      </c>
      <c r="J1" t="s">
        <v>954</v>
      </c>
      <c r="K1" t="s">
        <v>955</v>
      </c>
    </row>
    <row r="2" spans="1:11" x14ac:dyDescent="0.25">
      <c r="A2" t="s">
        <v>191</v>
      </c>
      <c r="B2" t="s">
        <v>389</v>
      </c>
      <c r="C2" t="s">
        <v>133</v>
      </c>
      <c r="D2">
        <v>330</v>
      </c>
      <c r="E2">
        <v>2088.25</v>
      </c>
      <c r="F2">
        <v>4</v>
      </c>
      <c r="G2">
        <v>37.5</v>
      </c>
    </row>
    <row r="3" spans="1:11" x14ac:dyDescent="0.25">
      <c r="A3" t="s">
        <v>191</v>
      </c>
      <c r="B3" t="s">
        <v>390</v>
      </c>
      <c r="C3" t="s">
        <v>134</v>
      </c>
      <c r="D3">
        <v>1456</v>
      </c>
      <c r="E3">
        <v>8821.25</v>
      </c>
      <c r="F3">
        <v>50</v>
      </c>
      <c r="G3">
        <v>482.25</v>
      </c>
      <c r="H3">
        <v>1</v>
      </c>
      <c r="I3">
        <v>31</v>
      </c>
    </row>
    <row r="4" spans="1:11" x14ac:dyDescent="0.25">
      <c r="A4" t="s">
        <v>191</v>
      </c>
      <c r="B4" t="s">
        <v>391</v>
      </c>
      <c r="C4" t="s">
        <v>150</v>
      </c>
      <c r="D4">
        <v>1871</v>
      </c>
      <c r="E4">
        <v>7024.75</v>
      </c>
      <c r="F4">
        <v>76</v>
      </c>
      <c r="G4">
        <v>361.75</v>
      </c>
      <c r="H4">
        <v>2</v>
      </c>
      <c r="I4">
        <v>19.25</v>
      </c>
      <c r="J4">
        <v>1</v>
      </c>
      <c r="K4">
        <v>7.5</v>
      </c>
    </row>
    <row r="5" spans="1:11" x14ac:dyDescent="0.25">
      <c r="A5" t="s">
        <v>191</v>
      </c>
      <c r="B5" t="s">
        <v>392</v>
      </c>
      <c r="C5" t="s">
        <v>135</v>
      </c>
      <c r="D5">
        <v>127</v>
      </c>
      <c r="E5">
        <v>588.75</v>
      </c>
      <c r="F5">
        <v>11</v>
      </c>
      <c r="G5">
        <v>66.25</v>
      </c>
      <c r="J5">
        <v>1</v>
      </c>
      <c r="K5">
        <v>5.5</v>
      </c>
    </row>
    <row r="6" spans="1:11" x14ac:dyDescent="0.25">
      <c r="A6" t="s">
        <v>191</v>
      </c>
      <c r="B6" t="s">
        <v>393</v>
      </c>
      <c r="C6" t="s">
        <v>136</v>
      </c>
      <c r="D6">
        <v>1022</v>
      </c>
      <c r="E6">
        <v>6361.5</v>
      </c>
      <c r="F6">
        <v>87</v>
      </c>
      <c r="G6">
        <v>868.25</v>
      </c>
      <c r="H6">
        <v>6</v>
      </c>
      <c r="I6">
        <v>150.5</v>
      </c>
    </row>
    <row r="7" spans="1:11" x14ac:dyDescent="0.25">
      <c r="A7" t="s">
        <v>191</v>
      </c>
      <c r="B7" t="s">
        <v>394</v>
      </c>
      <c r="C7" t="s">
        <v>137</v>
      </c>
      <c r="D7">
        <v>234</v>
      </c>
      <c r="E7">
        <v>1136.75</v>
      </c>
      <c r="F7">
        <v>17</v>
      </c>
      <c r="G7">
        <v>120</v>
      </c>
    </row>
    <row r="8" spans="1:11" x14ac:dyDescent="0.25">
      <c r="A8" t="s">
        <v>191</v>
      </c>
      <c r="B8" t="s">
        <v>395</v>
      </c>
      <c r="C8" t="s">
        <v>138</v>
      </c>
      <c r="D8">
        <v>27</v>
      </c>
      <c r="E8">
        <v>201</v>
      </c>
      <c r="F8">
        <v>1</v>
      </c>
      <c r="G8">
        <v>4.75</v>
      </c>
    </row>
    <row r="9" spans="1:11" x14ac:dyDescent="0.25">
      <c r="A9" t="s">
        <v>191</v>
      </c>
      <c r="B9" t="s">
        <v>396</v>
      </c>
      <c r="C9" t="s">
        <v>139</v>
      </c>
      <c r="D9">
        <v>67</v>
      </c>
      <c r="E9">
        <v>370.5</v>
      </c>
      <c r="F9">
        <v>1</v>
      </c>
      <c r="G9">
        <v>7.25</v>
      </c>
    </row>
    <row r="10" spans="1:11" x14ac:dyDescent="0.25">
      <c r="A10" t="s">
        <v>191</v>
      </c>
      <c r="B10" t="s">
        <v>397</v>
      </c>
      <c r="C10" t="s">
        <v>140</v>
      </c>
      <c r="D10">
        <v>553</v>
      </c>
      <c r="E10">
        <v>2713</v>
      </c>
      <c r="F10">
        <v>43</v>
      </c>
      <c r="G10">
        <v>383.25</v>
      </c>
    </row>
    <row r="11" spans="1:11" x14ac:dyDescent="0.25">
      <c r="A11" t="s">
        <v>191</v>
      </c>
      <c r="B11" t="s">
        <v>398</v>
      </c>
      <c r="C11" t="s">
        <v>141</v>
      </c>
      <c r="D11">
        <v>257</v>
      </c>
      <c r="E11">
        <v>1527</v>
      </c>
      <c r="F11">
        <v>3</v>
      </c>
      <c r="G11">
        <v>23.5</v>
      </c>
    </row>
    <row r="12" spans="1:11" x14ac:dyDescent="0.25">
      <c r="A12" t="s">
        <v>191</v>
      </c>
      <c r="B12" t="s">
        <v>399</v>
      </c>
      <c r="C12" t="s">
        <v>142</v>
      </c>
      <c r="D12">
        <v>644</v>
      </c>
      <c r="E12">
        <v>3222.75</v>
      </c>
      <c r="F12">
        <v>39</v>
      </c>
      <c r="G12">
        <v>284.75</v>
      </c>
    </row>
    <row r="13" spans="1:11" x14ac:dyDescent="0.25">
      <c r="A13" t="s">
        <v>191</v>
      </c>
      <c r="B13" t="s">
        <v>400</v>
      </c>
      <c r="C13" t="s">
        <v>143</v>
      </c>
      <c r="D13">
        <v>343</v>
      </c>
      <c r="E13">
        <v>1793.75</v>
      </c>
      <c r="F13">
        <v>13</v>
      </c>
      <c r="G13">
        <v>95</v>
      </c>
      <c r="J13">
        <v>1</v>
      </c>
      <c r="K13">
        <v>12.5</v>
      </c>
    </row>
    <row r="14" spans="1:11" x14ac:dyDescent="0.25">
      <c r="A14" t="s">
        <v>191</v>
      </c>
      <c r="B14" t="s">
        <v>401</v>
      </c>
      <c r="C14" t="s">
        <v>144</v>
      </c>
      <c r="D14">
        <v>388</v>
      </c>
      <c r="E14">
        <v>2008.75</v>
      </c>
      <c r="F14">
        <v>24</v>
      </c>
      <c r="G14">
        <v>214.75</v>
      </c>
    </row>
    <row r="15" spans="1:11" x14ac:dyDescent="0.25">
      <c r="A15" t="s">
        <v>191</v>
      </c>
      <c r="B15" t="s">
        <v>402</v>
      </c>
      <c r="C15" t="s">
        <v>145</v>
      </c>
      <c r="D15">
        <v>333</v>
      </c>
      <c r="E15">
        <v>1754.75</v>
      </c>
      <c r="F15">
        <v>11</v>
      </c>
      <c r="G15">
        <v>75</v>
      </c>
      <c r="H15">
        <v>1</v>
      </c>
      <c r="I15">
        <v>5.5</v>
      </c>
    </row>
    <row r="16" spans="1:11" x14ac:dyDescent="0.25">
      <c r="A16" t="s">
        <v>191</v>
      </c>
      <c r="B16" t="s">
        <v>403</v>
      </c>
      <c r="C16" t="s">
        <v>943</v>
      </c>
      <c r="D16">
        <v>164</v>
      </c>
      <c r="E16">
        <v>872.25</v>
      </c>
      <c r="F16">
        <v>10</v>
      </c>
      <c r="G16">
        <v>110.25</v>
      </c>
    </row>
    <row r="17" spans="1:11" x14ac:dyDescent="0.25">
      <c r="A17" t="s">
        <v>190</v>
      </c>
      <c r="B17" t="s">
        <v>389</v>
      </c>
      <c r="C17" t="s">
        <v>133</v>
      </c>
      <c r="D17">
        <v>409</v>
      </c>
      <c r="E17">
        <v>2440</v>
      </c>
      <c r="F17">
        <v>42</v>
      </c>
      <c r="G17">
        <v>504.75</v>
      </c>
      <c r="H17">
        <v>1</v>
      </c>
      <c r="I17">
        <v>32</v>
      </c>
    </row>
    <row r="18" spans="1:11" x14ac:dyDescent="0.25">
      <c r="A18" t="s">
        <v>190</v>
      </c>
      <c r="B18" t="s">
        <v>390</v>
      </c>
      <c r="C18" t="s">
        <v>134</v>
      </c>
      <c r="D18">
        <v>1667</v>
      </c>
      <c r="E18">
        <v>9716.25</v>
      </c>
      <c r="F18">
        <v>93</v>
      </c>
      <c r="G18">
        <v>978.75</v>
      </c>
      <c r="H18">
        <v>3</v>
      </c>
      <c r="I18">
        <v>76.25</v>
      </c>
    </row>
    <row r="19" spans="1:11" x14ac:dyDescent="0.25">
      <c r="A19" t="s">
        <v>190</v>
      </c>
      <c r="B19" t="s">
        <v>391</v>
      </c>
      <c r="C19" t="s">
        <v>150</v>
      </c>
      <c r="D19">
        <v>2916</v>
      </c>
      <c r="E19">
        <v>10285.25</v>
      </c>
      <c r="F19">
        <v>146</v>
      </c>
      <c r="G19">
        <v>902.5</v>
      </c>
      <c r="H19">
        <v>2</v>
      </c>
      <c r="I19">
        <v>14.5</v>
      </c>
      <c r="J19">
        <v>1</v>
      </c>
      <c r="K19">
        <v>3.75</v>
      </c>
    </row>
    <row r="20" spans="1:11" x14ac:dyDescent="0.25">
      <c r="A20" t="s">
        <v>190</v>
      </c>
      <c r="B20" t="s">
        <v>392</v>
      </c>
      <c r="C20" t="s">
        <v>135</v>
      </c>
      <c r="D20">
        <v>109</v>
      </c>
      <c r="E20">
        <v>654.75</v>
      </c>
      <c r="F20">
        <v>10</v>
      </c>
      <c r="G20">
        <v>118.75</v>
      </c>
      <c r="H20">
        <v>1</v>
      </c>
      <c r="I20">
        <v>26.5</v>
      </c>
    </row>
    <row r="21" spans="1:11" x14ac:dyDescent="0.25">
      <c r="A21" t="s">
        <v>190</v>
      </c>
      <c r="B21" t="s">
        <v>393</v>
      </c>
      <c r="C21" t="s">
        <v>136</v>
      </c>
      <c r="D21">
        <v>1100</v>
      </c>
      <c r="E21">
        <v>6862.25</v>
      </c>
      <c r="F21">
        <v>163</v>
      </c>
      <c r="G21">
        <v>2008.25</v>
      </c>
      <c r="H21">
        <v>14</v>
      </c>
      <c r="I21">
        <v>436.5</v>
      </c>
    </row>
    <row r="22" spans="1:11" x14ac:dyDescent="0.25">
      <c r="A22" t="s">
        <v>190</v>
      </c>
      <c r="B22" t="s">
        <v>394</v>
      </c>
      <c r="C22" t="s">
        <v>137</v>
      </c>
      <c r="D22">
        <v>317</v>
      </c>
      <c r="E22">
        <v>1475</v>
      </c>
      <c r="F22">
        <v>34</v>
      </c>
      <c r="G22">
        <v>285.75</v>
      </c>
    </row>
    <row r="23" spans="1:11" x14ac:dyDescent="0.25">
      <c r="A23" t="s">
        <v>190</v>
      </c>
      <c r="B23" t="s">
        <v>395</v>
      </c>
      <c r="C23" t="s">
        <v>138</v>
      </c>
      <c r="D23">
        <v>35</v>
      </c>
      <c r="E23">
        <v>248.75</v>
      </c>
      <c r="F23">
        <v>1</v>
      </c>
      <c r="G23">
        <v>6.5</v>
      </c>
    </row>
    <row r="24" spans="1:11" x14ac:dyDescent="0.25">
      <c r="A24" t="s">
        <v>190</v>
      </c>
      <c r="B24" t="s">
        <v>396</v>
      </c>
      <c r="C24" t="s">
        <v>139</v>
      </c>
      <c r="D24">
        <v>48</v>
      </c>
      <c r="E24">
        <v>249.5</v>
      </c>
      <c r="F24">
        <v>1</v>
      </c>
      <c r="G24">
        <v>20.25</v>
      </c>
    </row>
    <row r="25" spans="1:11" x14ac:dyDescent="0.25">
      <c r="A25" t="s">
        <v>190</v>
      </c>
      <c r="B25" t="s">
        <v>397</v>
      </c>
      <c r="C25" t="s">
        <v>140</v>
      </c>
      <c r="D25">
        <v>437</v>
      </c>
      <c r="E25">
        <v>2243.5</v>
      </c>
      <c r="F25">
        <v>57</v>
      </c>
      <c r="G25">
        <v>475.25</v>
      </c>
      <c r="H25">
        <v>2</v>
      </c>
      <c r="I25">
        <v>26.25</v>
      </c>
    </row>
    <row r="26" spans="1:11" x14ac:dyDescent="0.25">
      <c r="A26" t="s">
        <v>190</v>
      </c>
      <c r="B26" t="s">
        <v>398</v>
      </c>
      <c r="C26" t="s">
        <v>141</v>
      </c>
      <c r="D26">
        <v>216</v>
      </c>
      <c r="E26">
        <v>1257</v>
      </c>
      <c r="F26">
        <v>12</v>
      </c>
      <c r="G26">
        <v>100</v>
      </c>
      <c r="J26">
        <v>1</v>
      </c>
      <c r="K26">
        <v>2.5</v>
      </c>
    </row>
    <row r="27" spans="1:11" x14ac:dyDescent="0.25">
      <c r="A27" t="s">
        <v>190</v>
      </c>
      <c r="B27" t="s">
        <v>399</v>
      </c>
      <c r="C27" t="s">
        <v>142</v>
      </c>
      <c r="D27">
        <v>598</v>
      </c>
      <c r="E27">
        <v>3214.5</v>
      </c>
      <c r="F27">
        <v>41</v>
      </c>
      <c r="G27">
        <v>283</v>
      </c>
      <c r="J27">
        <v>1</v>
      </c>
      <c r="K27">
        <v>11.5</v>
      </c>
    </row>
    <row r="28" spans="1:11" x14ac:dyDescent="0.25">
      <c r="A28" t="s">
        <v>190</v>
      </c>
      <c r="B28" t="s">
        <v>400</v>
      </c>
      <c r="C28" t="s">
        <v>143</v>
      </c>
      <c r="D28">
        <v>303</v>
      </c>
      <c r="E28">
        <v>1550.75</v>
      </c>
      <c r="F28">
        <v>17</v>
      </c>
      <c r="G28">
        <v>153</v>
      </c>
    </row>
    <row r="29" spans="1:11" x14ac:dyDescent="0.25">
      <c r="A29" t="s">
        <v>190</v>
      </c>
      <c r="B29" t="s">
        <v>401</v>
      </c>
      <c r="C29" t="s">
        <v>144</v>
      </c>
      <c r="D29">
        <v>476</v>
      </c>
      <c r="E29">
        <v>2044.25</v>
      </c>
      <c r="F29">
        <v>9</v>
      </c>
      <c r="G29">
        <v>74.75</v>
      </c>
    </row>
    <row r="30" spans="1:11" x14ac:dyDescent="0.25">
      <c r="A30" t="s">
        <v>190</v>
      </c>
      <c r="B30" t="s">
        <v>402</v>
      </c>
      <c r="C30" t="s">
        <v>145</v>
      </c>
      <c r="D30">
        <v>364</v>
      </c>
      <c r="E30">
        <v>1734.75</v>
      </c>
      <c r="F30">
        <v>15</v>
      </c>
      <c r="G30">
        <v>95.75</v>
      </c>
    </row>
    <row r="31" spans="1:11" x14ac:dyDescent="0.25">
      <c r="A31" t="s">
        <v>190</v>
      </c>
      <c r="B31" t="s">
        <v>403</v>
      </c>
      <c r="C31" t="s">
        <v>943</v>
      </c>
      <c r="D31">
        <v>190</v>
      </c>
      <c r="E31">
        <v>988.5</v>
      </c>
      <c r="F31">
        <v>8</v>
      </c>
      <c r="G31">
        <v>62.25</v>
      </c>
      <c r="J31">
        <v>1</v>
      </c>
      <c r="K31">
        <v>5.5</v>
      </c>
    </row>
    <row r="32" spans="1:11" x14ac:dyDescent="0.25">
      <c r="A32" t="s">
        <v>257</v>
      </c>
      <c r="B32" t="s">
        <v>389</v>
      </c>
      <c r="C32" t="s">
        <v>133</v>
      </c>
      <c r="D32">
        <v>359</v>
      </c>
      <c r="E32">
        <v>1911.75</v>
      </c>
      <c r="F32">
        <v>37</v>
      </c>
      <c r="G32">
        <v>370.75</v>
      </c>
    </row>
    <row r="33" spans="1:11" x14ac:dyDescent="0.25">
      <c r="A33" t="s">
        <v>257</v>
      </c>
      <c r="B33" t="s">
        <v>390</v>
      </c>
      <c r="C33" t="s">
        <v>134</v>
      </c>
      <c r="D33">
        <v>1660</v>
      </c>
      <c r="E33">
        <v>9324.75</v>
      </c>
      <c r="F33">
        <v>59</v>
      </c>
      <c r="G33">
        <v>711.5</v>
      </c>
    </row>
    <row r="34" spans="1:11" x14ac:dyDescent="0.25">
      <c r="A34" t="s">
        <v>257</v>
      </c>
      <c r="B34" t="s">
        <v>391</v>
      </c>
      <c r="C34" t="s">
        <v>150</v>
      </c>
      <c r="D34">
        <v>2531</v>
      </c>
      <c r="E34">
        <v>8986</v>
      </c>
      <c r="F34">
        <v>119</v>
      </c>
      <c r="G34">
        <v>614</v>
      </c>
      <c r="H34">
        <v>9</v>
      </c>
      <c r="I34">
        <v>69.25</v>
      </c>
      <c r="J34">
        <v>4</v>
      </c>
      <c r="K34">
        <v>22.25</v>
      </c>
    </row>
    <row r="35" spans="1:11" x14ac:dyDescent="0.25">
      <c r="A35" t="s">
        <v>257</v>
      </c>
      <c r="B35" t="s">
        <v>392</v>
      </c>
      <c r="C35" t="s">
        <v>135</v>
      </c>
      <c r="D35">
        <v>119</v>
      </c>
      <c r="E35">
        <v>607</v>
      </c>
      <c r="F35">
        <v>9</v>
      </c>
      <c r="G35">
        <v>83.5</v>
      </c>
      <c r="H35">
        <v>1</v>
      </c>
      <c r="I35">
        <v>6.75</v>
      </c>
    </row>
    <row r="36" spans="1:11" x14ac:dyDescent="0.25">
      <c r="A36" t="s">
        <v>257</v>
      </c>
      <c r="B36" t="s">
        <v>393</v>
      </c>
      <c r="C36" t="s">
        <v>136</v>
      </c>
      <c r="D36">
        <v>990</v>
      </c>
      <c r="E36">
        <v>5995.25</v>
      </c>
      <c r="F36">
        <v>148</v>
      </c>
      <c r="G36">
        <v>1626.25</v>
      </c>
      <c r="H36">
        <v>8</v>
      </c>
      <c r="I36">
        <v>268.5</v>
      </c>
      <c r="J36">
        <v>3</v>
      </c>
      <c r="K36">
        <v>20.75</v>
      </c>
    </row>
    <row r="37" spans="1:11" x14ac:dyDescent="0.25">
      <c r="A37" t="s">
        <v>257</v>
      </c>
      <c r="B37" t="s">
        <v>394</v>
      </c>
      <c r="C37" t="s">
        <v>137</v>
      </c>
      <c r="D37">
        <v>338</v>
      </c>
      <c r="E37">
        <v>1664</v>
      </c>
      <c r="F37">
        <v>33</v>
      </c>
      <c r="G37">
        <v>287.5</v>
      </c>
      <c r="H37">
        <v>2</v>
      </c>
      <c r="I37">
        <v>39</v>
      </c>
      <c r="J37">
        <v>2</v>
      </c>
      <c r="K37">
        <v>7.25</v>
      </c>
    </row>
    <row r="38" spans="1:11" x14ac:dyDescent="0.25">
      <c r="A38" t="s">
        <v>257</v>
      </c>
      <c r="B38" t="s">
        <v>395</v>
      </c>
      <c r="C38" t="s">
        <v>138</v>
      </c>
      <c r="D38">
        <v>20</v>
      </c>
      <c r="E38">
        <v>104.5</v>
      </c>
      <c r="F38">
        <v>1</v>
      </c>
      <c r="G38">
        <v>11.5</v>
      </c>
    </row>
    <row r="39" spans="1:11" x14ac:dyDescent="0.25">
      <c r="A39" t="s">
        <v>257</v>
      </c>
      <c r="B39" t="s">
        <v>396</v>
      </c>
      <c r="C39" t="s">
        <v>139</v>
      </c>
      <c r="D39">
        <v>63</v>
      </c>
      <c r="E39">
        <v>340.5</v>
      </c>
      <c r="F39">
        <v>3</v>
      </c>
      <c r="G39">
        <v>33.25</v>
      </c>
    </row>
    <row r="40" spans="1:11" x14ac:dyDescent="0.25">
      <c r="A40" t="s">
        <v>257</v>
      </c>
      <c r="B40" t="s">
        <v>397</v>
      </c>
      <c r="C40" t="s">
        <v>140</v>
      </c>
      <c r="D40">
        <v>421</v>
      </c>
      <c r="E40">
        <v>2155.5</v>
      </c>
      <c r="F40">
        <v>61</v>
      </c>
      <c r="G40">
        <v>470.25</v>
      </c>
      <c r="H40">
        <v>1</v>
      </c>
      <c r="I40">
        <v>11.75</v>
      </c>
      <c r="J40">
        <v>1</v>
      </c>
      <c r="K40">
        <v>8.5</v>
      </c>
    </row>
    <row r="41" spans="1:11" x14ac:dyDescent="0.25">
      <c r="A41" t="s">
        <v>257</v>
      </c>
      <c r="B41" t="s">
        <v>398</v>
      </c>
      <c r="C41" t="s">
        <v>141</v>
      </c>
      <c r="D41">
        <v>350</v>
      </c>
      <c r="E41">
        <v>2174</v>
      </c>
      <c r="F41">
        <v>13</v>
      </c>
      <c r="G41">
        <v>160.75</v>
      </c>
    </row>
    <row r="42" spans="1:11" x14ac:dyDescent="0.25">
      <c r="A42" t="s">
        <v>257</v>
      </c>
      <c r="B42" t="s">
        <v>399</v>
      </c>
      <c r="C42" t="s">
        <v>142</v>
      </c>
      <c r="D42">
        <v>497</v>
      </c>
      <c r="E42">
        <v>2570.75</v>
      </c>
      <c r="F42">
        <v>26</v>
      </c>
      <c r="G42">
        <v>227.75</v>
      </c>
      <c r="J42">
        <v>2</v>
      </c>
      <c r="K42">
        <v>13.5</v>
      </c>
    </row>
    <row r="43" spans="1:11" x14ac:dyDescent="0.25">
      <c r="A43" t="s">
        <v>257</v>
      </c>
      <c r="B43" t="s">
        <v>400</v>
      </c>
      <c r="C43" t="s">
        <v>143</v>
      </c>
      <c r="D43">
        <v>221</v>
      </c>
      <c r="E43">
        <v>1244.75</v>
      </c>
      <c r="F43">
        <v>14</v>
      </c>
      <c r="G43">
        <v>103.25</v>
      </c>
    </row>
    <row r="44" spans="1:11" x14ac:dyDescent="0.25">
      <c r="A44" t="s">
        <v>257</v>
      </c>
      <c r="B44" t="s">
        <v>401</v>
      </c>
      <c r="C44" t="s">
        <v>144</v>
      </c>
      <c r="D44">
        <v>319</v>
      </c>
      <c r="E44">
        <v>1744</v>
      </c>
      <c r="F44">
        <v>10</v>
      </c>
      <c r="G44">
        <v>102.75</v>
      </c>
    </row>
    <row r="45" spans="1:11" x14ac:dyDescent="0.25">
      <c r="A45" t="s">
        <v>257</v>
      </c>
      <c r="B45" t="s">
        <v>402</v>
      </c>
      <c r="C45" t="s">
        <v>145</v>
      </c>
      <c r="D45">
        <v>264</v>
      </c>
      <c r="E45">
        <v>1213.5</v>
      </c>
      <c r="F45">
        <v>11</v>
      </c>
      <c r="G45">
        <v>97.25</v>
      </c>
    </row>
    <row r="46" spans="1:11" x14ac:dyDescent="0.25">
      <c r="A46" t="s">
        <v>257</v>
      </c>
      <c r="B46" t="s">
        <v>403</v>
      </c>
      <c r="C46" t="s">
        <v>943</v>
      </c>
      <c r="D46">
        <v>233</v>
      </c>
      <c r="E46">
        <v>1339.75</v>
      </c>
      <c r="F46">
        <v>10</v>
      </c>
      <c r="G46">
        <v>90.5</v>
      </c>
    </row>
    <row r="47" spans="1:11" x14ac:dyDescent="0.25">
      <c r="A47" t="s">
        <v>240</v>
      </c>
      <c r="B47" t="s">
        <v>389</v>
      </c>
      <c r="C47" t="s">
        <v>133</v>
      </c>
      <c r="D47">
        <v>342</v>
      </c>
      <c r="E47">
        <v>1662</v>
      </c>
      <c r="F47">
        <v>25</v>
      </c>
      <c r="G47">
        <v>274.25</v>
      </c>
    </row>
    <row r="48" spans="1:11" x14ac:dyDescent="0.25">
      <c r="A48" t="s">
        <v>240</v>
      </c>
      <c r="B48" t="s">
        <v>390</v>
      </c>
      <c r="C48" t="s">
        <v>134</v>
      </c>
      <c r="D48">
        <v>1599</v>
      </c>
      <c r="E48">
        <v>8671.5</v>
      </c>
      <c r="F48">
        <v>54</v>
      </c>
      <c r="G48">
        <v>593.75</v>
      </c>
    </row>
    <row r="49" spans="1:11" x14ac:dyDescent="0.25">
      <c r="A49" t="s">
        <v>240</v>
      </c>
      <c r="B49" t="s">
        <v>391</v>
      </c>
      <c r="C49" t="s">
        <v>150</v>
      </c>
      <c r="D49">
        <v>1986</v>
      </c>
      <c r="E49">
        <v>7167.75</v>
      </c>
      <c r="F49">
        <v>91</v>
      </c>
      <c r="G49">
        <v>794.5</v>
      </c>
      <c r="H49">
        <v>2</v>
      </c>
      <c r="I49">
        <v>51.75</v>
      </c>
      <c r="J49">
        <v>4</v>
      </c>
      <c r="K49">
        <v>16.25</v>
      </c>
    </row>
    <row r="50" spans="1:11" x14ac:dyDescent="0.25">
      <c r="A50" t="s">
        <v>240</v>
      </c>
      <c r="B50" t="s">
        <v>392</v>
      </c>
      <c r="C50" t="s">
        <v>135</v>
      </c>
      <c r="D50">
        <v>94</v>
      </c>
      <c r="E50">
        <v>573.5</v>
      </c>
      <c r="F50">
        <v>10</v>
      </c>
      <c r="G50">
        <v>114.75</v>
      </c>
      <c r="J50">
        <v>1</v>
      </c>
      <c r="K50">
        <v>2</v>
      </c>
    </row>
    <row r="51" spans="1:11" x14ac:dyDescent="0.25">
      <c r="A51" t="s">
        <v>240</v>
      </c>
      <c r="B51" t="s">
        <v>393</v>
      </c>
      <c r="C51" t="s">
        <v>136</v>
      </c>
      <c r="D51">
        <v>1018</v>
      </c>
      <c r="E51">
        <v>5856.5</v>
      </c>
      <c r="F51">
        <v>149</v>
      </c>
      <c r="G51">
        <v>1800.5</v>
      </c>
      <c r="H51">
        <v>9</v>
      </c>
      <c r="I51">
        <v>378.75</v>
      </c>
      <c r="J51">
        <v>6</v>
      </c>
      <c r="K51">
        <v>72.5</v>
      </c>
    </row>
    <row r="52" spans="1:11" x14ac:dyDescent="0.25">
      <c r="A52" t="s">
        <v>240</v>
      </c>
      <c r="B52" t="s">
        <v>394</v>
      </c>
      <c r="C52" t="s">
        <v>137</v>
      </c>
      <c r="D52">
        <v>375</v>
      </c>
      <c r="E52">
        <v>1755</v>
      </c>
      <c r="F52">
        <v>33</v>
      </c>
      <c r="G52">
        <v>257.25</v>
      </c>
      <c r="J52">
        <v>1</v>
      </c>
      <c r="K52">
        <v>7.5</v>
      </c>
    </row>
    <row r="53" spans="1:11" x14ac:dyDescent="0.25">
      <c r="A53" t="s">
        <v>240</v>
      </c>
      <c r="B53" t="s">
        <v>395</v>
      </c>
      <c r="C53" t="s">
        <v>138</v>
      </c>
      <c r="D53">
        <v>34</v>
      </c>
      <c r="E53">
        <v>183</v>
      </c>
      <c r="F53">
        <v>3</v>
      </c>
      <c r="G53">
        <v>56.5</v>
      </c>
    </row>
    <row r="54" spans="1:11" x14ac:dyDescent="0.25">
      <c r="A54" t="s">
        <v>240</v>
      </c>
      <c r="B54" t="s">
        <v>396</v>
      </c>
      <c r="C54" t="s">
        <v>139</v>
      </c>
      <c r="D54">
        <v>55</v>
      </c>
      <c r="E54">
        <v>288</v>
      </c>
      <c r="F54">
        <v>4</v>
      </c>
      <c r="G54">
        <v>35.75</v>
      </c>
    </row>
    <row r="55" spans="1:11" x14ac:dyDescent="0.25">
      <c r="A55" t="s">
        <v>240</v>
      </c>
      <c r="B55" t="s">
        <v>397</v>
      </c>
      <c r="C55" t="s">
        <v>140</v>
      </c>
      <c r="D55">
        <v>294</v>
      </c>
      <c r="E55">
        <v>1469.5</v>
      </c>
      <c r="F55">
        <v>38</v>
      </c>
      <c r="G55">
        <v>329.5</v>
      </c>
      <c r="H55">
        <v>3</v>
      </c>
      <c r="I55">
        <v>32</v>
      </c>
      <c r="J55">
        <v>3</v>
      </c>
      <c r="K55">
        <v>17.75</v>
      </c>
    </row>
    <row r="56" spans="1:11" x14ac:dyDescent="0.25">
      <c r="A56" t="s">
        <v>240</v>
      </c>
      <c r="B56" t="s">
        <v>398</v>
      </c>
      <c r="C56" t="s">
        <v>141</v>
      </c>
      <c r="D56">
        <v>255</v>
      </c>
      <c r="E56">
        <v>1437.75</v>
      </c>
      <c r="F56">
        <v>13</v>
      </c>
      <c r="G56">
        <v>146.5</v>
      </c>
    </row>
    <row r="57" spans="1:11" x14ac:dyDescent="0.25">
      <c r="A57" t="s">
        <v>240</v>
      </c>
      <c r="B57" t="s">
        <v>399</v>
      </c>
      <c r="C57" t="s">
        <v>142</v>
      </c>
      <c r="D57">
        <v>344</v>
      </c>
      <c r="E57">
        <v>1674.75</v>
      </c>
      <c r="F57">
        <v>18</v>
      </c>
      <c r="G57">
        <v>138.25</v>
      </c>
      <c r="H57">
        <v>1</v>
      </c>
      <c r="I57">
        <v>3</v>
      </c>
      <c r="J57">
        <v>2</v>
      </c>
      <c r="K57">
        <v>12.5</v>
      </c>
    </row>
    <row r="58" spans="1:11" x14ac:dyDescent="0.25">
      <c r="A58" t="s">
        <v>240</v>
      </c>
      <c r="B58" t="s">
        <v>400</v>
      </c>
      <c r="C58" t="s">
        <v>143</v>
      </c>
      <c r="D58">
        <v>225</v>
      </c>
      <c r="E58">
        <v>1105.5</v>
      </c>
      <c r="F58">
        <v>15</v>
      </c>
      <c r="G58">
        <v>122.25</v>
      </c>
    </row>
    <row r="59" spans="1:11" x14ac:dyDescent="0.25">
      <c r="A59" t="s">
        <v>240</v>
      </c>
      <c r="B59" t="s">
        <v>401</v>
      </c>
      <c r="C59" t="s">
        <v>144</v>
      </c>
      <c r="D59">
        <v>222</v>
      </c>
      <c r="E59">
        <v>1205.75</v>
      </c>
      <c r="F59">
        <v>6</v>
      </c>
      <c r="G59">
        <v>53.25</v>
      </c>
    </row>
    <row r="60" spans="1:11" x14ac:dyDescent="0.25">
      <c r="A60" t="s">
        <v>240</v>
      </c>
      <c r="B60" t="s">
        <v>402</v>
      </c>
      <c r="C60" t="s">
        <v>145</v>
      </c>
      <c r="D60">
        <v>217</v>
      </c>
      <c r="E60">
        <v>1101.5</v>
      </c>
      <c r="F60">
        <v>3</v>
      </c>
      <c r="G60">
        <v>26</v>
      </c>
    </row>
    <row r="61" spans="1:11" x14ac:dyDescent="0.25">
      <c r="A61" t="s">
        <v>240</v>
      </c>
      <c r="B61" t="s">
        <v>403</v>
      </c>
      <c r="C61" t="s">
        <v>943</v>
      </c>
      <c r="D61">
        <v>107</v>
      </c>
      <c r="E61">
        <v>536.5</v>
      </c>
      <c r="F61">
        <v>6</v>
      </c>
      <c r="G61">
        <v>39</v>
      </c>
    </row>
    <row r="62" spans="1:11" x14ac:dyDescent="0.25">
      <c r="A62" t="s">
        <v>239</v>
      </c>
      <c r="B62" t="s">
        <v>389</v>
      </c>
      <c r="C62" t="s">
        <v>133</v>
      </c>
      <c r="D62">
        <v>449</v>
      </c>
      <c r="E62">
        <v>2244.5</v>
      </c>
      <c r="F62">
        <v>22</v>
      </c>
      <c r="G62">
        <v>166.5</v>
      </c>
    </row>
    <row r="63" spans="1:11" x14ac:dyDescent="0.25">
      <c r="A63" t="s">
        <v>239</v>
      </c>
      <c r="B63" t="s">
        <v>390</v>
      </c>
      <c r="C63" t="s">
        <v>134</v>
      </c>
      <c r="D63">
        <v>1731</v>
      </c>
      <c r="E63">
        <v>9112.75</v>
      </c>
      <c r="F63">
        <v>44</v>
      </c>
      <c r="G63">
        <v>463.25</v>
      </c>
      <c r="H63">
        <v>1</v>
      </c>
      <c r="I63">
        <v>33.25</v>
      </c>
    </row>
    <row r="64" spans="1:11" x14ac:dyDescent="0.25">
      <c r="A64" t="s">
        <v>239</v>
      </c>
      <c r="B64" t="s">
        <v>391</v>
      </c>
      <c r="C64" t="s">
        <v>150</v>
      </c>
      <c r="D64">
        <v>1804</v>
      </c>
      <c r="E64">
        <v>6780</v>
      </c>
      <c r="F64">
        <v>58</v>
      </c>
      <c r="G64">
        <v>572.5</v>
      </c>
      <c r="H64">
        <v>5</v>
      </c>
      <c r="I64">
        <v>167.25</v>
      </c>
      <c r="J64">
        <v>12</v>
      </c>
      <c r="K64">
        <v>181.25</v>
      </c>
    </row>
    <row r="65" spans="1:11" x14ac:dyDescent="0.25">
      <c r="A65" t="s">
        <v>239</v>
      </c>
      <c r="B65" t="s">
        <v>392</v>
      </c>
      <c r="C65" t="s">
        <v>135</v>
      </c>
      <c r="D65">
        <v>85</v>
      </c>
      <c r="E65">
        <v>435.5</v>
      </c>
      <c r="F65">
        <v>3</v>
      </c>
      <c r="G65">
        <v>61.25</v>
      </c>
      <c r="H65">
        <v>1</v>
      </c>
      <c r="I65">
        <v>38.25</v>
      </c>
    </row>
    <row r="66" spans="1:11" x14ac:dyDescent="0.25">
      <c r="A66" t="s">
        <v>239</v>
      </c>
      <c r="B66" t="s">
        <v>393</v>
      </c>
      <c r="C66" t="s">
        <v>136</v>
      </c>
      <c r="D66">
        <v>921</v>
      </c>
      <c r="E66">
        <v>5130.75</v>
      </c>
      <c r="F66">
        <v>109</v>
      </c>
      <c r="G66">
        <v>1313.75</v>
      </c>
      <c r="H66">
        <v>5</v>
      </c>
      <c r="I66">
        <v>154</v>
      </c>
      <c r="J66">
        <v>4</v>
      </c>
      <c r="K66">
        <v>34</v>
      </c>
    </row>
    <row r="67" spans="1:11" x14ac:dyDescent="0.25">
      <c r="A67" t="s">
        <v>239</v>
      </c>
      <c r="B67" t="s">
        <v>394</v>
      </c>
      <c r="C67" t="s">
        <v>137</v>
      </c>
      <c r="D67">
        <v>301</v>
      </c>
      <c r="E67">
        <v>1377.25</v>
      </c>
      <c r="F67">
        <v>22</v>
      </c>
      <c r="G67">
        <v>192.75</v>
      </c>
    </row>
    <row r="68" spans="1:11" x14ac:dyDescent="0.25">
      <c r="A68" t="s">
        <v>239</v>
      </c>
      <c r="B68" t="s">
        <v>395</v>
      </c>
      <c r="C68" t="s">
        <v>138</v>
      </c>
      <c r="D68">
        <v>30</v>
      </c>
      <c r="E68">
        <v>199.75</v>
      </c>
      <c r="F68">
        <v>1</v>
      </c>
      <c r="G68">
        <v>11.25</v>
      </c>
    </row>
    <row r="69" spans="1:11" x14ac:dyDescent="0.25">
      <c r="A69" t="s">
        <v>239</v>
      </c>
      <c r="B69" t="s">
        <v>396</v>
      </c>
      <c r="C69" t="s">
        <v>139</v>
      </c>
      <c r="D69">
        <v>59</v>
      </c>
      <c r="E69">
        <v>321.75</v>
      </c>
      <c r="F69">
        <v>1</v>
      </c>
      <c r="G69">
        <v>14</v>
      </c>
    </row>
    <row r="70" spans="1:11" x14ac:dyDescent="0.25">
      <c r="A70" t="s">
        <v>239</v>
      </c>
      <c r="B70" t="s">
        <v>397</v>
      </c>
      <c r="C70" t="s">
        <v>140</v>
      </c>
      <c r="D70">
        <v>329</v>
      </c>
      <c r="E70">
        <v>1704</v>
      </c>
      <c r="F70">
        <v>45</v>
      </c>
      <c r="G70">
        <v>386.75</v>
      </c>
      <c r="H70">
        <v>5</v>
      </c>
      <c r="I70">
        <v>80</v>
      </c>
    </row>
    <row r="71" spans="1:11" x14ac:dyDescent="0.25">
      <c r="A71" t="s">
        <v>239</v>
      </c>
      <c r="B71" t="s">
        <v>398</v>
      </c>
      <c r="C71" t="s">
        <v>141</v>
      </c>
      <c r="D71">
        <v>457</v>
      </c>
      <c r="E71">
        <v>2188.5</v>
      </c>
      <c r="F71">
        <v>13</v>
      </c>
      <c r="G71">
        <v>156.75</v>
      </c>
    </row>
    <row r="72" spans="1:11" x14ac:dyDescent="0.25">
      <c r="A72" t="s">
        <v>239</v>
      </c>
      <c r="B72" t="s">
        <v>399</v>
      </c>
      <c r="C72" t="s">
        <v>142</v>
      </c>
      <c r="D72">
        <v>366</v>
      </c>
      <c r="E72">
        <v>1827.5</v>
      </c>
      <c r="F72">
        <v>16</v>
      </c>
      <c r="G72">
        <v>156.5</v>
      </c>
      <c r="H72">
        <v>3</v>
      </c>
      <c r="I72">
        <v>45.25</v>
      </c>
      <c r="J72">
        <v>3</v>
      </c>
      <c r="K72">
        <v>16</v>
      </c>
    </row>
    <row r="73" spans="1:11" x14ac:dyDescent="0.25">
      <c r="A73" t="s">
        <v>239</v>
      </c>
      <c r="B73" t="s">
        <v>400</v>
      </c>
      <c r="C73" t="s">
        <v>143</v>
      </c>
      <c r="D73">
        <v>273</v>
      </c>
      <c r="E73">
        <v>1407.5</v>
      </c>
      <c r="F73">
        <v>10</v>
      </c>
      <c r="G73">
        <v>106.75</v>
      </c>
      <c r="J73">
        <v>1</v>
      </c>
      <c r="K73">
        <v>6.25</v>
      </c>
    </row>
    <row r="74" spans="1:11" x14ac:dyDescent="0.25">
      <c r="A74" t="s">
        <v>239</v>
      </c>
      <c r="B74" t="s">
        <v>401</v>
      </c>
      <c r="C74" t="s">
        <v>144</v>
      </c>
      <c r="D74">
        <v>261</v>
      </c>
      <c r="E74">
        <v>1459.5</v>
      </c>
      <c r="F74">
        <v>6</v>
      </c>
      <c r="G74">
        <v>50.75</v>
      </c>
    </row>
    <row r="75" spans="1:11" x14ac:dyDescent="0.25">
      <c r="A75" t="s">
        <v>239</v>
      </c>
      <c r="B75" t="s">
        <v>402</v>
      </c>
      <c r="C75" t="s">
        <v>145</v>
      </c>
      <c r="D75">
        <v>263</v>
      </c>
      <c r="E75">
        <v>1314</v>
      </c>
      <c r="F75">
        <v>4</v>
      </c>
      <c r="G75">
        <v>38</v>
      </c>
    </row>
    <row r="76" spans="1:11" x14ac:dyDescent="0.25">
      <c r="A76" t="s">
        <v>239</v>
      </c>
      <c r="B76" t="s">
        <v>403</v>
      </c>
      <c r="C76" t="s">
        <v>943</v>
      </c>
      <c r="D76">
        <v>179</v>
      </c>
      <c r="E76">
        <v>949</v>
      </c>
      <c r="F76">
        <v>10</v>
      </c>
      <c r="G76">
        <v>68.5</v>
      </c>
      <c r="H76">
        <v>1</v>
      </c>
    </row>
    <row r="77" spans="1:11" x14ac:dyDescent="0.25">
      <c r="A77" t="s">
        <v>760</v>
      </c>
      <c r="B77" t="s">
        <v>389</v>
      </c>
      <c r="C77" t="s">
        <v>133</v>
      </c>
      <c r="D77">
        <v>294</v>
      </c>
      <c r="F77">
        <v>4</v>
      </c>
    </row>
    <row r="78" spans="1:11" x14ac:dyDescent="0.25">
      <c r="A78" t="s">
        <v>760</v>
      </c>
      <c r="B78" t="s">
        <v>390</v>
      </c>
      <c r="C78" t="s">
        <v>134</v>
      </c>
      <c r="D78">
        <v>1451</v>
      </c>
      <c r="F78">
        <v>35</v>
      </c>
    </row>
    <row r="79" spans="1:11" x14ac:dyDescent="0.25">
      <c r="A79" t="s">
        <v>760</v>
      </c>
      <c r="B79" t="s">
        <v>391</v>
      </c>
      <c r="C79" t="s">
        <v>150</v>
      </c>
      <c r="D79">
        <v>1738</v>
      </c>
      <c r="F79">
        <v>213</v>
      </c>
      <c r="H79">
        <v>1</v>
      </c>
      <c r="J79">
        <v>5</v>
      </c>
    </row>
    <row r="80" spans="1:11" x14ac:dyDescent="0.25">
      <c r="A80" t="s">
        <v>760</v>
      </c>
      <c r="B80" t="s">
        <v>392</v>
      </c>
      <c r="C80" t="s">
        <v>135</v>
      </c>
      <c r="D80">
        <v>70</v>
      </c>
      <c r="F80">
        <v>1</v>
      </c>
    </row>
    <row r="81" spans="1:10" x14ac:dyDescent="0.25">
      <c r="A81" t="s">
        <v>760</v>
      </c>
      <c r="B81" t="s">
        <v>393</v>
      </c>
      <c r="C81" t="s">
        <v>136</v>
      </c>
      <c r="D81">
        <v>1017</v>
      </c>
      <c r="F81">
        <v>64</v>
      </c>
    </row>
    <row r="82" spans="1:10" x14ac:dyDescent="0.25">
      <c r="A82" t="s">
        <v>760</v>
      </c>
      <c r="B82" t="s">
        <v>394</v>
      </c>
      <c r="C82" t="s">
        <v>137</v>
      </c>
      <c r="D82">
        <v>458</v>
      </c>
      <c r="F82">
        <v>12</v>
      </c>
      <c r="J82">
        <v>2</v>
      </c>
    </row>
    <row r="83" spans="1:10" x14ac:dyDescent="0.25">
      <c r="A83" t="s">
        <v>760</v>
      </c>
      <c r="B83" t="s">
        <v>395</v>
      </c>
      <c r="C83" t="s">
        <v>138</v>
      </c>
      <c r="D83">
        <v>25</v>
      </c>
    </row>
    <row r="84" spans="1:10" x14ac:dyDescent="0.25">
      <c r="A84" t="s">
        <v>760</v>
      </c>
      <c r="B84" t="s">
        <v>396</v>
      </c>
      <c r="C84" t="s">
        <v>139</v>
      </c>
      <c r="D84">
        <v>38</v>
      </c>
      <c r="F84">
        <v>1</v>
      </c>
    </row>
    <row r="85" spans="1:10" x14ac:dyDescent="0.25">
      <c r="A85" t="s">
        <v>760</v>
      </c>
      <c r="B85" t="s">
        <v>397</v>
      </c>
      <c r="C85" t="s">
        <v>140</v>
      </c>
      <c r="D85">
        <v>259</v>
      </c>
      <c r="F85">
        <v>30</v>
      </c>
      <c r="J85">
        <v>1</v>
      </c>
    </row>
    <row r="86" spans="1:10" x14ac:dyDescent="0.25">
      <c r="A86" t="s">
        <v>760</v>
      </c>
      <c r="B86" t="s">
        <v>398</v>
      </c>
      <c r="C86" t="s">
        <v>141</v>
      </c>
      <c r="D86">
        <v>266</v>
      </c>
      <c r="F86">
        <v>5</v>
      </c>
    </row>
    <row r="87" spans="1:10" x14ac:dyDescent="0.25">
      <c r="A87" t="s">
        <v>760</v>
      </c>
      <c r="B87" t="s">
        <v>399</v>
      </c>
      <c r="C87" t="s">
        <v>142</v>
      </c>
      <c r="D87">
        <v>350</v>
      </c>
      <c r="F87">
        <v>8</v>
      </c>
      <c r="J87">
        <v>1</v>
      </c>
    </row>
    <row r="88" spans="1:10" x14ac:dyDescent="0.25">
      <c r="A88" t="s">
        <v>760</v>
      </c>
      <c r="B88" t="s">
        <v>400</v>
      </c>
      <c r="C88" t="s">
        <v>143</v>
      </c>
      <c r="D88">
        <v>275</v>
      </c>
      <c r="F88">
        <v>4</v>
      </c>
      <c r="J88">
        <v>2</v>
      </c>
    </row>
    <row r="89" spans="1:10" x14ac:dyDescent="0.25">
      <c r="A89" t="s">
        <v>760</v>
      </c>
      <c r="B89" t="s">
        <v>401</v>
      </c>
      <c r="C89" t="s">
        <v>144</v>
      </c>
      <c r="D89">
        <v>234</v>
      </c>
      <c r="F89">
        <v>7</v>
      </c>
      <c r="J89">
        <v>1</v>
      </c>
    </row>
    <row r="90" spans="1:10" x14ac:dyDescent="0.25">
      <c r="A90" t="s">
        <v>760</v>
      </c>
      <c r="B90" t="s">
        <v>402</v>
      </c>
      <c r="C90" t="s">
        <v>145</v>
      </c>
      <c r="D90">
        <v>283</v>
      </c>
      <c r="F90">
        <v>2</v>
      </c>
    </row>
    <row r="91" spans="1:10" x14ac:dyDescent="0.25">
      <c r="A91" t="s">
        <v>760</v>
      </c>
      <c r="B91" t="s">
        <v>403</v>
      </c>
      <c r="C91" t="s">
        <v>943</v>
      </c>
      <c r="D91">
        <v>115</v>
      </c>
      <c r="F91">
        <v>2</v>
      </c>
    </row>
    <row r="92" spans="1:10" x14ac:dyDescent="0.25">
      <c r="A92" t="s">
        <v>917</v>
      </c>
      <c r="B92" t="s">
        <v>389</v>
      </c>
      <c r="C92" t="s">
        <v>133</v>
      </c>
      <c r="D92">
        <v>212</v>
      </c>
      <c r="E92">
        <v>1131.5</v>
      </c>
      <c r="F92">
        <v>8</v>
      </c>
      <c r="G92">
        <v>173</v>
      </c>
    </row>
    <row r="93" spans="1:10" x14ac:dyDescent="0.25">
      <c r="A93" t="s">
        <v>917</v>
      </c>
      <c r="B93" t="s">
        <v>390</v>
      </c>
      <c r="C93" t="s">
        <v>134</v>
      </c>
      <c r="D93">
        <v>1326</v>
      </c>
      <c r="E93">
        <v>7506.25</v>
      </c>
      <c r="F93">
        <v>16</v>
      </c>
      <c r="G93">
        <v>203.5</v>
      </c>
    </row>
    <row r="94" spans="1:10" x14ac:dyDescent="0.25">
      <c r="A94" t="s">
        <v>917</v>
      </c>
      <c r="B94" t="s">
        <v>391</v>
      </c>
      <c r="C94" t="s">
        <v>150</v>
      </c>
      <c r="D94">
        <v>774</v>
      </c>
      <c r="E94">
        <v>2858.25</v>
      </c>
      <c r="F94">
        <v>35</v>
      </c>
      <c r="G94">
        <v>369.5</v>
      </c>
      <c r="H94">
        <v>1</v>
      </c>
      <c r="I94">
        <v>41.25</v>
      </c>
    </row>
    <row r="95" spans="1:10" x14ac:dyDescent="0.25">
      <c r="A95" t="s">
        <v>917</v>
      </c>
      <c r="B95" t="s">
        <v>392</v>
      </c>
      <c r="C95" t="s">
        <v>135</v>
      </c>
      <c r="D95">
        <v>34</v>
      </c>
      <c r="E95">
        <v>117</v>
      </c>
      <c r="F95">
        <v>3</v>
      </c>
      <c r="G95">
        <v>48.75</v>
      </c>
    </row>
    <row r="96" spans="1:10" x14ac:dyDescent="0.25">
      <c r="A96" t="s">
        <v>917</v>
      </c>
      <c r="B96" t="s">
        <v>393</v>
      </c>
      <c r="C96" t="s">
        <v>136</v>
      </c>
      <c r="D96">
        <v>206</v>
      </c>
      <c r="E96">
        <v>1195.25</v>
      </c>
      <c r="F96">
        <v>24</v>
      </c>
      <c r="G96">
        <v>285.25</v>
      </c>
      <c r="H96">
        <v>1</v>
      </c>
      <c r="I96">
        <v>54.5</v>
      </c>
    </row>
    <row r="97" spans="1:11" x14ac:dyDescent="0.25">
      <c r="A97" t="s">
        <v>917</v>
      </c>
      <c r="B97" t="s">
        <v>394</v>
      </c>
      <c r="C97" t="s">
        <v>137</v>
      </c>
      <c r="D97">
        <v>109</v>
      </c>
      <c r="E97">
        <v>561.5</v>
      </c>
      <c r="F97">
        <v>6</v>
      </c>
      <c r="G97">
        <v>63.5</v>
      </c>
      <c r="H97">
        <v>1</v>
      </c>
      <c r="I97">
        <v>27.5</v>
      </c>
    </row>
    <row r="98" spans="1:11" x14ac:dyDescent="0.25">
      <c r="A98" t="s">
        <v>917</v>
      </c>
      <c r="B98" t="s">
        <v>395</v>
      </c>
      <c r="C98" t="s">
        <v>138</v>
      </c>
      <c r="D98">
        <v>10</v>
      </c>
      <c r="E98">
        <v>66.5</v>
      </c>
    </row>
    <row r="99" spans="1:11" x14ac:dyDescent="0.25">
      <c r="A99" t="s">
        <v>917</v>
      </c>
      <c r="B99" t="s">
        <v>396</v>
      </c>
      <c r="C99" t="s">
        <v>139</v>
      </c>
      <c r="D99">
        <v>6</v>
      </c>
      <c r="E99">
        <v>28</v>
      </c>
    </row>
    <row r="100" spans="1:11" x14ac:dyDescent="0.25">
      <c r="A100" t="s">
        <v>917</v>
      </c>
      <c r="B100" t="s">
        <v>397</v>
      </c>
      <c r="C100" t="s">
        <v>140</v>
      </c>
      <c r="D100">
        <v>67</v>
      </c>
      <c r="E100">
        <v>372.75</v>
      </c>
      <c r="F100">
        <v>6</v>
      </c>
      <c r="G100">
        <v>50</v>
      </c>
      <c r="J100">
        <v>1</v>
      </c>
    </row>
    <row r="101" spans="1:11" x14ac:dyDescent="0.25">
      <c r="A101" t="s">
        <v>917</v>
      </c>
      <c r="B101" t="s">
        <v>398</v>
      </c>
      <c r="C101" t="s">
        <v>141</v>
      </c>
      <c r="D101">
        <v>66</v>
      </c>
      <c r="E101">
        <v>355.25</v>
      </c>
      <c r="F101">
        <v>1</v>
      </c>
      <c r="G101">
        <v>31.25</v>
      </c>
    </row>
    <row r="102" spans="1:11" x14ac:dyDescent="0.25">
      <c r="A102" t="s">
        <v>917</v>
      </c>
      <c r="B102" t="s">
        <v>399</v>
      </c>
      <c r="C102" t="s">
        <v>142</v>
      </c>
      <c r="D102">
        <v>119</v>
      </c>
      <c r="E102">
        <v>667.5</v>
      </c>
      <c r="F102">
        <v>6</v>
      </c>
      <c r="G102">
        <v>56.25</v>
      </c>
      <c r="J102">
        <v>1</v>
      </c>
      <c r="K102">
        <v>4</v>
      </c>
    </row>
    <row r="103" spans="1:11" x14ac:dyDescent="0.25">
      <c r="A103" t="s">
        <v>917</v>
      </c>
      <c r="B103" t="s">
        <v>400</v>
      </c>
      <c r="C103" t="s">
        <v>143</v>
      </c>
      <c r="D103">
        <v>59</v>
      </c>
      <c r="E103">
        <v>366.5</v>
      </c>
      <c r="F103">
        <v>3</v>
      </c>
      <c r="G103">
        <v>27.25</v>
      </c>
    </row>
    <row r="104" spans="1:11" x14ac:dyDescent="0.25">
      <c r="A104" t="s">
        <v>917</v>
      </c>
      <c r="B104" t="s">
        <v>401</v>
      </c>
      <c r="C104" t="s">
        <v>144</v>
      </c>
      <c r="D104">
        <v>82</v>
      </c>
      <c r="E104">
        <v>493.75</v>
      </c>
      <c r="F104">
        <v>2</v>
      </c>
      <c r="G104">
        <v>11.25</v>
      </c>
    </row>
    <row r="105" spans="1:11" x14ac:dyDescent="0.25">
      <c r="A105" t="s">
        <v>917</v>
      </c>
      <c r="B105" t="s">
        <v>402</v>
      </c>
      <c r="C105" t="s">
        <v>145</v>
      </c>
      <c r="D105">
        <v>62</v>
      </c>
      <c r="E105">
        <v>288.25</v>
      </c>
    </row>
    <row r="106" spans="1:11" x14ac:dyDescent="0.25">
      <c r="A106" t="s">
        <v>917</v>
      </c>
      <c r="B106" t="s">
        <v>403</v>
      </c>
      <c r="C106" t="s">
        <v>943</v>
      </c>
      <c r="D106">
        <v>48</v>
      </c>
      <c r="E106">
        <v>270.5</v>
      </c>
      <c r="F106">
        <v>2</v>
      </c>
      <c r="G106">
        <v>19.25</v>
      </c>
      <c r="J106">
        <v>1</v>
      </c>
      <c r="K106">
        <v>20</v>
      </c>
    </row>
    <row r="107" spans="1:11" x14ac:dyDescent="0.25">
      <c r="A107" t="s">
        <v>1010</v>
      </c>
      <c r="B107" t="s">
        <v>389</v>
      </c>
      <c r="C107" t="s">
        <v>133</v>
      </c>
      <c r="D107">
        <v>234</v>
      </c>
      <c r="E107">
        <v>1455.75</v>
      </c>
      <c r="F107">
        <v>4</v>
      </c>
      <c r="G107">
        <v>97</v>
      </c>
    </row>
    <row r="108" spans="1:11" x14ac:dyDescent="0.25">
      <c r="A108" t="s">
        <v>1010</v>
      </c>
      <c r="B108" t="s">
        <v>390</v>
      </c>
      <c r="C108" t="s">
        <v>134</v>
      </c>
      <c r="D108">
        <v>1392</v>
      </c>
      <c r="E108">
        <v>9003</v>
      </c>
      <c r="F108">
        <v>17</v>
      </c>
      <c r="G108">
        <v>258.5</v>
      </c>
      <c r="H108">
        <v>1</v>
      </c>
      <c r="I108">
        <v>41</v>
      </c>
    </row>
    <row r="109" spans="1:11" x14ac:dyDescent="0.25">
      <c r="A109" t="s">
        <v>1010</v>
      </c>
      <c r="B109" t="s">
        <v>391</v>
      </c>
      <c r="C109" t="s">
        <v>150</v>
      </c>
      <c r="D109">
        <v>1932</v>
      </c>
      <c r="E109">
        <v>7836.5</v>
      </c>
      <c r="F109">
        <v>52</v>
      </c>
      <c r="G109">
        <v>332.25</v>
      </c>
      <c r="H109">
        <v>2</v>
      </c>
      <c r="I109">
        <v>34.25</v>
      </c>
      <c r="J109">
        <v>2</v>
      </c>
      <c r="K109">
        <v>4.25</v>
      </c>
    </row>
    <row r="110" spans="1:11" x14ac:dyDescent="0.25">
      <c r="A110" t="s">
        <v>1010</v>
      </c>
      <c r="B110" t="s">
        <v>392</v>
      </c>
      <c r="C110" t="s">
        <v>135</v>
      </c>
      <c r="D110">
        <v>23</v>
      </c>
      <c r="E110">
        <v>170.25</v>
      </c>
      <c r="F110">
        <v>1</v>
      </c>
      <c r="G110">
        <v>12.25</v>
      </c>
    </row>
    <row r="111" spans="1:11" x14ac:dyDescent="0.25">
      <c r="A111" t="s">
        <v>1010</v>
      </c>
      <c r="B111" t="s">
        <v>393</v>
      </c>
      <c r="C111" t="s">
        <v>136</v>
      </c>
      <c r="D111">
        <v>588</v>
      </c>
      <c r="E111">
        <v>4421</v>
      </c>
      <c r="F111">
        <v>68</v>
      </c>
      <c r="G111">
        <v>848.75</v>
      </c>
      <c r="H111">
        <v>1</v>
      </c>
      <c r="I111">
        <v>29.75</v>
      </c>
      <c r="J111">
        <v>2</v>
      </c>
      <c r="K111">
        <v>11.5</v>
      </c>
    </row>
    <row r="112" spans="1:11" x14ac:dyDescent="0.25">
      <c r="A112" t="s">
        <v>1010</v>
      </c>
      <c r="B112" t="s">
        <v>394</v>
      </c>
      <c r="C112" t="s">
        <v>137</v>
      </c>
      <c r="D112">
        <v>272</v>
      </c>
      <c r="E112">
        <v>1519.25</v>
      </c>
      <c r="F112">
        <v>18</v>
      </c>
      <c r="G112">
        <v>254.75</v>
      </c>
      <c r="H112">
        <v>1</v>
      </c>
      <c r="I112">
        <v>65</v>
      </c>
    </row>
    <row r="113" spans="1:11" x14ac:dyDescent="0.25">
      <c r="A113" t="s">
        <v>1010</v>
      </c>
      <c r="B113" t="s">
        <v>395</v>
      </c>
      <c r="C113" t="s">
        <v>138</v>
      </c>
      <c r="D113">
        <v>10</v>
      </c>
      <c r="E113">
        <v>95.25</v>
      </c>
    </row>
    <row r="114" spans="1:11" x14ac:dyDescent="0.25">
      <c r="A114" t="s">
        <v>1010</v>
      </c>
      <c r="B114" t="s">
        <v>396</v>
      </c>
      <c r="C114" t="s">
        <v>139</v>
      </c>
      <c r="D114">
        <v>21</v>
      </c>
      <c r="E114">
        <v>163</v>
      </c>
    </row>
    <row r="115" spans="1:11" x14ac:dyDescent="0.25">
      <c r="A115" t="s">
        <v>1010</v>
      </c>
      <c r="B115" t="s">
        <v>397</v>
      </c>
      <c r="C115" t="s">
        <v>140</v>
      </c>
      <c r="D115">
        <v>120</v>
      </c>
      <c r="E115">
        <v>699.5</v>
      </c>
      <c r="F115">
        <v>12</v>
      </c>
      <c r="G115">
        <v>115.5</v>
      </c>
      <c r="J115">
        <v>1</v>
      </c>
      <c r="K115">
        <v>7.25</v>
      </c>
    </row>
    <row r="116" spans="1:11" x14ac:dyDescent="0.25">
      <c r="A116" t="s">
        <v>1010</v>
      </c>
      <c r="B116" t="s">
        <v>398</v>
      </c>
      <c r="C116" t="s">
        <v>141</v>
      </c>
      <c r="D116">
        <v>178</v>
      </c>
      <c r="E116">
        <v>1167.5</v>
      </c>
      <c r="F116">
        <v>1</v>
      </c>
      <c r="G116">
        <v>13.75</v>
      </c>
    </row>
    <row r="117" spans="1:11" x14ac:dyDescent="0.25">
      <c r="A117" t="s">
        <v>1010</v>
      </c>
      <c r="B117" t="s">
        <v>399</v>
      </c>
      <c r="C117" t="s">
        <v>142</v>
      </c>
      <c r="D117">
        <v>187</v>
      </c>
      <c r="E117">
        <v>1090.5</v>
      </c>
      <c r="F117">
        <v>6</v>
      </c>
      <c r="G117">
        <v>51</v>
      </c>
      <c r="J117">
        <v>2</v>
      </c>
      <c r="K117">
        <v>18</v>
      </c>
    </row>
    <row r="118" spans="1:11" x14ac:dyDescent="0.25">
      <c r="A118" t="s">
        <v>1010</v>
      </c>
      <c r="B118" t="s">
        <v>400</v>
      </c>
      <c r="C118" t="s">
        <v>143</v>
      </c>
      <c r="D118">
        <v>172</v>
      </c>
      <c r="E118">
        <v>1113</v>
      </c>
      <c r="F118">
        <v>4</v>
      </c>
      <c r="G118">
        <v>36.25</v>
      </c>
    </row>
    <row r="119" spans="1:11" x14ac:dyDescent="0.25">
      <c r="A119" t="s">
        <v>1010</v>
      </c>
      <c r="B119" t="s">
        <v>401</v>
      </c>
      <c r="C119" t="s">
        <v>144</v>
      </c>
      <c r="D119">
        <v>165</v>
      </c>
      <c r="E119">
        <v>1100.75</v>
      </c>
      <c r="F119">
        <v>1</v>
      </c>
      <c r="G119">
        <v>4</v>
      </c>
      <c r="J119">
        <v>1</v>
      </c>
      <c r="K119">
        <v>8</v>
      </c>
    </row>
    <row r="120" spans="1:11" x14ac:dyDescent="0.25">
      <c r="A120" t="s">
        <v>1010</v>
      </c>
      <c r="B120" t="s">
        <v>402</v>
      </c>
      <c r="C120" t="s">
        <v>145</v>
      </c>
      <c r="D120">
        <v>108</v>
      </c>
      <c r="E120">
        <v>655.75</v>
      </c>
      <c r="F120">
        <v>2</v>
      </c>
      <c r="G120">
        <v>27.75</v>
      </c>
    </row>
    <row r="121" spans="1:11" x14ac:dyDescent="0.25">
      <c r="A121" t="s">
        <v>1010</v>
      </c>
      <c r="B121" t="s">
        <v>403</v>
      </c>
      <c r="C121" t="s">
        <v>943</v>
      </c>
      <c r="D121">
        <v>100</v>
      </c>
      <c r="E121">
        <v>607.25</v>
      </c>
    </row>
    <row r="122" spans="1:11" x14ac:dyDescent="0.25">
      <c r="A122" t="s">
        <v>1061</v>
      </c>
      <c r="B122" t="s">
        <v>389</v>
      </c>
      <c r="C122" t="s">
        <v>133</v>
      </c>
      <c r="D122">
        <v>287</v>
      </c>
      <c r="E122">
        <v>1929.75</v>
      </c>
      <c r="F122">
        <v>1</v>
      </c>
      <c r="G122">
        <v>17.25</v>
      </c>
    </row>
    <row r="123" spans="1:11" x14ac:dyDescent="0.25">
      <c r="A123" t="s">
        <v>1061</v>
      </c>
      <c r="B123" t="s">
        <v>390</v>
      </c>
      <c r="C123" t="s">
        <v>134</v>
      </c>
      <c r="D123">
        <v>1575</v>
      </c>
      <c r="E123">
        <v>10482</v>
      </c>
      <c r="F123">
        <v>31</v>
      </c>
      <c r="G123">
        <v>586.75</v>
      </c>
    </row>
    <row r="124" spans="1:11" x14ac:dyDescent="0.25">
      <c r="A124" t="s">
        <v>1061</v>
      </c>
      <c r="B124" t="s">
        <v>391</v>
      </c>
      <c r="C124" t="s">
        <v>150</v>
      </c>
      <c r="D124">
        <v>1859</v>
      </c>
      <c r="E124">
        <v>8252.5</v>
      </c>
      <c r="F124">
        <v>99</v>
      </c>
      <c r="G124">
        <v>781.75</v>
      </c>
    </row>
    <row r="125" spans="1:11" x14ac:dyDescent="0.25">
      <c r="A125" t="s">
        <v>1061</v>
      </c>
      <c r="B125" t="s">
        <v>392</v>
      </c>
      <c r="C125" t="s">
        <v>135</v>
      </c>
      <c r="D125">
        <v>57</v>
      </c>
      <c r="E125">
        <v>325.5</v>
      </c>
      <c r="F125">
        <v>3</v>
      </c>
      <c r="G125">
        <v>37.25</v>
      </c>
    </row>
    <row r="126" spans="1:11" x14ac:dyDescent="0.25">
      <c r="A126" t="s">
        <v>1061</v>
      </c>
      <c r="B126" t="s">
        <v>393</v>
      </c>
      <c r="C126" t="s">
        <v>136</v>
      </c>
      <c r="D126">
        <v>814</v>
      </c>
      <c r="E126">
        <v>5823.75</v>
      </c>
      <c r="F126">
        <v>84</v>
      </c>
      <c r="G126">
        <v>1269.5</v>
      </c>
      <c r="H126">
        <v>1</v>
      </c>
      <c r="I126">
        <v>76</v>
      </c>
      <c r="J126">
        <v>3</v>
      </c>
      <c r="K126">
        <v>31.5</v>
      </c>
    </row>
    <row r="127" spans="1:11" x14ac:dyDescent="0.25">
      <c r="A127" t="s">
        <v>1061</v>
      </c>
      <c r="B127" t="s">
        <v>394</v>
      </c>
      <c r="C127" t="s">
        <v>137</v>
      </c>
      <c r="D127">
        <v>532</v>
      </c>
      <c r="E127">
        <v>2943.25</v>
      </c>
      <c r="F127">
        <v>15</v>
      </c>
      <c r="G127">
        <v>142.75</v>
      </c>
      <c r="H127">
        <v>1</v>
      </c>
      <c r="I127">
        <v>22.25</v>
      </c>
    </row>
    <row r="128" spans="1:11" x14ac:dyDescent="0.25">
      <c r="A128" t="s">
        <v>1061</v>
      </c>
      <c r="B128" t="s">
        <v>395</v>
      </c>
      <c r="C128" t="s">
        <v>138</v>
      </c>
      <c r="D128">
        <v>23</v>
      </c>
      <c r="E128">
        <v>126.75</v>
      </c>
      <c r="F128">
        <v>2</v>
      </c>
      <c r="G128">
        <v>12.75</v>
      </c>
    </row>
    <row r="129" spans="1:11" x14ac:dyDescent="0.25">
      <c r="A129" t="s">
        <v>1061</v>
      </c>
      <c r="B129" t="s">
        <v>396</v>
      </c>
      <c r="C129" t="s">
        <v>139</v>
      </c>
      <c r="D129">
        <v>20</v>
      </c>
      <c r="E129">
        <v>140</v>
      </c>
    </row>
    <row r="130" spans="1:11" x14ac:dyDescent="0.25">
      <c r="A130" t="s">
        <v>1061</v>
      </c>
      <c r="B130" t="s">
        <v>397</v>
      </c>
      <c r="C130" t="s">
        <v>140</v>
      </c>
      <c r="D130">
        <v>179</v>
      </c>
      <c r="E130">
        <v>1122.5</v>
      </c>
      <c r="F130">
        <v>16</v>
      </c>
      <c r="G130">
        <v>212</v>
      </c>
      <c r="J130">
        <v>1</v>
      </c>
      <c r="K130">
        <v>3</v>
      </c>
    </row>
    <row r="131" spans="1:11" x14ac:dyDescent="0.25">
      <c r="A131" t="s">
        <v>1061</v>
      </c>
      <c r="B131" t="s">
        <v>398</v>
      </c>
      <c r="C131" t="s">
        <v>141</v>
      </c>
      <c r="D131">
        <v>217</v>
      </c>
      <c r="E131">
        <v>1482.5</v>
      </c>
      <c r="F131">
        <v>2</v>
      </c>
      <c r="G131">
        <v>25.75</v>
      </c>
    </row>
    <row r="132" spans="1:11" x14ac:dyDescent="0.25">
      <c r="A132" t="s">
        <v>1061</v>
      </c>
      <c r="B132" t="s">
        <v>399</v>
      </c>
      <c r="C132" t="s">
        <v>142</v>
      </c>
      <c r="D132">
        <v>330</v>
      </c>
      <c r="E132">
        <v>2329</v>
      </c>
      <c r="F132">
        <v>12</v>
      </c>
      <c r="G132">
        <v>158.75</v>
      </c>
    </row>
    <row r="133" spans="1:11" x14ac:dyDescent="0.25">
      <c r="A133" t="s">
        <v>1061</v>
      </c>
      <c r="B133" t="s">
        <v>400</v>
      </c>
      <c r="C133" t="s">
        <v>143</v>
      </c>
      <c r="D133">
        <v>162</v>
      </c>
      <c r="E133">
        <v>1142.5</v>
      </c>
      <c r="F133">
        <v>6</v>
      </c>
      <c r="G133">
        <v>56.5</v>
      </c>
    </row>
    <row r="134" spans="1:11" x14ac:dyDescent="0.25">
      <c r="A134" t="s">
        <v>1061</v>
      </c>
      <c r="B134" t="s">
        <v>401</v>
      </c>
      <c r="C134" t="s">
        <v>144</v>
      </c>
      <c r="D134">
        <v>167</v>
      </c>
      <c r="E134">
        <v>1148.75</v>
      </c>
      <c r="F134">
        <v>5</v>
      </c>
      <c r="G134">
        <v>46</v>
      </c>
    </row>
    <row r="135" spans="1:11" x14ac:dyDescent="0.25">
      <c r="A135" t="s">
        <v>1061</v>
      </c>
      <c r="B135" t="s">
        <v>402</v>
      </c>
      <c r="C135" t="s">
        <v>145</v>
      </c>
      <c r="D135">
        <v>109</v>
      </c>
      <c r="E135">
        <v>656.75</v>
      </c>
      <c r="F135">
        <v>1</v>
      </c>
      <c r="G135">
        <v>4.75</v>
      </c>
      <c r="J135">
        <v>1</v>
      </c>
      <c r="K135">
        <v>18</v>
      </c>
    </row>
    <row r="136" spans="1:11" x14ac:dyDescent="0.25">
      <c r="A136" t="s">
        <v>1061</v>
      </c>
      <c r="B136" t="s">
        <v>403</v>
      </c>
      <c r="C136" t="s">
        <v>943</v>
      </c>
      <c r="D136">
        <v>101</v>
      </c>
      <c r="E136">
        <v>621</v>
      </c>
      <c r="F136">
        <v>3</v>
      </c>
      <c r="G136">
        <v>33.25</v>
      </c>
    </row>
    <row r="137" spans="1:11" x14ac:dyDescent="0.25">
      <c r="A137" t="s">
        <v>1108</v>
      </c>
      <c r="B137" t="s">
        <v>389</v>
      </c>
      <c r="C137" t="s">
        <v>133</v>
      </c>
      <c r="D137">
        <v>267</v>
      </c>
      <c r="E137">
        <v>1896.25</v>
      </c>
      <c r="F137">
        <v>20</v>
      </c>
      <c r="G137">
        <v>278.25</v>
      </c>
    </row>
    <row r="138" spans="1:11" x14ac:dyDescent="0.25">
      <c r="A138" t="s">
        <v>1108</v>
      </c>
      <c r="B138" t="s">
        <v>390</v>
      </c>
      <c r="C138" t="s">
        <v>134</v>
      </c>
      <c r="D138">
        <v>1578</v>
      </c>
      <c r="E138">
        <v>9945.75</v>
      </c>
      <c r="F138">
        <v>32</v>
      </c>
      <c r="G138">
        <v>384.25</v>
      </c>
      <c r="J138">
        <v>1</v>
      </c>
      <c r="K138">
        <v>57.25</v>
      </c>
    </row>
    <row r="139" spans="1:11" x14ac:dyDescent="0.25">
      <c r="A139" t="s">
        <v>1108</v>
      </c>
      <c r="B139" t="s">
        <v>391</v>
      </c>
      <c r="C139" t="s">
        <v>150</v>
      </c>
      <c r="D139">
        <v>1765</v>
      </c>
      <c r="E139">
        <v>7900.75</v>
      </c>
      <c r="F139">
        <v>62</v>
      </c>
      <c r="G139">
        <v>473.5</v>
      </c>
      <c r="H139">
        <v>1</v>
      </c>
      <c r="I139">
        <v>30.25</v>
      </c>
      <c r="J139">
        <v>1</v>
      </c>
      <c r="K139">
        <v>4</v>
      </c>
    </row>
    <row r="140" spans="1:11" x14ac:dyDescent="0.25">
      <c r="A140" t="s">
        <v>1108</v>
      </c>
      <c r="B140" t="s">
        <v>392</v>
      </c>
      <c r="C140" t="s">
        <v>135</v>
      </c>
      <c r="D140">
        <v>48</v>
      </c>
      <c r="E140">
        <v>313.25</v>
      </c>
      <c r="F140">
        <v>3</v>
      </c>
      <c r="G140">
        <v>27.75</v>
      </c>
    </row>
    <row r="141" spans="1:11" x14ac:dyDescent="0.25">
      <c r="A141" t="s">
        <v>1108</v>
      </c>
      <c r="B141" t="s">
        <v>393</v>
      </c>
      <c r="C141" t="s">
        <v>136</v>
      </c>
      <c r="D141">
        <v>1020</v>
      </c>
      <c r="E141">
        <v>6979.5</v>
      </c>
      <c r="F141">
        <v>90</v>
      </c>
      <c r="G141">
        <v>1630.75</v>
      </c>
      <c r="H141">
        <v>2</v>
      </c>
      <c r="I141">
        <v>140.25</v>
      </c>
      <c r="J141">
        <v>4</v>
      </c>
      <c r="K141">
        <v>143.75</v>
      </c>
    </row>
    <row r="142" spans="1:11" x14ac:dyDescent="0.25">
      <c r="A142" t="s">
        <v>1108</v>
      </c>
      <c r="B142" t="s">
        <v>394</v>
      </c>
      <c r="C142" t="s">
        <v>137</v>
      </c>
      <c r="D142">
        <v>1212</v>
      </c>
      <c r="E142">
        <v>6995.25</v>
      </c>
      <c r="F142">
        <v>44</v>
      </c>
      <c r="G142">
        <v>503</v>
      </c>
      <c r="H142">
        <v>1</v>
      </c>
      <c r="I142">
        <v>19.25</v>
      </c>
      <c r="J142">
        <v>1</v>
      </c>
      <c r="K142">
        <v>78</v>
      </c>
    </row>
    <row r="143" spans="1:11" x14ac:dyDescent="0.25">
      <c r="A143" t="s">
        <v>1108</v>
      </c>
      <c r="B143" t="s">
        <v>395</v>
      </c>
      <c r="C143" t="s">
        <v>138</v>
      </c>
      <c r="D143">
        <v>11</v>
      </c>
      <c r="E143">
        <v>69</v>
      </c>
    </row>
    <row r="144" spans="1:11" x14ac:dyDescent="0.25">
      <c r="A144" t="s">
        <v>1108</v>
      </c>
      <c r="B144" t="s">
        <v>396</v>
      </c>
      <c r="C144" t="s">
        <v>139</v>
      </c>
      <c r="D144">
        <v>25</v>
      </c>
      <c r="E144">
        <v>143.25</v>
      </c>
    </row>
    <row r="145" spans="1:11" x14ac:dyDescent="0.25">
      <c r="A145" t="s">
        <v>1108</v>
      </c>
      <c r="B145" t="s">
        <v>397</v>
      </c>
      <c r="C145" t="s">
        <v>140</v>
      </c>
      <c r="D145">
        <v>183</v>
      </c>
      <c r="E145">
        <v>1112.5</v>
      </c>
      <c r="F145">
        <v>22</v>
      </c>
      <c r="G145">
        <v>249</v>
      </c>
      <c r="J145">
        <v>2</v>
      </c>
      <c r="K145">
        <v>7.25</v>
      </c>
    </row>
    <row r="146" spans="1:11" x14ac:dyDescent="0.25">
      <c r="A146" t="s">
        <v>1108</v>
      </c>
      <c r="B146" t="s">
        <v>398</v>
      </c>
      <c r="C146" t="s">
        <v>141</v>
      </c>
      <c r="D146">
        <v>157</v>
      </c>
      <c r="E146">
        <v>1092.5</v>
      </c>
      <c r="F146">
        <v>2</v>
      </c>
      <c r="G146">
        <v>21.25</v>
      </c>
    </row>
    <row r="147" spans="1:11" x14ac:dyDescent="0.25">
      <c r="A147" t="s">
        <v>1108</v>
      </c>
      <c r="B147" t="s">
        <v>399</v>
      </c>
      <c r="C147" t="s">
        <v>142</v>
      </c>
      <c r="D147">
        <v>293</v>
      </c>
      <c r="E147">
        <v>1643.5</v>
      </c>
      <c r="F147">
        <v>8</v>
      </c>
      <c r="G147">
        <v>109</v>
      </c>
      <c r="H147">
        <v>1</v>
      </c>
      <c r="I147">
        <v>25</v>
      </c>
      <c r="J147">
        <v>2</v>
      </c>
    </row>
    <row r="148" spans="1:11" x14ac:dyDescent="0.25">
      <c r="A148" t="s">
        <v>1108</v>
      </c>
      <c r="B148" t="s">
        <v>400</v>
      </c>
      <c r="C148" t="s">
        <v>143</v>
      </c>
      <c r="D148">
        <v>170</v>
      </c>
      <c r="E148">
        <v>1127.25</v>
      </c>
      <c r="F148">
        <v>2</v>
      </c>
      <c r="G148">
        <v>37.25</v>
      </c>
      <c r="J148">
        <v>1</v>
      </c>
    </row>
    <row r="149" spans="1:11" x14ac:dyDescent="0.25">
      <c r="A149" t="s">
        <v>1108</v>
      </c>
      <c r="B149" t="s">
        <v>401</v>
      </c>
      <c r="C149" t="s">
        <v>144</v>
      </c>
      <c r="D149">
        <v>220</v>
      </c>
      <c r="E149">
        <v>1402</v>
      </c>
      <c r="F149">
        <v>2</v>
      </c>
      <c r="G149">
        <v>19.25</v>
      </c>
    </row>
    <row r="150" spans="1:11" x14ac:dyDescent="0.25">
      <c r="A150" t="s">
        <v>1108</v>
      </c>
      <c r="B150" t="s">
        <v>402</v>
      </c>
      <c r="C150" t="s">
        <v>145</v>
      </c>
      <c r="D150">
        <v>249</v>
      </c>
      <c r="E150">
        <v>1198</v>
      </c>
    </row>
    <row r="151" spans="1:11" x14ac:dyDescent="0.25">
      <c r="A151" t="s">
        <v>1108</v>
      </c>
      <c r="B151" t="s">
        <v>403</v>
      </c>
      <c r="C151" t="s">
        <v>943</v>
      </c>
      <c r="D151">
        <v>164</v>
      </c>
      <c r="E151">
        <v>1001.5</v>
      </c>
      <c r="F151">
        <v>5</v>
      </c>
      <c r="G151">
        <v>97.75</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34">
    <tabColor theme="3" tint="0.39997558519241921"/>
    <pageSetUpPr fitToPage="1"/>
  </sheetPr>
  <dimension ref="A1:S63"/>
  <sheetViews>
    <sheetView showGridLines="0" zoomScaleNormal="100" workbookViewId="0">
      <pane ySplit="2" topLeftCell="A3" activePane="bottomLeft" state="frozen"/>
      <selection pane="bottomLeft"/>
    </sheetView>
  </sheetViews>
  <sheetFormatPr defaultRowHeight="15" x14ac:dyDescent="0.25"/>
  <cols>
    <col min="1" max="1" width="22.5703125" customWidth="1"/>
    <col min="2" max="2" width="9.140625" bestFit="1" customWidth="1"/>
    <col min="3" max="3" width="10.28515625" bestFit="1" customWidth="1"/>
    <col min="4" max="4" width="9" bestFit="1" customWidth="1"/>
    <col min="5" max="5" width="10.140625" bestFit="1" customWidth="1"/>
    <col min="6" max="6" width="8.42578125" bestFit="1" customWidth="1"/>
    <col min="7" max="7" width="9.140625" bestFit="1" customWidth="1"/>
    <col min="8" max="8" width="18.85546875" bestFit="1" customWidth="1"/>
    <col min="9" max="9" width="20.140625" bestFit="1" customWidth="1"/>
    <col min="10" max="10" width="17.42578125" bestFit="1" customWidth="1"/>
    <col min="11" max="11" width="18.5703125" bestFit="1" customWidth="1"/>
    <col min="12" max="12" width="12.28515625" customWidth="1"/>
    <col min="13" max="13" width="10.85546875" customWidth="1"/>
    <col min="14" max="14" width="14.7109375" customWidth="1"/>
    <col min="15" max="16" width="13.85546875" customWidth="1"/>
    <col min="17" max="17" width="12.85546875" customWidth="1"/>
    <col min="18" max="18" width="13" customWidth="1"/>
  </cols>
  <sheetData>
    <row r="1" spans="1:17" ht="15.75" x14ac:dyDescent="0.25">
      <c r="A1" s="522" t="s">
        <v>560</v>
      </c>
    </row>
    <row r="2" spans="1:17" x14ac:dyDescent="0.25">
      <c r="A2" s="507" t="s">
        <v>511</v>
      </c>
    </row>
    <row r="3" spans="1:17" x14ac:dyDescent="0.25">
      <c r="A3" s="25"/>
    </row>
    <row r="4" spans="1:17" ht="15.75" customHeight="1" x14ac:dyDescent="0.25">
      <c r="A4" s="1019" t="s">
        <v>568</v>
      </c>
      <c r="B4" s="1019"/>
      <c r="C4" s="1019"/>
      <c r="D4" s="1019"/>
      <c r="E4" s="1019"/>
      <c r="F4" s="1019"/>
      <c r="G4" s="1019"/>
      <c r="H4" s="1019"/>
      <c r="I4" s="1019"/>
      <c r="J4" s="1019"/>
      <c r="K4" s="1019"/>
      <c r="L4" s="1019"/>
      <c r="M4" s="1019"/>
      <c r="N4" s="1019"/>
      <c r="O4" s="1019"/>
      <c r="P4" s="1019"/>
      <c r="Q4" s="1019"/>
    </row>
    <row r="5" spans="1:17" ht="15.75" x14ac:dyDescent="0.25">
      <c r="A5" t="s">
        <v>328</v>
      </c>
      <c r="B5" t="s">
        <v>713</v>
      </c>
      <c r="C5" s="508"/>
      <c r="D5" s="508"/>
      <c r="E5" s="508"/>
      <c r="F5" s="508"/>
      <c r="G5" s="508"/>
      <c r="H5" s="508"/>
      <c r="I5" s="508"/>
      <c r="J5" s="508"/>
      <c r="K5" s="508"/>
      <c r="L5" s="508"/>
      <c r="M5" s="508"/>
    </row>
    <row r="6" spans="1:17" ht="15.75" x14ac:dyDescent="0.25">
      <c r="A6" t="s">
        <v>329</v>
      </c>
      <c r="B6" t="s">
        <v>331</v>
      </c>
      <c r="C6" s="508"/>
      <c r="D6" s="508"/>
      <c r="E6" s="508"/>
      <c r="F6" s="508"/>
      <c r="G6" s="508"/>
      <c r="H6" s="508"/>
      <c r="I6" s="508"/>
      <c r="J6" s="508"/>
      <c r="K6" s="508"/>
      <c r="L6" s="508"/>
      <c r="M6" s="508"/>
    </row>
    <row r="7" spans="1:17" ht="15.75" x14ac:dyDescent="0.25">
      <c r="A7" t="s">
        <v>330</v>
      </c>
      <c r="B7" t="s">
        <v>332</v>
      </c>
      <c r="C7" s="508"/>
      <c r="D7" s="508"/>
      <c r="E7" s="508"/>
      <c r="F7" s="508"/>
      <c r="G7" s="508"/>
      <c r="H7" s="508"/>
      <c r="I7" s="508"/>
      <c r="J7" s="508"/>
      <c r="K7" s="508"/>
      <c r="L7" s="508"/>
      <c r="M7" s="508"/>
      <c r="N7" s="25"/>
      <c r="O7" s="25"/>
      <c r="P7" s="25"/>
      <c r="Q7" s="25"/>
    </row>
    <row r="9" spans="1:17" ht="37.5" customHeight="1" x14ac:dyDescent="0.25">
      <c r="A9" s="12"/>
      <c r="B9" s="1041" t="s">
        <v>565</v>
      </c>
      <c r="C9" s="1041"/>
      <c r="D9" s="1041" t="s">
        <v>566</v>
      </c>
      <c r="E9" s="1041"/>
      <c r="F9" s="1041" t="s">
        <v>152</v>
      </c>
      <c r="G9" s="1041"/>
      <c r="H9" s="1041" t="s">
        <v>153</v>
      </c>
      <c r="I9" s="1041"/>
      <c r="J9" s="1041" t="s">
        <v>154</v>
      </c>
      <c r="K9" s="1041"/>
      <c r="L9" s="557"/>
      <c r="M9" s="1045" t="s">
        <v>155</v>
      </c>
      <c r="N9" s="1045"/>
      <c r="O9" s="1045"/>
    </row>
    <row r="10" spans="1:17" ht="39" hidden="1" x14ac:dyDescent="0.25">
      <c r="A10" s="534" t="s">
        <v>313</v>
      </c>
      <c r="B10" s="534" t="s">
        <v>948</v>
      </c>
      <c r="C10" s="534" t="s">
        <v>949</v>
      </c>
      <c r="D10" s="534" t="s">
        <v>950</v>
      </c>
      <c r="E10" s="534" t="s">
        <v>951</v>
      </c>
      <c r="F10" s="534" t="s">
        <v>157</v>
      </c>
      <c r="G10" s="534" t="s">
        <v>1101</v>
      </c>
      <c r="H10" s="534" t="s">
        <v>952</v>
      </c>
      <c r="I10" s="534" t="s">
        <v>953</v>
      </c>
      <c r="J10" s="534" t="s">
        <v>954</v>
      </c>
      <c r="K10" s="612" t="s">
        <v>955</v>
      </c>
      <c r="L10" s="556" t="s">
        <v>567</v>
      </c>
      <c r="M10" s="550" t="s">
        <v>565</v>
      </c>
      <c r="N10" s="246" t="s">
        <v>566</v>
      </c>
      <c r="O10" s="246" t="s">
        <v>159</v>
      </c>
      <c r="P10" s="326" t="s">
        <v>182</v>
      </c>
    </row>
    <row r="11" spans="1:17" ht="39" x14ac:dyDescent="0.25">
      <c r="A11" s="847" t="s">
        <v>1</v>
      </c>
      <c r="B11" s="847" t="s">
        <v>6</v>
      </c>
      <c r="C11" s="847" t="s">
        <v>156</v>
      </c>
      <c r="D11" s="847" t="s">
        <v>6</v>
      </c>
      <c r="E11" s="847" t="s">
        <v>156</v>
      </c>
      <c r="F11" s="847" t="s">
        <v>6</v>
      </c>
      <c r="G11" s="847" t="s">
        <v>156</v>
      </c>
      <c r="H11" s="847" t="s">
        <v>6</v>
      </c>
      <c r="I11" s="847" t="s">
        <v>156</v>
      </c>
      <c r="J11" s="847" t="s">
        <v>6</v>
      </c>
      <c r="K11" s="847" t="s">
        <v>156</v>
      </c>
      <c r="L11" s="844" t="s">
        <v>567</v>
      </c>
      <c r="M11" s="550" t="s">
        <v>565</v>
      </c>
      <c r="N11" s="326" t="s">
        <v>566</v>
      </c>
      <c r="O11" s="326" t="s">
        <v>159</v>
      </c>
      <c r="P11" s="830" t="s">
        <v>182</v>
      </c>
    </row>
    <row r="12" spans="1:17" x14ac:dyDescent="0.25">
      <c r="A12" s="317" t="s">
        <v>942</v>
      </c>
      <c r="B12" s="614">
        <v>3797</v>
      </c>
      <c r="C12" s="614">
        <v>14034</v>
      </c>
      <c r="D12" s="614">
        <v>2264</v>
      </c>
      <c r="E12" s="614">
        <v>10793</v>
      </c>
      <c r="F12" s="615">
        <f>pp_PPED_Audits_Outcome[[#This Row],[A_Tally]]+pp_PPED_Audits_Outcome[[#This Row],[B_Tally]]</f>
        <v>6061</v>
      </c>
      <c r="G12" s="615">
        <f>pp_PPED_Audits_Outcome[[#This Row],[A_Hours]]+pp_PPED_Audits_Outcome[[#This Row],[B_Hours]]</f>
        <v>24827</v>
      </c>
      <c r="H12" s="623">
        <v>58</v>
      </c>
      <c r="I12" s="614">
        <v>300</v>
      </c>
      <c r="J12" s="614">
        <v>20</v>
      </c>
      <c r="K12" s="846">
        <v>127</v>
      </c>
      <c r="L12" s="845">
        <f>B12/F12*100</f>
        <v>62.646427982181166</v>
      </c>
      <c r="M12" s="622">
        <f>C12/B12</f>
        <v>3.6960758493547536</v>
      </c>
      <c r="N12" s="843">
        <f>E12/D12</f>
        <v>4.7672261484098941</v>
      </c>
      <c r="O12" s="843">
        <f>I12/H12</f>
        <v>5.1724137931034484</v>
      </c>
      <c r="P12" s="831">
        <f>K12/J12</f>
        <v>6.35</v>
      </c>
    </row>
    <row r="13" spans="1:17" x14ac:dyDescent="0.25">
      <c r="A13" s="317" t="s">
        <v>923</v>
      </c>
      <c r="B13" s="614">
        <v>4947</v>
      </c>
      <c r="C13" s="614">
        <v>29138</v>
      </c>
      <c r="D13" s="614">
        <v>1797</v>
      </c>
      <c r="E13" s="614">
        <v>11747</v>
      </c>
      <c r="F13" s="615">
        <f>pp_PPED_Audits_Outcome[[#This Row],[A_Tally]]+pp_PPED_Audits_Outcome[[#This Row],[B_Tally]]</f>
        <v>6744</v>
      </c>
      <c r="G13" s="615">
        <f>pp_PPED_Audits_Outcome[[#This Row],[A_Hours]]+pp_PPED_Audits_Outcome[[#This Row],[B_Hours]]</f>
        <v>40885</v>
      </c>
      <c r="H13" s="623">
        <v>55</v>
      </c>
      <c r="I13" s="614">
        <v>453</v>
      </c>
      <c r="J13" s="614">
        <v>13</v>
      </c>
      <c r="K13" s="620">
        <v>94</v>
      </c>
      <c r="L13" s="845">
        <f t="shared" ref="L13:L26" si="0">B13/F13*100</f>
        <v>73.354092526690394</v>
      </c>
      <c r="M13" s="622">
        <f t="shared" ref="M13:M26" si="1">C13/B13</f>
        <v>5.8900343642611688</v>
      </c>
      <c r="N13" s="843">
        <f t="shared" ref="N13:N26" si="2">E13/D13</f>
        <v>6.5370061213132997</v>
      </c>
      <c r="O13" s="843">
        <f t="shared" ref="O13:O26" si="3">I13/H13</f>
        <v>8.2363636363636363</v>
      </c>
      <c r="P13" s="832">
        <f t="shared" ref="P13:P26" si="4">K13/J13</f>
        <v>7.2307692307692308</v>
      </c>
    </row>
    <row r="14" spans="1:17" x14ac:dyDescent="0.25">
      <c r="A14" s="317" t="s">
        <v>309</v>
      </c>
      <c r="B14" s="623">
        <v>6829</v>
      </c>
      <c r="C14" s="623">
        <v>42023</v>
      </c>
      <c r="D14" s="623">
        <v>726</v>
      </c>
      <c r="E14" s="623">
        <v>7946</v>
      </c>
      <c r="F14" s="624">
        <f>pp_PPED_Audits_Outcome[[#This Row],[A_Tally]]+pp_PPED_Audits_Outcome[[#This Row],[B_Tally]]</f>
        <v>7555</v>
      </c>
      <c r="G14" s="624">
        <f>pp_PPED_Audits_Outcome[[#This Row],[A_Hours]]+pp_PPED_Audits_Outcome[[#This Row],[B_Hours]]</f>
        <v>49969</v>
      </c>
      <c r="H14" s="623">
        <v>40</v>
      </c>
      <c r="I14" s="623">
        <v>267</v>
      </c>
      <c r="J14" s="623">
        <v>26</v>
      </c>
      <c r="K14" s="808">
        <v>144</v>
      </c>
      <c r="L14" s="845">
        <f t="shared" si="0"/>
        <v>90.390469887491733</v>
      </c>
      <c r="M14" s="622">
        <f t="shared" si="1"/>
        <v>6.1536096060916678</v>
      </c>
      <c r="N14" s="843">
        <f t="shared" si="2"/>
        <v>10.944903581267218</v>
      </c>
      <c r="O14" s="843">
        <f t="shared" si="3"/>
        <v>6.6749999999999998</v>
      </c>
      <c r="P14" s="832">
        <f t="shared" si="4"/>
        <v>5.5384615384615383</v>
      </c>
    </row>
    <row r="15" spans="1:17" x14ac:dyDescent="0.25">
      <c r="A15" s="842" t="s">
        <v>193</v>
      </c>
      <c r="B15" s="801">
        <v>7230</v>
      </c>
      <c r="C15" s="801">
        <v>34986</v>
      </c>
      <c r="D15" s="801">
        <v>764</v>
      </c>
      <c r="E15" s="801">
        <v>5742</v>
      </c>
      <c r="F15" s="802">
        <f>pp_PPED_Audits_Outcome[[#This Row],[A_Tally]]+pp_PPED_Audits_Outcome[[#This Row],[B_Tally]]</f>
        <v>7994</v>
      </c>
      <c r="G15" s="803">
        <f>pp_PPED_Audits_Outcome[[#This Row],[A_Hours]]+pp_PPED_Audits_Outcome[[#This Row],[B_Hours]]</f>
        <v>40728</v>
      </c>
      <c r="H15" s="801">
        <v>43</v>
      </c>
      <c r="I15" s="801">
        <v>251</v>
      </c>
      <c r="J15" s="801">
        <v>22</v>
      </c>
      <c r="K15" s="804">
        <v>100</v>
      </c>
      <c r="L15" s="845">
        <f t="shared" si="0"/>
        <v>90.442832124093059</v>
      </c>
      <c r="M15" s="622">
        <f t="shared" si="1"/>
        <v>4.839004149377593</v>
      </c>
      <c r="N15" s="843">
        <f t="shared" si="2"/>
        <v>7.5157068062827221</v>
      </c>
      <c r="O15" s="843">
        <f t="shared" si="3"/>
        <v>5.8372093023255811</v>
      </c>
      <c r="P15" s="832">
        <f t="shared" si="4"/>
        <v>4.5454545454545459</v>
      </c>
    </row>
    <row r="16" spans="1:17" x14ac:dyDescent="0.25">
      <c r="A16" s="317" t="s">
        <v>192</v>
      </c>
      <c r="B16" s="719">
        <v>0</v>
      </c>
      <c r="C16" s="719">
        <v>0</v>
      </c>
      <c r="D16" s="719">
        <v>0</v>
      </c>
      <c r="E16" s="719">
        <v>0</v>
      </c>
      <c r="F16" s="848">
        <f>pp_PPED_Audits_Outcome[[#This Row],[A_Tally]]+pp_PPED_Audits_Outcome[[#This Row],[B_Tally]]</f>
        <v>0</v>
      </c>
      <c r="G16" s="848">
        <f>pp_PPED_Audits_Outcome[[#This Row],[A_Hours]]+pp_PPED_Audits_Outcome[[#This Row],[B_Hours]]</f>
        <v>0</v>
      </c>
      <c r="H16" s="735">
        <v>0</v>
      </c>
      <c r="I16" s="719">
        <v>0</v>
      </c>
      <c r="J16" s="719">
        <v>0</v>
      </c>
      <c r="K16" s="852">
        <v>0</v>
      </c>
      <c r="L16" s="853" t="s">
        <v>564</v>
      </c>
      <c r="M16" s="849" t="s">
        <v>564</v>
      </c>
      <c r="N16" s="850" t="s">
        <v>564</v>
      </c>
      <c r="O16" s="850" t="s">
        <v>564</v>
      </c>
      <c r="P16" s="851" t="s">
        <v>564</v>
      </c>
    </row>
    <row r="17" spans="1:18" x14ac:dyDescent="0.25">
      <c r="A17" s="317" t="s">
        <v>191</v>
      </c>
      <c r="B17" s="614">
        <v>7816</v>
      </c>
      <c r="C17" s="614">
        <v>40485</v>
      </c>
      <c r="D17" s="614">
        <v>390</v>
      </c>
      <c r="E17" s="614">
        <v>3134.5</v>
      </c>
      <c r="F17" s="615">
        <f>pp_PPED_Audits_Outcome[[#This Row],[A_Tally]]+pp_PPED_Audits_Outcome[[#This Row],[B_Tally]]</f>
        <v>8206</v>
      </c>
      <c r="G17" s="615">
        <f>pp_PPED_Audits_Outcome[[#This Row],[A_Hours]]+pp_PPED_Audits_Outcome[[#This Row],[B_Hours]]</f>
        <v>43619.5</v>
      </c>
      <c r="H17" s="623">
        <v>10</v>
      </c>
      <c r="I17" s="614">
        <v>206.25</v>
      </c>
      <c r="J17" s="614">
        <v>3</v>
      </c>
      <c r="K17" s="614">
        <v>25.5</v>
      </c>
      <c r="L17" s="621">
        <f t="shared" si="0"/>
        <v>95.247379965878622</v>
      </c>
      <c r="M17" s="622">
        <f t="shared" si="1"/>
        <v>5.1797594677584442</v>
      </c>
      <c r="N17" s="843">
        <f t="shared" si="2"/>
        <v>8.0371794871794879</v>
      </c>
      <c r="O17" s="843">
        <f t="shared" si="3"/>
        <v>20.625</v>
      </c>
      <c r="P17" s="832">
        <f t="shared" si="4"/>
        <v>8.5</v>
      </c>
    </row>
    <row r="18" spans="1:18" x14ac:dyDescent="0.25">
      <c r="A18" s="317" t="s">
        <v>190</v>
      </c>
      <c r="B18" s="614">
        <v>9185</v>
      </c>
      <c r="C18" s="614">
        <v>44965</v>
      </c>
      <c r="D18" s="614">
        <v>649</v>
      </c>
      <c r="E18" s="614">
        <v>6069.5</v>
      </c>
      <c r="F18" s="615">
        <f>pp_PPED_Audits_Outcome[[#This Row],[A_Tally]]+pp_PPED_Audits_Outcome[[#This Row],[B_Tally]]</f>
        <v>9834</v>
      </c>
      <c r="G18" s="615">
        <f>pp_PPED_Audits_Outcome[[#This Row],[A_Hours]]+pp_PPED_Audits_Outcome[[#This Row],[B_Hours]]</f>
        <v>51034.5</v>
      </c>
      <c r="H18" s="623">
        <v>23</v>
      </c>
      <c r="I18" s="614">
        <v>612</v>
      </c>
      <c r="J18" s="614">
        <v>4</v>
      </c>
      <c r="K18" s="614">
        <v>23.25</v>
      </c>
      <c r="L18" s="621">
        <f t="shared" si="0"/>
        <v>93.400447427293059</v>
      </c>
      <c r="M18" s="622">
        <f t="shared" si="1"/>
        <v>4.895481763745237</v>
      </c>
      <c r="N18" s="843">
        <f t="shared" si="2"/>
        <v>9.352080123266564</v>
      </c>
      <c r="O18" s="843">
        <f t="shared" si="3"/>
        <v>26.608695652173914</v>
      </c>
      <c r="P18" s="832">
        <f t="shared" si="4"/>
        <v>5.8125</v>
      </c>
    </row>
    <row r="19" spans="1:18" x14ac:dyDescent="0.25">
      <c r="A19" s="317" t="s">
        <v>257</v>
      </c>
      <c r="B19" s="614">
        <v>8385</v>
      </c>
      <c r="C19" s="614">
        <v>41376</v>
      </c>
      <c r="D19" s="614">
        <v>554</v>
      </c>
      <c r="E19" s="614">
        <v>4990.75</v>
      </c>
      <c r="F19" s="615">
        <f>pp_PPED_Audits_Outcome[[#This Row],[A_Tally]]+pp_PPED_Audits_Outcome[[#This Row],[B_Tally]]</f>
        <v>8939</v>
      </c>
      <c r="G19" s="615">
        <f>pp_PPED_Audits_Outcome[[#This Row],[A_Hours]]+pp_PPED_Audits_Outcome[[#This Row],[B_Hours]]</f>
        <v>46366.75</v>
      </c>
      <c r="H19" s="623">
        <v>21</v>
      </c>
      <c r="I19" s="614">
        <v>395.25</v>
      </c>
      <c r="J19" s="614">
        <v>12</v>
      </c>
      <c r="K19" s="614">
        <v>72.25</v>
      </c>
      <c r="L19" s="621">
        <f t="shared" si="0"/>
        <v>93.802438751538205</v>
      </c>
      <c r="M19" s="622">
        <f t="shared" si="1"/>
        <v>4.9345259391771021</v>
      </c>
      <c r="N19" s="843">
        <f t="shared" si="2"/>
        <v>9.0085740072202167</v>
      </c>
      <c r="O19" s="843">
        <f t="shared" si="3"/>
        <v>18.821428571428573</v>
      </c>
      <c r="P19" s="832">
        <f t="shared" si="4"/>
        <v>6.020833333333333</v>
      </c>
    </row>
    <row r="20" spans="1:18" x14ac:dyDescent="0.25">
      <c r="A20" s="317" t="s">
        <v>240</v>
      </c>
      <c r="B20" s="614">
        <v>7167</v>
      </c>
      <c r="C20" s="614">
        <v>34688.5</v>
      </c>
      <c r="D20" s="614">
        <v>468</v>
      </c>
      <c r="E20" s="614">
        <v>4782</v>
      </c>
      <c r="F20" s="615">
        <f>pp_PPED_Audits_Outcome[[#This Row],[A_Tally]]+pp_PPED_Audits_Outcome[[#This Row],[B_Tally]]</f>
        <v>7635</v>
      </c>
      <c r="G20" s="615">
        <f>pp_PPED_Audits_Outcome[[#This Row],[A_Hours]]+pp_PPED_Audits_Outcome[[#This Row],[B_Hours]]</f>
        <v>39470.5</v>
      </c>
      <c r="H20" s="623">
        <v>15</v>
      </c>
      <c r="I20" s="614">
        <v>465.5</v>
      </c>
      <c r="J20" s="614">
        <v>17</v>
      </c>
      <c r="K20" s="614">
        <v>128.5</v>
      </c>
      <c r="L20" s="621">
        <f t="shared" si="0"/>
        <v>93.870333988212181</v>
      </c>
      <c r="M20" s="622">
        <f t="shared" si="1"/>
        <v>4.8400306962466866</v>
      </c>
      <c r="N20" s="843">
        <f t="shared" si="2"/>
        <v>10.217948717948717</v>
      </c>
      <c r="O20" s="843">
        <f t="shared" si="3"/>
        <v>31.033333333333335</v>
      </c>
      <c r="P20" s="832">
        <f t="shared" si="4"/>
        <v>7.5588235294117645</v>
      </c>
    </row>
    <row r="21" spans="1:18" x14ac:dyDescent="0.25">
      <c r="A21" s="317" t="s">
        <v>239</v>
      </c>
      <c r="B21" s="614">
        <v>7508</v>
      </c>
      <c r="C21" s="614">
        <v>36452.25</v>
      </c>
      <c r="D21" s="614">
        <v>364</v>
      </c>
      <c r="E21" s="614">
        <v>3759.25</v>
      </c>
      <c r="F21" s="615">
        <f>pp_PPED_Audits_Outcome[[#This Row],[A_Tally]]+pp_PPED_Audits_Outcome[[#This Row],[B_Tally]]</f>
        <v>7872</v>
      </c>
      <c r="G21" s="615">
        <f>pp_PPED_Audits_Outcome[[#This Row],[A_Hours]]+pp_PPED_Audits_Outcome[[#This Row],[B_Hours]]</f>
        <v>40211.5</v>
      </c>
      <c r="H21" s="623">
        <v>22</v>
      </c>
      <c r="I21" s="614">
        <v>521.75</v>
      </c>
      <c r="J21" s="614">
        <v>20</v>
      </c>
      <c r="K21" s="614">
        <v>237.5</v>
      </c>
      <c r="L21" s="621">
        <f t="shared" si="0"/>
        <v>95.376016260162601</v>
      </c>
      <c r="M21" s="622">
        <f t="shared" si="1"/>
        <v>4.8551212040490146</v>
      </c>
      <c r="N21" s="843">
        <f t="shared" si="2"/>
        <v>10.327609890109891</v>
      </c>
      <c r="O21" s="843">
        <f t="shared" si="3"/>
        <v>23.71590909090909</v>
      </c>
      <c r="P21" s="832">
        <f t="shared" si="4"/>
        <v>11.875</v>
      </c>
    </row>
    <row r="22" spans="1:18" x14ac:dyDescent="0.25">
      <c r="A22" s="317" t="s">
        <v>760</v>
      </c>
      <c r="B22" s="614">
        <v>6873</v>
      </c>
      <c r="C22" s="719" t="s">
        <v>564</v>
      </c>
      <c r="D22" s="614">
        <v>388</v>
      </c>
      <c r="E22" s="719" t="s">
        <v>564</v>
      </c>
      <c r="F22" s="615">
        <f>pp_PPED_Audits_Outcome[[#This Row],[A_Tally]]+pp_PPED_Audits_Outcome[[#This Row],[B_Tally]]</f>
        <v>7261</v>
      </c>
      <c r="G22" s="848" t="s">
        <v>564</v>
      </c>
      <c r="H22" s="623">
        <v>1</v>
      </c>
      <c r="I22" s="719" t="s">
        <v>564</v>
      </c>
      <c r="J22" s="614">
        <v>12</v>
      </c>
      <c r="K22" s="719" t="s">
        <v>564</v>
      </c>
      <c r="L22" s="621">
        <f t="shared" si="0"/>
        <v>94.656383418261953</v>
      </c>
      <c r="M22" s="849" t="s">
        <v>564</v>
      </c>
      <c r="N22" s="850" t="s">
        <v>564</v>
      </c>
      <c r="O22" s="850" t="s">
        <v>564</v>
      </c>
      <c r="P22" s="851" t="s">
        <v>564</v>
      </c>
    </row>
    <row r="23" spans="1:18" x14ac:dyDescent="0.25">
      <c r="A23" s="317" t="s">
        <v>917</v>
      </c>
      <c r="B23" s="614">
        <v>3200</v>
      </c>
      <c r="C23" s="614">
        <v>16371</v>
      </c>
      <c r="D23" s="614">
        <v>119</v>
      </c>
      <c r="E23" s="614">
        <v>1407.5</v>
      </c>
      <c r="F23" s="615">
        <f>pp_PPED_Audits_Outcome[[#This Row],[A_Tally]]+pp_PPED_Audits_Outcome[[#This Row],[B_Tally]]</f>
        <v>3319</v>
      </c>
      <c r="G23" s="615">
        <f>pp_PPED_Audits_Outcome[[#This Row],[A_Hours]]+pp_PPED_Audits_Outcome[[#This Row],[B_Hours]]</f>
        <v>17778.5</v>
      </c>
      <c r="H23" s="623">
        <v>3</v>
      </c>
      <c r="I23" s="614">
        <v>123</v>
      </c>
      <c r="J23" s="614">
        <v>3</v>
      </c>
      <c r="K23" s="614">
        <v>24</v>
      </c>
      <c r="L23" s="621">
        <f t="shared" si="0"/>
        <v>96.414582705634217</v>
      </c>
      <c r="M23" s="622">
        <f t="shared" si="1"/>
        <v>5.1159375000000002</v>
      </c>
      <c r="N23" s="843">
        <f t="shared" si="2"/>
        <v>11.827731092436975</v>
      </c>
      <c r="O23" s="843">
        <f t="shared" si="3"/>
        <v>41</v>
      </c>
      <c r="P23" s="832">
        <f t="shared" si="4"/>
        <v>8</v>
      </c>
    </row>
    <row r="24" spans="1:18" x14ac:dyDescent="0.25">
      <c r="A24" s="317" t="s">
        <v>1010</v>
      </c>
      <c r="B24" s="614">
        <v>5502</v>
      </c>
      <c r="C24" s="614">
        <v>31098.25</v>
      </c>
      <c r="D24" s="614">
        <v>186</v>
      </c>
      <c r="E24" s="614">
        <v>2051.75</v>
      </c>
      <c r="F24" s="615">
        <f>pp_PPED_Audits_Outcome[[#This Row],[A_Tally]]+pp_PPED_Audits_Outcome[[#This Row],[B_Tally]]</f>
        <v>5688</v>
      </c>
      <c r="G24" s="615">
        <f>pp_PPED_Audits_Outcome[[#This Row],[A_Hours]]+pp_PPED_Audits_Outcome[[#This Row],[B_Hours]]</f>
        <v>33150</v>
      </c>
      <c r="H24" s="623">
        <v>5</v>
      </c>
      <c r="I24" s="623">
        <v>170</v>
      </c>
      <c r="J24" s="623">
        <v>8</v>
      </c>
      <c r="K24" s="623">
        <v>49</v>
      </c>
      <c r="L24" s="621">
        <f t="shared" si="0"/>
        <v>96.729957805907176</v>
      </c>
      <c r="M24" s="622">
        <f t="shared" si="1"/>
        <v>5.6521719374772807</v>
      </c>
      <c r="N24" s="843">
        <f t="shared" si="2"/>
        <v>11.030913978494624</v>
      </c>
      <c r="O24" s="843">
        <f t="shared" si="3"/>
        <v>34</v>
      </c>
      <c r="P24" s="832">
        <f t="shared" si="4"/>
        <v>6.125</v>
      </c>
    </row>
    <row r="25" spans="1:18" x14ac:dyDescent="0.25">
      <c r="A25" s="317" t="s">
        <v>1061</v>
      </c>
      <c r="B25" s="623">
        <v>6432</v>
      </c>
      <c r="C25" s="623">
        <v>38526.5</v>
      </c>
      <c r="D25" s="623">
        <v>280</v>
      </c>
      <c r="E25" s="623">
        <v>3385</v>
      </c>
      <c r="F25" s="624">
        <f>pp_PPED_Audits_Outcome[[#This Row],[A_Tally]]+pp_PPED_Audits_Outcome[[#This Row],[B_Tally]]</f>
        <v>6712</v>
      </c>
      <c r="G25" s="624">
        <f>pp_PPED_Audits_Outcome[[#This Row],[A_Hours]]+pp_PPED_Audits_Outcome[[#This Row],[B_Hours]]</f>
        <v>41911.5</v>
      </c>
      <c r="H25" s="623">
        <v>2</v>
      </c>
      <c r="I25" s="623">
        <v>98.25</v>
      </c>
      <c r="J25" s="623">
        <v>5</v>
      </c>
      <c r="K25" s="623">
        <v>52.5</v>
      </c>
      <c r="L25" s="621">
        <f t="shared" si="0"/>
        <v>95.828367103694873</v>
      </c>
      <c r="M25" s="622">
        <f t="shared" si="1"/>
        <v>5.9898165422885574</v>
      </c>
      <c r="N25" s="843">
        <f t="shared" si="2"/>
        <v>12.089285714285714</v>
      </c>
      <c r="O25" s="843">
        <f t="shared" si="3"/>
        <v>49.125</v>
      </c>
      <c r="P25" s="832">
        <f t="shared" si="4"/>
        <v>10.5</v>
      </c>
    </row>
    <row r="26" spans="1:18" x14ac:dyDescent="0.25">
      <c r="A26" s="317" t="s">
        <v>1108</v>
      </c>
      <c r="B26" s="614">
        <v>7362</v>
      </c>
      <c r="C26" s="614">
        <v>42820.25</v>
      </c>
      <c r="D26" s="614">
        <v>292</v>
      </c>
      <c r="E26" s="614">
        <v>3831</v>
      </c>
      <c r="F26" s="615">
        <f>pp_PPED_Audits_Outcome[[#This Row],[A_Tally]]+pp_PPED_Audits_Outcome[[#This Row],[B_Tally]]</f>
        <v>7654</v>
      </c>
      <c r="G26" s="615">
        <f>pp_PPED_Audits_Outcome[[#This Row],[A_Hours]]+pp_PPED_Audits_Outcome[[#This Row],[B_Hours]]</f>
        <v>46651.25</v>
      </c>
      <c r="H26" s="623">
        <v>5</v>
      </c>
      <c r="I26" s="614">
        <v>214.75</v>
      </c>
      <c r="J26" s="614">
        <v>12</v>
      </c>
      <c r="K26" s="614">
        <v>290.25</v>
      </c>
      <c r="L26" s="805">
        <f t="shared" si="0"/>
        <v>96.185001306506408</v>
      </c>
      <c r="M26" s="806">
        <f t="shared" si="1"/>
        <v>5.8163882097256181</v>
      </c>
      <c r="N26" s="807">
        <f t="shared" si="2"/>
        <v>13.11986301369863</v>
      </c>
      <c r="O26" s="807">
        <f t="shared" si="3"/>
        <v>42.95</v>
      </c>
      <c r="P26" s="833">
        <f t="shared" si="4"/>
        <v>24.1875</v>
      </c>
      <c r="Q26" s="249"/>
      <c r="R26" s="249"/>
    </row>
    <row r="27" spans="1:18" x14ac:dyDescent="0.25">
      <c r="A27" s="250"/>
      <c r="B27" s="104"/>
      <c r="C27" s="613"/>
      <c r="D27" s="212"/>
      <c r="E27" s="212"/>
      <c r="F27" s="212"/>
      <c r="G27" s="212"/>
      <c r="H27" s="212"/>
      <c r="I27" s="613"/>
      <c r="J27" s="212"/>
      <c r="K27" s="212"/>
      <c r="L27" s="15"/>
      <c r="M27" s="15"/>
      <c r="N27" s="15"/>
      <c r="O27" s="15"/>
      <c r="P27" s="15"/>
      <c r="Q27" s="15"/>
    </row>
    <row r="28" spans="1:18" x14ac:dyDescent="0.25">
      <c r="A28" s="341" t="s">
        <v>8</v>
      </c>
      <c r="B28" s="15"/>
      <c r="C28" s="15"/>
      <c r="D28" s="15"/>
      <c r="E28" s="15"/>
      <c r="F28" s="15"/>
      <c r="G28" s="15"/>
      <c r="H28" s="282"/>
      <c r="I28" s="282"/>
      <c r="J28" s="15"/>
      <c r="K28" s="15"/>
      <c r="L28" s="581"/>
      <c r="M28" s="581"/>
      <c r="N28" s="581"/>
      <c r="O28" s="581"/>
      <c r="P28" s="581"/>
      <c r="Q28" s="15"/>
    </row>
    <row r="29" spans="1:18" x14ac:dyDescent="0.25">
      <c r="A29" s="854" t="s">
        <v>873</v>
      </c>
      <c r="B29" s="15"/>
      <c r="C29" s="15"/>
      <c r="D29" s="15"/>
      <c r="E29" s="15"/>
      <c r="F29" s="15"/>
      <c r="G29" s="15"/>
      <c r="H29" s="282"/>
      <c r="I29" s="282"/>
      <c r="J29" s="15"/>
      <c r="K29" s="15"/>
      <c r="L29" s="15"/>
      <c r="M29" s="15"/>
      <c r="N29" s="15"/>
      <c r="O29" s="15"/>
      <c r="P29" s="15"/>
      <c r="Q29" s="15"/>
    </row>
    <row r="30" spans="1:18" x14ac:dyDescent="0.25">
      <c r="A30" s="854" t="s">
        <v>225</v>
      </c>
      <c r="B30" s="15"/>
      <c r="C30" s="15"/>
      <c r="D30" s="15"/>
      <c r="E30" s="15"/>
      <c r="F30" s="15"/>
      <c r="G30" s="15"/>
      <c r="H30" s="15"/>
      <c r="I30" s="15"/>
      <c r="J30" s="15"/>
      <c r="K30" s="15"/>
      <c r="L30" s="15"/>
      <c r="M30" s="15"/>
      <c r="N30" s="15"/>
      <c r="O30" s="15"/>
      <c r="P30" s="15"/>
      <c r="Q30" s="581"/>
      <c r="R30" s="581"/>
    </row>
    <row r="31" spans="1:18" ht="45.95" customHeight="1" x14ac:dyDescent="0.25">
      <c r="A31" s="1043" t="s">
        <v>754</v>
      </c>
      <c r="B31" s="1043"/>
      <c r="C31" s="1043"/>
      <c r="D31" s="1043"/>
      <c r="E31" s="1043"/>
      <c r="F31" s="1043"/>
      <c r="G31" s="1043"/>
      <c r="H31" s="1043"/>
      <c r="I31" s="1043"/>
      <c r="J31" s="581"/>
      <c r="K31" s="581"/>
      <c r="L31" s="15"/>
      <c r="M31" s="15"/>
      <c r="N31" s="15"/>
      <c r="O31" s="15"/>
      <c r="P31" s="15"/>
      <c r="Q31" s="15"/>
    </row>
    <row r="32" spans="1:18" ht="15.75" x14ac:dyDescent="0.25">
      <c r="A32" s="343" t="s">
        <v>756</v>
      </c>
      <c r="B32" s="15"/>
      <c r="C32" s="15"/>
      <c r="D32" s="15"/>
      <c r="E32" s="15"/>
      <c r="F32" s="15"/>
      <c r="G32" s="15"/>
      <c r="H32" s="15"/>
      <c r="I32" s="15"/>
      <c r="J32" s="15"/>
      <c r="K32" s="15"/>
      <c r="L32" s="429"/>
      <c r="M32" s="429"/>
      <c r="N32" s="429"/>
      <c r="O32" s="429"/>
      <c r="P32" s="429"/>
      <c r="Q32" s="15"/>
    </row>
    <row r="33" spans="1:17" ht="15.75" x14ac:dyDescent="0.25">
      <c r="A33" s="343"/>
      <c r="B33" s="15"/>
      <c r="C33" s="15"/>
      <c r="D33" s="15"/>
      <c r="E33" s="15"/>
      <c r="F33" s="15"/>
      <c r="G33" s="15"/>
      <c r="H33" s="15"/>
      <c r="I33" s="15"/>
      <c r="J33" s="15"/>
      <c r="K33" s="15"/>
      <c r="L33" s="508"/>
      <c r="M33" s="508"/>
      <c r="Q33" s="15"/>
    </row>
    <row r="34" spans="1:17" ht="15.75" x14ac:dyDescent="0.25">
      <c r="A34" s="15"/>
      <c r="B34" s="15"/>
      <c r="C34" s="15"/>
      <c r="D34" s="15"/>
      <c r="E34" s="15"/>
      <c r="F34" s="15"/>
      <c r="G34" s="15"/>
      <c r="H34" s="15"/>
      <c r="I34" s="15"/>
      <c r="J34" s="15"/>
      <c r="K34" s="15"/>
      <c r="L34" s="508"/>
      <c r="M34" s="508"/>
      <c r="Q34" s="429"/>
    </row>
    <row r="35" spans="1:17" ht="15.75" x14ac:dyDescent="0.25">
      <c r="A35" s="429" t="s">
        <v>569</v>
      </c>
      <c r="B35" s="429"/>
      <c r="C35" s="429"/>
      <c r="D35" s="429"/>
      <c r="E35" s="429"/>
      <c r="F35" s="429"/>
      <c r="G35" s="429"/>
      <c r="H35" s="429"/>
      <c r="I35" s="429"/>
      <c r="J35" s="429"/>
      <c r="K35" s="429"/>
      <c r="L35" s="508"/>
      <c r="M35" s="508"/>
      <c r="N35" s="25"/>
      <c r="O35" s="25"/>
      <c r="P35" s="25"/>
    </row>
    <row r="36" spans="1:17" ht="15.75" x14ac:dyDescent="0.25">
      <c r="A36" t="s">
        <v>328</v>
      </c>
      <c r="B36" t="s">
        <v>714</v>
      </c>
      <c r="C36" s="508"/>
      <c r="D36" s="508"/>
      <c r="E36" s="508"/>
      <c r="F36" s="508"/>
      <c r="G36" s="508"/>
      <c r="H36" s="508"/>
      <c r="I36" s="508"/>
      <c r="J36" s="508"/>
      <c r="K36" s="508"/>
      <c r="L36" s="429"/>
      <c r="M36" s="429"/>
      <c r="N36" s="429"/>
      <c r="O36" s="429"/>
      <c r="P36" s="429"/>
    </row>
    <row r="37" spans="1:17" ht="15.75" x14ac:dyDescent="0.25">
      <c r="A37" t="s">
        <v>329</v>
      </c>
      <c r="B37" t="s">
        <v>331</v>
      </c>
      <c r="C37" s="508"/>
      <c r="D37" s="508"/>
      <c r="E37" s="508"/>
      <c r="F37" s="508"/>
      <c r="G37" s="508"/>
      <c r="H37" s="508"/>
      <c r="I37" s="508"/>
      <c r="J37" s="508"/>
      <c r="K37" s="508"/>
      <c r="L37" s="429"/>
      <c r="M37" s="429"/>
      <c r="N37" s="429"/>
      <c r="O37" s="429"/>
      <c r="P37" s="429"/>
      <c r="Q37" s="25"/>
    </row>
    <row r="38" spans="1:17" ht="15.75" x14ac:dyDescent="0.25">
      <c r="A38" t="s">
        <v>330</v>
      </c>
      <c r="B38" t="s">
        <v>332</v>
      </c>
      <c r="C38" s="508"/>
      <c r="D38" s="508"/>
      <c r="E38" s="508"/>
      <c r="F38" s="508"/>
      <c r="G38" s="508"/>
      <c r="H38" s="508"/>
      <c r="I38" s="508"/>
      <c r="J38" s="508"/>
      <c r="K38" s="508"/>
    </row>
    <row r="39" spans="1:17" ht="29.1" customHeight="1" x14ac:dyDescent="0.25">
      <c r="A39" s="429"/>
      <c r="B39" s="429"/>
      <c r="C39" s="429"/>
      <c r="D39" s="429"/>
      <c r="E39" s="429"/>
      <c r="F39" s="429"/>
      <c r="G39" s="429"/>
      <c r="H39" s="429"/>
      <c r="I39" s="429"/>
      <c r="J39" s="429"/>
      <c r="K39" s="429"/>
    </row>
    <row r="40" spans="1:17" x14ac:dyDescent="0.25">
      <c r="A40" s="12"/>
      <c r="B40" s="1041" t="s">
        <v>565</v>
      </c>
      <c r="C40" s="1041"/>
      <c r="D40" s="1041" t="s">
        <v>566</v>
      </c>
      <c r="E40" s="1041"/>
      <c r="F40" s="1042" t="s">
        <v>152</v>
      </c>
      <c r="G40" s="1042"/>
      <c r="H40" s="1044" t="s">
        <v>153</v>
      </c>
      <c r="I40" s="1042"/>
      <c r="J40" s="1042" t="s">
        <v>154</v>
      </c>
      <c r="K40" s="1042"/>
      <c r="O40" s="593" t="s">
        <v>1209</v>
      </c>
    </row>
    <row r="41" spans="1:17" ht="46.5" customHeight="1" x14ac:dyDescent="0.25">
      <c r="A41" s="251" t="s">
        <v>160</v>
      </c>
      <c r="B41" s="252" t="s">
        <v>6</v>
      </c>
      <c r="C41" s="252" t="s">
        <v>156</v>
      </c>
      <c r="D41" s="252" t="s">
        <v>6</v>
      </c>
      <c r="E41" s="252" t="s">
        <v>156</v>
      </c>
      <c r="F41" s="253" t="s">
        <v>157</v>
      </c>
      <c r="G41" s="3" t="s">
        <v>156</v>
      </c>
      <c r="H41" s="553" t="s">
        <v>6</v>
      </c>
      <c r="I41" s="252" t="s">
        <v>156</v>
      </c>
      <c r="J41" s="252" t="s">
        <v>6</v>
      </c>
      <c r="K41" s="252" t="s">
        <v>156</v>
      </c>
      <c r="L41" s="922" t="s">
        <v>158</v>
      </c>
      <c r="M41" s="550" t="s">
        <v>565</v>
      </c>
      <c r="N41" s="326" t="s">
        <v>566</v>
      </c>
      <c r="O41" s="326" t="s">
        <v>159</v>
      </c>
      <c r="P41" s="326" t="s">
        <v>182</v>
      </c>
      <c r="Q41" s="405"/>
    </row>
    <row r="42" spans="1:17" x14ac:dyDescent="0.25">
      <c r="A42" s="254" t="s">
        <v>133</v>
      </c>
      <c r="B42" s="247">
        <f>GETPIVOTDATA("Sum of A_Tally",auditsoutcomepremisespivot!$A$3,"FSEC","A")</f>
        <v>267</v>
      </c>
      <c r="C42" s="247">
        <f>GETPIVOTDATA("Sum of A_Hours",auditsoutcomepremisespivot!$A$3,"FSEC","A")</f>
        <v>1896.25</v>
      </c>
      <c r="D42" s="247">
        <f>GETPIVOTDATA("Sum of B_Tally",auditsoutcomepremisespivot!$A$3,"FSEC","A")</f>
        <v>20</v>
      </c>
      <c r="E42" s="247">
        <f>GETPIVOTDATA("Sum of B_Hours",auditsoutcomepremisespivot!$A$3,"FSEC","A")</f>
        <v>278.25</v>
      </c>
      <c r="F42" s="248">
        <f t="shared" ref="F42:F56" si="5">B42+D42</f>
        <v>287</v>
      </c>
      <c r="G42" s="248">
        <f t="shared" ref="G42:G56" si="6">E42+C42</f>
        <v>2174.5</v>
      </c>
      <c r="H42" s="720">
        <f>GETPIVOTDATA("Sum of Enforcement_Tally",auditsoutcomepremisespivot!$A$3,"FSEC","A")</f>
        <v>0</v>
      </c>
      <c r="I42" s="247">
        <f>GETPIVOTDATA("Sum of Enforcement_Hours",auditsoutcomepremisespivot!$A$3,"FSEC","A")</f>
        <v>0</v>
      </c>
      <c r="J42" s="247">
        <f>GETPIVOTDATA("Sum of Prohibition_Tally",auditsoutcomepremisespivot!$A$3,"FSEC","A")</f>
        <v>0</v>
      </c>
      <c r="K42" s="247">
        <f>GETPIVOTDATA("Sum of Prohibition_Hours",auditsoutcomepremisespivot!$A$3,"FSEC","A")</f>
        <v>0</v>
      </c>
      <c r="L42" s="551">
        <f>B42/F42%</f>
        <v>93.031358885017411</v>
      </c>
      <c r="M42" s="925">
        <f>C42/B42</f>
        <v>7.1020599250936334</v>
      </c>
      <c r="N42" s="926">
        <f>E42/D42</f>
        <v>13.9125</v>
      </c>
      <c r="O42" s="926">
        <f>IF(H42=0, 0, I42/H42)</f>
        <v>0</v>
      </c>
      <c r="P42" s="926">
        <f>IF(K42=0, 0, K42/J42)</f>
        <v>0</v>
      </c>
      <c r="Q42" s="405"/>
    </row>
    <row r="43" spans="1:17" x14ac:dyDescent="0.25">
      <c r="A43" s="254" t="s">
        <v>134</v>
      </c>
      <c r="B43" s="247">
        <f>GETPIVOTDATA("Sum of A_Tally",auditsoutcomepremisespivot!$A$3,"FSEC","B")</f>
        <v>1578</v>
      </c>
      <c r="C43" s="247">
        <f>GETPIVOTDATA("Sum of A_Hours",auditsoutcomepremisespivot!$A$3,"FSEC","B")</f>
        <v>9945.75</v>
      </c>
      <c r="D43" s="247">
        <f>GETPIVOTDATA("Sum of B_Tally",auditsoutcomepremisespivot!$A$3,"FSEC","B")</f>
        <v>32</v>
      </c>
      <c r="E43" s="247">
        <f>GETPIVOTDATA("Sum of B_Hours",auditsoutcomepremisespivot!$A$3,"FSEC","B")</f>
        <v>384.25</v>
      </c>
      <c r="F43" s="248">
        <f t="shared" si="5"/>
        <v>1610</v>
      </c>
      <c r="G43" s="248">
        <f t="shared" si="6"/>
        <v>10330</v>
      </c>
      <c r="H43" s="554">
        <f>GETPIVOTDATA("Sum of Enforcement_Tally",auditsoutcomepremisespivot!$A$3,"FSEC","B")</f>
        <v>0</v>
      </c>
      <c r="I43" s="247">
        <f>GETPIVOTDATA("Sum of Enforcement_Hours",auditsoutcomepremisespivot!$A$3,"FSEC","B")</f>
        <v>0</v>
      </c>
      <c r="J43" s="247">
        <f>GETPIVOTDATA("Sum of Prohibition_Tally",auditsoutcomepremisespivot!$A$3,"FSEC","B")</f>
        <v>1</v>
      </c>
      <c r="K43" s="247">
        <f>GETPIVOTDATA("Sum of Prohibition_Hours",auditsoutcomepremisespivot!$A$3,"FSEC","B")</f>
        <v>57.25</v>
      </c>
      <c r="L43" s="551">
        <f t="shared" ref="L43:L56" si="7">B43/F43%</f>
        <v>98.012422360248436</v>
      </c>
      <c r="M43" s="925">
        <f t="shared" ref="M43:M57" si="8">C43/B43</f>
        <v>6.3027566539923958</v>
      </c>
      <c r="N43" s="926">
        <f t="shared" ref="N43:N57" si="9">E43/D43</f>
        <v>12.0078125</v>
      </c>
      <c r="O43" s="926">
        <f t="shared" ref="O43:O57" si="10">IF(H43=0, 0, I43/H43)</f>
        <v>0</v>
      </c>
      <c r="P43" s="926">
        <f t="shared" ref="P43:P57" si="11">IF(K43=0, 0, K43/J43)</f>
        <v>57.25</v>
      </c>
      <c r="Q43" s="405"/>
    </row>
    <row r="44" spans="1:17" x14ac:dyDescent="0.25">
      <c r="A44" s="254" t="s">
        <v>150</v>
      </c>
      <c r="B44" s="247">
        <f>GETPIVOTDATA("Sum of A_Tally",auditsoutcomepremisespivot!$A$3,"FSEC","C")</f>
        <v>1765</v>
      </c>
      <c r="C44" s="247">
        <f>GETPIVOTDATA("Sum of A_Hours",auditsoutcomepremisespivot!$A$3,"FSEC","C")</f>
        <v>7900.75</v>
      </c>
      <c r="D44" s="247">
        <f>GETPIVOTDATA("Sum of B_Tally",auditsoutcomepremisespivot!$A$3,"FSEC","C")</f>
        <v>62</v>
      </c>
      <c r="E44" s="247">
        <f>GETPIVOTDATA("Sum of B_Hours",auditsoutcomepremisespivot!$A$3,"FSEC","C")</f>
        <v>473.5</v>
      </c>
      <c r="F44" s="248">
        <f t="shared" si="5"/>
        <v>1827</v>
      </c>
      <c r="G44" s="248">
        <f t="shared" si="6"/>
        <v>8374.25</v>
      </c>
      <c r="H44" s="554">
        <f>GETPIVOTDATA("Sum of Enforcement_Tally",auditsoutcomepremisespivot!$A$3,"FSEC","C")</f>
        <v>1</v>
      </c>
      <c r="I44" s="247">
        <f>GETPIVOTDATA("Sum of Enforcement_Hours",auditsoutcomepremisespivot!$A$3,"FSEC","C")</f>
        <v>30.25</v>
      </c>
      <c r="J44" s="247">
        <f>GETPIVOTDATA("Sum of Prohibition_Tally",auditsoutcomepremisespivot!$A$3,"FSEC","C")</f>
        <v>1</v>
      </c>
      <c r="K44" s="247">
        <f>GETPIVOTDATA("Sum of Prohibition_Hours",auditsoutcomepremisespivot!$A$3,"FSEC","C")</f>
        <v>4</v>
      </c>
      <c r="L44" s="551">
        <f t="shared" si="7"/>
        <v>96.606458675424193</v>
      </c>
      <c r="M44" s="925">
        <f t="shared" si="8"/>
        <v>4.4763456090651559</v>
      </c>
      <c r="N44" s="926">
        <f t="shared" si="9"/>
        <v>7.637096774193548</v>
      </c>
      <c r="O44" s="926">
        <f t="shared" si="10"/>
        <v>30.25</v>
      </c>
      <c r="P44" s="926">
        <f t="shared" si="11"/>
        <v>4</v>
      </c>
      <c r="Q44" s="405"/>
    </row>
    <row r="45" spans="1:17" x14ac:dyDescent="0.25">
      <c r="A45" s="254" t="s">
        <v>135</v>
      </c>
      <c r="B45" s="247">
        <f>GETPIVOTDATA("Sum of A_Tally",auditsoutcomepremisespivot!$A$3,"FSEC","E")</f>
        <v>48</v>
      </c>
      <c r="C45" s="247">
        <f>GETPIVOTDATA("Sum of A_Hours",auditsoutcomepremisespivot!$A$3,"FSEC","E")</f>
        <v>313.25</v>
      </c>
      <c r="D45" s="247">
        <f>GETPIVOTDATA("Sum of B_Tally",auditsoutcomepremisespivot!$A$3,"FSEC","E")</f>
        <v>3</v>
      </c>
      <c r="E45" s="247">
        <f>GETPIVOTDATA("Sum of B_Hours",auditsoutcomepremisespivot!$A$3,"FSEC","E")</f>
        <v>27.75</v>
      </c>
      <c r="F45" s="248">
        <f t="shared" si="5"/>
        <v>51</v>
      </c>
      <c r="G45" s="248">
        <f t="shared" si="6"/>
        <v>341</v>
      </c>
      <c r="H45" s="554">
        <f>GETPIVOTDATA("Sum of Enforcement_Tally",auditsoutcomepremisespivot!$A$3,"FSEC","E")</f>
        <v>0</v>
      </c>
      <c r="I45" s="247">
        <f>GETPIVOTDATA("Sum of Enforcement_Hours",auditsoutcomepremisespivot!$A$3,"FSEC","E")</f>
        <v>0</v>
      </c>
      <c r="J45" s="247">
        <f>GETPIVOTDATA("Sum of Prohibition_Tally",auditsoutcomepremisespivot!$A$3,"FSEC","E")</f>
        <v>0</v>
      </c>
      <c r="K45" s="247">
        <f>GETPIVOTDATA("Sum of Prohibition_Hours",auditsoutcomepremisespivot!$A$3,"FSEC","E")</f>
        <v>0</v>
      </c>
      <c r="L45" s="551">
        <f t="shared" si="7"/>
        <v>94.117647058823522</v>
      </c>
      <c r="M45" s="925">
        <f t="shared" si="8"/>
        <v>6.526041666666667</v>
      </c>
      <c r="N45" s="926">
        <f t="shared" si="9"/>
        <v>9.25</v>
      </c>
      <c r="O45" s="926">
        <f t="shared" si="10"/>
        <v>0</v>
      </c>
      <c r="P45" s="926">
        <f t="shared" si="11"/>
        <v>0</v>
      </c>
      <c r="Q45" s="405"/>
    </row>
    <row r="46" spans="1:17" x14ac:dyDescent="0.25">
      <c r="A46" s="254" t="s">
        <v>136</v>
      </c>
      <c r="B46" s="247">
        <f>GETPIVOTDATA("Sum of A_Tally",auditsoutcomepremisespivot!$A$3,"FSEC","F")</f>
        <v>1020</v>
      </c>
      <c r="C46" s="247">
        <f>GETPIVOTDATA("Sum of A_Hours",auditsoutcomepremisespivot!$A$3,"FSEC","F")</f>
        <v>6979.5</v>
      </c>
      <c r="D46" s="247">
        <f>GETPIVOTDATA("Sum of B_Tally",auditsoutcomepremisespivot!$A$3,"FSEC","F")</f>
        <v>90</v>
      </c>
      <c r="E46" s="247">
        <f>GETPIVOTDATA("Sum of B_Hours",auditsoutcomepremisespivot!$A$3,"FSEC","F")</f>
        <v>1630.75</v>
      </c>
      <c r="F46" s="248">
        <f t="shared" si="5"/>
        <v>1110</v>
      </c>
      <c r="G46" s="248">
        <f t="shared" si="6"/>
        <v>8610.25</v>
      </c>
      <c r="H46" s="554">
        <f>GETPIVOTDATA("Sum of Enforcement_Tally",auditsoutcomepremisespivot!$A$3,"FSEC","F")</f>
        <v>2</v>
      </c>
      <c r="I46" s="247">
        <f>GETPIVOTDATA("Sum of Enforcement_Hours",auditsoutcomepremisespivot!$A$3,"FSEC","F")</f>
        <v>140.25</v>
      </c>
      <c r="J46" s="247">
        <f>GETPIVOTDATA("Sum of Prohibition_Tally",auditsoutcomepremisespivot!$A$3,"FSEC","F")</f>
        <v>4</v>
      </c>
      <c r="K46" s="247">
        <f>GETPIVOTDATA("Sum of Prohibition_Hours",auditsoutcomepremisespivot!$A$3,"FSEC","F")</f>
        <v>143.75</v>
      </c>
      <c r="L46" s="551">
        <f t="shared" si="7"/>
        <v>91.891891891891902</v>
      </c>
      <c r="M46" s="925">
        <f t="shared" si="8"/>
        <v>6.8426470588235295</v>
      </c>
      <c r="N46" s="926">
        <f t="shared" si="9"/>
        <v>18.119444444444444</v>
      </c>
      <c r="O46" s="926">
        <f t="shared" si="10"/>
        <v>70.125</v>
      </c>
      <c r="P46" s="926">
        <f t="shared" si="11"/>
        <v>35.9375</v>
      </c>
      <c r="Q46" s="405"/>
    </row>
    <row r="47" spans="1:17" x14ac:dyDescent="0.25">
      <c r="A47" s="254" t="s">
        <v>137</v>
      </c>
      <c r="B47" s="247">
        <f>GETPIVOTDATA("Sum of A_Tally",auditsoutcomepremisespivot!$A$3,"FSEC","H")</f>
        <v>1212</v>
      </c>
      <c r="C47" s="247">
        <f>GETPIVOTDATA("Sum of A_Hours",auditsoutcomepremisespivot!$A$3,"FSEC","H")</f>
        <v>6995.25</v>
      </c>
      <c r="D47" s="247">
        <f>GETPIVOTDATA("Sum of B_Tally",auditsoutcomepremisespivot!$A$3,"FSEC","H")</f>
        <v>44</v>
      </c>
      <c r="E47" s="247">
        <f>GETPIVOTDATA("Sum of B_Hours",auditsoutcomepremisespivot!$A$3,"FSEC","H")</f>
        <v>503</v>
      </c>
      <c r="F47" s="248">
        <f t="shared" si="5"/>
        <v>1256</v>
      </c>
      <c r="G47" s="248">
        <f t="shared" si="6"/>
        <v>7498.25</v>
      </c>
      <c r="H47" s="554">
        <f>GETPIVOTDATA("Sum of Enforcement_Tally",auditsoutcomepremisespivot!$A$3,"FSEC","H")</f>
        <v>1</v>
      </c>
      <c r="I47" s="247">
        <f>GETPIVOTDATA("Sum of Enforcement_Hours",auditsoutcomepremisespivot!$A$3,"FSEC","H")</f>
        <v>19.25</v>
      </c>
      <c r="J47" s="247">
        <f>GETPIVOTDATA("Sum of Prohibition_Tally",auditsoutcomepremisespivot!$A$3,"FSEC","H")</f>
        <v>1</v>
      </c>
      <c r="K47" s="247">
        <f>GETPIVOTDATA("Sum of Prohibition_Hours",auditsoutcomepremisespivot!$A$3,"FSEC","H")</f>
        <v>78</v>
      </c>
      <c r="L47" s="551">
        <f t="shared" si="7"/>
        <v>96.496815286624198</v>
      </c>
      <c r="M47" s="925">
        <f t="shared" si="8"/>
        <v>5.7716584158415838</v>
      </c>
      <c r="N47" s="926">
        <f t="shared" si="9"/>
        <v>11.431818181818182</v>
      </c>
      <c r="O47" s="926">
        <f t="shared" si="10"/>
        <v>19.25</v>
      </c>
      <c r="P47" s="926">
        <f t="shared" si="11"/>
        <v>78</v>
      </c>
      <c r="Q47" s="405"/>
    </row>
    <row r="48" spans="1:17" x14ac:dyDescent="0.25">
      <c r="A48" s="254" t="s">
        <v>138</v>
      </c>
      <c r="B48" s="247">
        <f>GETPIVOTDATA("Sum of A_Tally",auditsoutcomepremisespivot!$A$3,"FSEC","J")</f>
        <v>11</v>
      </c>
      <c r="C48" s="247">
        <f>GETPIVOTDATA("Sum of A_Hours",auditsoutcomepremisespivot!$A$3,"FSEC","J")</f>
        <v>69</v>
      </c>
      <c r="D48" s="247">
        <f>GETPIVOTDATA("Sum of B_Tally",auditsoutcomepremisespivot!$A$3,"FSEC","J")</f>
        <v>0</v>
      </c>
      <c r="E48" s="247">
        <f>GETPIVOTDATA("Sum of B_Hours",auditsoutcomepremisespivot!$A$3,"FSEC","J")</f>
        <v>0</v>
      </c>
      <c r="F48" s="248">
        <f t="shared" si="5"/>
        <v>11</v>
      </c>
      <c r="G48" s="248">
        <f t="shared" si="6"/>
        <v>69</v>
      </c>
      <c r="H48" s="554">
        <f>GETPIVOTDATA("Sum of Enforcement_Tally",auditsoutcomepremisespivot!$A$3,"FSEC","J")</f>
        <v>0</v>
      </c>
      <c r="I48" s="247">
        <f>GETPIVOTDATA("Sum of Enforcement_Hours",auditsoutcomepremisespivot!$A$3,"FSEC","J")</f>
        <v>0</v>
      </c>
      <c r="J48" s="247">
        <f>GETPIVOTDATA("Sum of Prohibition_Tally",auditsoutcomepremisespivot!$A$3,"FSEC","J")</f>
        <v>0</v>
      </c>
      <c r="K48" s="247">
        <f>GETPIVOTDATA("Sum of Prohibition_Hours",auditsoutcomepremisespivot!$A$3,"FSEC","J")</f>
        <v>0</v>
      </c>
      <c r="L48" s="551">
        <f t="shared" si="7"/>
        <v>100</v>
      </c>
      <c r="M48" s="925">
        <f t="shared" si="8"/>
        <v>6.2727272727272725</v>
      </c>
      <c r="N48" s="926" t="str">
        <f>IFERROR("-",E48/D48)</f>
        <v>-</v>
      </c>
      <c r="O48" s="926">
        <f t="shared" si="10"/>
        <v>0</v>
      </c>
      <c r="P48" s="926">
        <f t="shared" si="11"/>
        <v>0</v>
      </c>
      <c r="Q48" s="405"/>
    </row>
    <row r="49" spans="1:19" x14ac:dyDescent="0.25">
      <c r="A49" s="254" t="s">
        <v>139</v>
      </c>
      <c r="B49" s="247">
        <f>GETPIVOTDATA("Sum of A_Tally",auditsoutcomepremisespivot!$A$3,"FSEC","K")</f>
        <v>25</v>
      </c>
      <c r="C49" s="247">
        <f>GETPIVOTDATA("Sum of A_Hours",auditsoutcomepremisespivot!$A$3,"FSEC","K")</f>
        <v>143.25</v>
      </c>
      <c r="D49" s="247">
        <f>GETPIVOTDATA("Sum of B_Tally",auditsoutcomepremisespivot!$A$3,"FSEC","K")</f>
        <v>0</v>
      </c>
      <c r="E49" s="247">
        <f>GETPIVOTDATA("Sum of B_Hours",auditsoutcomepremisespivot!$A$3,"FSEC","K")</f>
        <v>0</v>
      </c>
      <c r="F49" s="248">
        <f t="shared" si="5"/>
        <v>25</v>
      </c>
      <c r="G49" s="248">
        <f t="shared" si="6"/>
        <v>143.25</v>
      </c>
      <c r="H49" s="554">
        <f>GETPIVOTDATA("Sum of Enforcement_Tally",auditsoutcomepremisespivot!$A$3,"FSEC","K")</f>
        <v>0</v>
      </c>
      <c r="I49" s="247">
        <f>GETPIVOTDATA("Sum of Enforcement_Hours",auditsoutcomepremisespivot!$A$3,"FSEC","K")</f>
        <v>0</v>
      </c>
      <c r="J49" s="247">
        <f>GETPIVOTDATA("Sum of Prohibition_Tally",auditsoutcomepremisespivot!$A$3,"FSEC","K")</f>
        <v>0</v>
      </c>
      <c r="K49" s="247">
        <f>GETPIVOTDATA("Sum of Prohibition_Hours",auditsoutcomepremisespivot!$A$3,"FSEC","K")</f>
        <v>0</v>
      </c>
      <c r="L49" s="551">
        <f t="shared" si="7"/>
        <v>100</v>
      </c>
      <c r="M49" s="925">
        <f t="shared" si="8"/>
        <v>5.73</v>
      </c>
      <c r="N49" s="926" t="str">
        <f>IFERROR("-",E49/D49)</f>
        <v>-</v>
      </c>
      <c r="O49" s="926">
        <f t="shared" si="10"/>
        <v>0</v>
      </c>
      <c r="P49" s="926">
        <f t="shared" si="11"/>
        <v>0</v>
      </c>
      <c r="Q49" s="405"/>
    </row>
    <row r="50" spans="1:19" x14ac:dyDescent="0.25">
      <c r="A50" s="254" t="s">
        <v>140</v>
      </c>
      <c r="B50" s="247">
        <f>GETPIVOTDATA("Sum of A_Tally",auditsoutcomepremisespivot!$A$3,"FSEC","L")</f>
        <v>183</v>
      </c>
      <c r="C50" s="247">
        <f>GETPIVOTDATA("Sum of A_Hours",auditsoutcomepremisespivot!$A$3,"FSEC","L")</f>
        <v>1112.5</v>
      </c>
      <c r="D50" s="247">
        <f>GETPIVOTDATA("Sum of B_Tally",auditsoutcomepremisespivot!$A$3,"FSEC","L")</f>
        <v>22</v>
      </c>
      <c r="E50" s="247">
        <f>GETPIVOTDATA("Sum of B_Hours",auditsoutcomepremisespivot!$A$3,"FSEC","L")</f>
        <v>249</v>
      </c>
      <c r="F50" s="248">
        <f t="shared" si="5"/>
        <v>205</v>
      </c>
      <c r="G50" s="248">
        <f t="shared" si="6"/>
        <v>1361.5</v>
      </c>
      <c r="H50" s="554">
        <f>GETPIVOTDATA("Sum of Enforcement_Tally",auditsoutcomepremisespivot!$A$3,"FSEC","L")</f>
        <v>0</v>
      </c>
      <c r="I50" s="247">
        <f>GETPIVOTDATA("Sum of Enforcement_Hours",auditsoutcomepremisespivot!$A$3,"FSEC","L")</f>
        <v>0</v>
      </c>
      <c r="J50" s="247">
        <f>GETPIVOTDATA("Sum of Prohibition_Tally",auditsoutcomepremisespivot!$A$3,"FSEC","L")</f>
        <v>2</v>
      </c>
      <c r="K50" s="247">
        <f>GETPIVOTDATA("Sum of Prohibition_Hours",auditsoutcomepremisespivot!$A$3,"FSEC","L")</f>
        <v>7.25</v>
      </c>
      <c r="L50" s="551">
        <f t="shared" si="7"/>
        <v>89.268292682926841</v>
      </c>
      <c r="M50" s="925">
        <f t="shared" si="8"/>
        <v>6.0792349726775958</v>
      </c>
      <c r="N50" s="926">
        <f t="shared" si="9"/>
        <v>11.318181818181818</v>
      </c>
      <c r="O50" s="926">
        <f t="shared" si="10"/>
        <v>0</v>
      </c>
      <c r="P50" s="926">
        <f t="shared" si="11"/>
        <v>3.625</v>
      </c>
      <c r="Q50" s="405"/>
    </row>
    <row r="51" spans="1:19" x14ac:dyDescent="0.25">
      <c r="A51" s="254" t="s">
        <v>141</v>
      </c>
      <c r="B51" s="247">
        <f>GETPIVOTDATA("Sum of A_Tally",auditsoutcomepremisespivot!$A$3,"FSEC","M")</f>
        <v>157</v>
      </c>
      <c r="C51" s="247">
        <f>GETPIVOTDATA("Sum of A_Hours",auditsoutcomepremisespivot!$A$3,"FSEC","M")</f>
        <v>1092.5</v>
      </c>
      <c r="D51" s="247">
        <f>GETPIVOTDATA("Sum of B_Tally",auditsoutcomepremisespivot!$A$3,"FSEC","M")</f>
        <v>2</v>
      </c>
      <c r="E51" s="247">
        <f>GETPIVOTDATA("Sum of B_Hours",auditsoutcomepremisespivot!$A$3,"FSEC","M")</f>
        <v>21.25</v>
      </c>
      <c r="F51" s="248">
        <f t="shared" si="5"/>
        <v>159</v>
      </c>
      <c r="G51" s="248">
        <f t="shared" si="6"/>
        <v>1113.75</v>
      </c>
      <c r="H51" s="554">
        <f>GETPIVOTDATA("Sum of Enforcement_Tally",auditsoutcomepremisespivot!$A$3,"FSEC","M")</f>
        <v>0</v>
      </c>
      <c r="I51" s="247">
        <f>GETPIVOTDATA("Sum of Enforcement_Hours",auditsoutcomepremisespivot!$A$3,"FSEC","M")</f>
        <v>0</v>
      </c>
      <c r="J51" s="247">
        <f>GETPIVOTDATA("Sum of Prohibition_Tally",auditsoutcomepremisespivot!$A$3,"FSEC","M")</f>
        <v>0</v>
      </c>
      <c r="K51" s="247">
        <f>GETPIVOTDATA("Sum of Prohibition_Hours",auditsoutcomepremisespivot!$A$3,"FSEC","M")</f>
        <v>0</v>
      </c>
      <c r="L51" s="551">
        <f t="shared" si="7"/>
        <v>98.742138364779876</v>
      </c>
      <c r="M51" s="925">
        <f t="shared" si="8"/>
        <v>6.9585987261146496</v>
      </c>
      <c r="N51" s="926">
        <f t="shared" si="9"/>
        <v>10.625</v>
      </c>
      <c r="O51" s="926">
        <f t="shared" si="10"/>
        <v>0</v>
      </c>
      <c r="P51" s="926">
        <f t="shared" si="11"/>
        <v>0</v>
      </c>
      <c r="Q51" s="405"/>
    </row>
    <row r="52" spans="1:19" x14ac:dyDescent="0.25">
      <c r="A52" s="254" t="s">
        <v>142</v>
      </c>
      <c r="B52" s="247">
        <f>GETPIVOTDATA("Sum of A_Tally",auditsoutcomepremisespivot!$A$3,"FSEC","N")</f>
        <v>293</v>
      </c>
      <c r="C52" s="247">
        <f>GETPIVOTDATA("Sum of A_Hours",auditsoutcomepremisespivot!$A$3,"FSEC","N")</f>
        <v>1643.5</v>
      </c>
      <c r="D52" s="247">
        <f>GETPIVOTDATA("Sum of B_Tally",auditsoutcomepremisespivot!$A$3,"FSEC","N")</f>
        <v>8</v>
      </c>
      <c r="E52" s="247">
        <f>GETPIVOTDATA("Sum of B_Hours",auditsoutcomepremisespivot!$A$3,"FSEC","N")</f>
        <v>109</v>
      </c>
      <c r="F52" s="248">
        <f t="shared" si="5"/>
        <v>301</v>
      </c>
      <c r="G52" s="248">
        <f t="shared" si="6"/>
        <v>1752.5</v>
      </c>
      <c r="H52" s="554">
        <f>GETPIVOTDATA("Sum of Enforcement_Tally",auditsoutcomepremisespivot!$A$3,"FSEC","N")</f>
        <v>1</v>
      </c>
      <c r="I52" s="247">
        <f>GETPIVOTDATA("Sum of Enforcement_Hours",auditsoutcomepremisespivot!$A$3,"FSEC","N")</f>
        <v>25</v>
      </c>
      <c r="J52" s="247">
        <f>GETPIVOTDATA("Sum of Prohibition_Tally",auditsoutcomepremisespivot!$A$3,"FSEC","N")</f>
        <v>2</v>
      </c>
      <c r="K52" s="247">
        <f>GETPIVOTDATA("Sum of Prohibition_Hours",auditsoutcomepremisespivot!$A$3,"FSEC","N")</f>
        <v>0</v>
      </c>
      <c r="L52" s="551">
        <f t="shared" si="7"/>
        <v>97.342192691029908</v>
      </c>
      <c r="M52" s="925">
        <f t="shared" si="8"/>
        <v>5.6092150170648463</v>
      </c>
      <c r="N52" s="926">
        <f t="shared" si="9"/>
        <v>13.625</v>
      </c>
      <c r="O52" s="926">
        <f t="shared" si="10"/>
        <v>25</v>
      </c>
      <c r="P52" s="926">
        <f t="shared" si="11"/>
        <v>0</v>
      </c>
      <c r="Q52" s="405"/>
    </row>
    <row r="53" spans="1:19" x14ac:dyDescent="0.25">
      <c r="A53" s="254" t="s">
        <v>143</v>
      </c>
      <c r="B53" s="247">
        <f>GETPIVOTDATA("Sum of A_Tally",auditsoutcomepremisespivot!$A$3,"FSEC","P")</f>
        <v>170</v>
      </c>
      <c r="C53" s="247">
        <f>GETPIVOTDATA("Sum of A_Hours",auditsoutcomepremisespivot!$A$3,"FSEC","P")</f>
        <v>1127.25</v>
      </c>
      <c r="D53" s="247">
        <f>GETPIVOTDATA("Sum of B_Tally",auditsoutcomepremisespivot!$A$3,"FSEC","P")</f>
        <v>2</v>
      </c>
      <c r="E53" s="247">
        <f>GETPIVOTDATA("Sum of B_Hours",auditsoutcomepremisespivot!$A$3,"FSEC","P")</f>
        <v>37.25</v>
      </c>
      <c r="F53" s="248">
        <f t="shared" si="5"/>
        <v>172</v>
      </c>
      <c r="G53" s="248">
        <f t="shared" si="6"/>
        <v>1164.5</v>
      </c>
      <c r="H53" s="554">
        <f>GETPIVOTDATA("Sum of Enforcement_Tally",auditsoutcomepremisespivot!$A$3,"FSEC","P")</f>
        <v>0</v>
      </c>
      <c r="I53" s="247">
        <f>GETPIVOTDATA("Sum of Enforcement_Hours",auditsoutcomepremisespivot!$A$3,"FSEC","P")</f>
        <v>0</v>
      </c>
      <c r="J53" s="247">
        <f>GETPIVOTDATA("Sum of Prohibition_Tally",auditsoutcomepremisespivot!$A$3,"FSEC","P")</f>
        <v>1</v>
      </c>
      <c r="K53" s="247">
        <f>GETPIVOTDATA("Sum of Prohibition_Hours",auditsoutcomepremisespivot!$A$3,"FSEC","P")</f>
        <v>0</v>
      </c>
      <c r="L53" s="551">
        <f t="shared" si="7"/>
        <v>98.83720930232559</v>
      </c>
      <c r="M53" s="925">
        <f t="shared" si="8"/>
        <v>6.6308823529411764</v>
      </c>
      <c r="N53" s="926">
        <f t="shared" si="9"/>
        <v>18.625</v>
      </c>
      <c r="O53" s="926">
        <f t="shared" si="10"/>
        <v>0</v>
      </c>
      <c r="P53" s="926">
        <f t="shared" si="11"/>
        <v>0</v>
      </c>
      <c r="Q53" s="405"/>
    </row>
    <row r="54" spans="1:19" x14ac:dyDescent="0.25">
      <c r="A54" s="12" t="s">
        <v>144</v>
      </c>
      <c r="B54" s="247">
        <f>GETPIVOTDATA("Sum of A_Tally",auditsoutcomepremisespivot!$A$3,"FSEC","R")</f>
        <v>220</v>
      </c>
      <c r="C54" s="247">
        <f>GETPIVOTDATA("Sum of A_Hours",auditsoutcomepremisespivot!$A$3,"FSEC","R")</f>
        <v>1402</v>
      </c>
      <c r="D54" s="247">
        <f>GETPIVOTDATA("Sum of B_Tally",auditsoutcomepremisespivot!$A$3,"FSEC","R")</f>
        <v>2</v>
      </c>
      <c r="E54" s="247">
        <f>GETPIVOTDATA("Sum of B_Hours",auditsoutcomepremisespivot!$A$3,"FSEC","R")</f>
        <v>19.25</v>
      </c>
      <c r="F54" s="248">
        <f t="shared" si="5"/>
        <v>222</v>
      </c>
      <c r="G54" s="248">
        <f t="shared" si="6"/>
        <v>1421.25</v>
      </c>
      <c r="H54" s="554">
        <f>GETPIVOTDATA("Sum of Enforcement_Tally",auditsoutcomepremisespivot!$A$3,"FSEC","R")</f>
        <v>0</v>
      </c>
      <c r="I54" s="247">
        <f>GETPIVOTDATA("Sum of Enforcement_Hours",auditsoutcomepremisespivot!$A$3,"FSEC","R")</f>
        <v>0</v>
      </c>
      <c r="J54" s="247">
        <f>GETPIVOTDATA("Sum of Prohibition_Tally",auditsoutcomepremisespivot!$A$3,"FSEC","R")</f>
        <v>0</v>
      </c>
      <c r="K54" s="247">
        <f>GETPIVOTDATA("Sum of Prohibition_Hours",auditsoutcomepremisespivot!$A$3,"FSEC","R")</f>
        <v>0</v>
      </c>
      <c r="L54" s="551">
        <f t="shared" si="7"/>
        <v>99.099099099099092</v>
      </c>
      <c r="M54" s="925">
        <f t="shared" si="8"/>
        <v>6.372727272727273</v>
      </c>
      <c r="N54" s="926">
        <f t="shared" si="9"/>
        <v>9.625</v>
      </c>
      <c r="O54" s="926">
        <f t="shared" si="10"/>
        <v>0</v>
      </c>
      <c r="P54" s="926">
        <f t="shared" si="11"/>
        <v>0</v>
      </c>
      <c r="Q54" s="405"/>
    </row>
    <row r="55" spans="1:19" x14ac:dyDescent="0.25">
      <c r="A55" s="254" t="s">
        <v>145</v>
      </c>
      <c r="B55" s="247">
        <f>GETPIVOTDATA("Sum of A_Tally",auditsoutcomepremisespivot!$A$3,"FSEC","S")</f>
        <v>249</v>
      </c>
      <c r="C55" s="247">
        <f>GETPIVOTDATA("Sum of A_Hours",auditsoutcomepremisespivot!$A$3,"FSEC","S")</f>
        <v>1198</v>
      </c>
      <c r="D55" s="247">
        <f>GETPIVOTDATA("Sum of B_Tally",auditsoutcomepremisespivot!$A$3,"FSEC","S")</f>
        <v>0</v>
      </c>
      <c r="E55" s="247">
        <f>GETPIVOTDATA("Sum of B_Hours",auditsoutcomepremisespivot!$A$3,"FSEC","S")</f>
        <v>0</v>
      </c>
      <c r="F55" s="248">
        <f t="shared" si="5"/>
        <v>249</v>
      </c>
      <c r="G55" s="255">
        <f t="shared" si="6"/>
        <v>1198</v>
      </c>
      <c r="H55" s="554">
        <f>GETPIVOTDATA("Sum of Enforcement_Tally",auditsoutcomepremisespivot!$A$3,"FSEC","S")</f>
        <v>0</v>
      </c>
      <c r="I55" s="247">
        <f>GETPIVOTDATA("Sum of Enforcement_Hours",auditsoutcomepremisespivot!$A$3,"FSEC","S")</f>
        <v>0</v>
      </c>
      <c r="J55" s="247">
        <f>GETPIVOTDATA("Sum of Prohibition_Tally",auditsoutcomepremisespivot!$A$3,"FSEC","S")</f>
        <v>0</v>
      </c>
      <c r="K55" s="247">
        <f>GETPIVOTDATA("Sum of Prohibition_Hours",auditsoutcomepremisespivot!$A$3,"FSEC","S")</f>
        <v>0</v>
      </c>
      <c r="L55" s="551">
        <f t="shared" si="7"/>
        <v>99.999999999999986</v>
      </c>
      <c r="M55" s="925">
        <f t="shared" si="8"/>
        <v>4.811244979919679</v>
      </c>
      <c r="N55" s="926" t="str">
        <f>IFERROR("-",E55/D55)</f>
        <v>-</v>
      </c>
      <c r="O55" s="926">
        <f t="shared" si="10"/>
        <v>0</v>
      </c>
      <c r="P55" s="926">
        <f t="shared" si="11"/>
        <v>0</v>
      </c>
      <c r="S55" s="405"/>
    </row>
    <row r="56" spans="1:19" x14ac:dyDescent="0.25">
      <c r="A56" s="254" t="s">
        <v>146</v>
      </c>
      <c r="B56" s="247">
        <f>GETPIVOTDATA("Sum of A_Tally",auditsoutcomepremisespivot!$A$3,"FSEC","T")</f>
        <v>164</v>
      </c>
      <c r="C56" s="247">
        <f>GETPIVOTDATA("Sum of A_Hours",auditsoutcomepremisespivot!$A$3,"FSEC","T")</f>
        <v>1001.5</v>
      </c>
      <c r="D56" s="247">
        <f>GETPIVOTDATA("Sum of B_Tally",auditsoutcomepremisespivot!$A$3,"FSEC","T")</f>
        <v>5</v>
      </c>
      <c r="E56" s="247">
        <f>GETPIVOTDATA("Sum of B_Hours",auditsoutcomepremisespivot!$A$3,"FSEC","T")</f>
        <v>97.75</v>
      </c>
      <c r="F56" s="248">
        <f t="shared" si="5"/>
        <v>169</v>
      </c>
      <c r="G56" s="255">
        <f t="shared" si="6"/>
        <v>1099.25</v>
      </c>
      <c r="H56" s="554">
        <f>GETPIVOTDATA("Sum of Enforcement_Tally",auditsoutcomepremisespivot!$A$3,"FSEC","T")</f>
        <v>0</v>
      </c>
      <c r="I56" s="247">
        <f>GETPIVOTDATA("Sum of Enforcement_Hours",auditsoutcomepremisespivot!$A$3,"FSEC","T")</f>
        <v>0</v>
      </c>
      <c r="J56" s="247">
        <f>GETPIVOTDATA("Sum of Prohibition_Tally",auditsoutcomepremisespivot!$A$3,"FSEC","T")</f>
        <v>0</v>
      </c>
      <c r="K56" s="247">
        <f>GETPIVOTDATA("Sum of Prohibition_Hours",auditsoutcomepremisespivot!$A$3,"FSEC","T")</f>
        <v>0</v>
      </c>
      <c r="L56" s="551">
        <f t="shared" si="7"/>
        <v>97.041420118343197</v>
      </c>
      <c r="M56" s="925">
        <f t="shared" si="8"/>
        <v>6.1067073170731705</v>
      </c>
      <c r="N56" s="926" t="str">
        <f>IFERROR("-",E56/D56)</f>
        <v>-</v>
      </c>
      <c r="O56" s="926">
        <f t="shared" si="10"/>
        <v>0</v>
      </c>
      <c r="P56" s="926">
        <f t="shared" si="11"/>
        <v>0</v>
      </c>
    </row>
    <row r="57" spans="1:19" ht="15.75" thickBot="1" x14ac:dyDescent="0.3">
      <c r="A57" s="33" t="s">
        <v>731</v>
      </c>
      <c r="B57" s="256">
        <f>SUM(B42:B56)</f>
        <v>7362</v>
      </c>
      <c r="C57" s="256">
        <f>SUM(C42:C56)</f>
        <v>42820.25</v>
      </c>
      <c r="D57" s="256">
        <f t="shared" ref="D57:E57" si="12">SUM(D42:D56)</f>
        <v>292</v>
      </c>
      <c r="E57" s="256">
        <f t="shared" si="12"/>
        <v>3831</v>
      </c>
      <c r="F57" s="256">
        <f>SUM(F42:F56)</f>
        <v>7654</v>
      </c>
      <c r="G57" s="256">
        <f>SUM(G42:G56)</f>
        <v>46651.25</v>
      </c>
      <c r="H57" s="555">
        <f t="shared" ref="H57:K57" si="13">SUM(H42:H56)</f>
        <v>5</v>
      </c>
      <c r="I57" s="256">
        <f t="shared" si="13"/>
        <v>214.75</v>
      </c>
      <c r="J57" s="256">
        <f t="shared" si="13"/>
        <v>12</v>
      </c>
      <c r="K57" s="256">
        <f t="shared" si="13"/>
        <v>290.25</v>
      </c>
      <c r="L57" s="552">
        <f>B57/F57%</f>
        <v>96.185001306506393</v>
      </c>
      <c r="M57" s="923">
        <f t="shared" si="8"/>
        <v>5.8163882097256181</v>
      </c>
      <c r="N57" s="924">
        <f t="shared" si="9"/>
        <v>13.11986301369863</v>
      </c>
      <c r="O57" s="924">
        <f t="shared" si="10"/>
        <v>42.95</v>
      </c>
      <c r="P57" s="924">
        <f t="shared" si="11"/>
        <v>24.1875</v>
      </c>
      <c r="Q57" s="260"/>
    </row>
    <row r="58" spans="1:19" ht="18" customHeight="1" x14ac:dyDescent="0.25">
      <c r="A58" s="29"/>
      <c r="B58" s="257"/>
      <c r="C58" s="257"/>
      <c r="D58" s="257"/>
      <c r="E58" s="257"/>
      <c r="F58" s="257"/>
      <c r="G58" s="257"/>
      <c r="H58" s="257"/>
      <c r="I58" s="258"/>
      <c r="J58" s="257"/>
      <c r="K58" s="259"/>
      <c r="L58" s="15"/>
      <c r="M58" s="15"/>
      <c r="N58" s="15"/>
      <c r="O58" s="15"/>
      <c r="P58" s="15"/>
      <c r="Q58" s="15"/>
    </row>
    <row r="59" spans="1:19" x14ac:dyDescent="0.25">
      <c r="A59" s="341" t="s">
        <v>8</v>
      </c>
      <c r="B59" s="15"/>
      <c r="C59" s="15"/>
      <c r="D59" s="15"/>
      <c r="E59" s="15"/>
      <c r="F59" s="15"/>
      <c r="G59" s="15"/>
      <c r="H59" s="282"/>
      <c r="I59" s="282"/>
      <c r="J59" s="15"/>
      <c r="K59" s="15"/>
      <c r="L59" s="581"/>
      <c r="M59" s="581"/>
      <c r="N59" s="581"/>
      <c r="O59" s="581"/>
      <c r="P59" s="581"/>
      <c r="Q59" s="15"/>
    </row>
    <row r="60" spans="1:19" x14ac:dyDescent="0.25">
      <c r="A60" s="343" t="s">
        <v>873</v>
      </c>
      <c r="B60" s="15"/>
      <c r="C60" s="15"/>
      <c r="D60" s="15"/>
      <c r="E60" s="15"/>
      <c r="F60" s="15"/>
      <c r="G60" s="15"/>
      <c r="H60" s="282"/>
      <c r="I60" s="282"/>
      <c r="J60" s="15"/>
      <c r="K60" s="15"/>
      <c r="L60" s="15"/>
      <c r="M60" s="15"/>
      <c r="N60" s="15"/>
      <c r="O60" s="15"/>
      <c r="P60" s="15"/>
      <c r="Q60" s="581"/>
      <c r="R60" s="581"/>
    </row>
    <row r="61" spans="1:19" ht="47.1" customHeight="1" x14ac:dyDescent="0.25">
      <c r="A61" s="1003" t="s">
        <v>755</v>
      </c>
      <c r="B61" s="1003"/>
      <c r="C61" s="1003"/>
      <c r="D61" s="1003"/>
      <c r="E61" s="1003"/>
      <c r="F61" s="1003"/>
      <c r="G61" s="1003"/>
      <c r="H61" s="1003"/>
      <c r="I61" s="581"/>
      <c r="J61" s="581"/>
      <c r="K61" s="581"/>
      <c r="Q61" s="15"/>
    </row>
    <row r="62" spans="1:19" x14ac:dyDescent="0.25">
      <c r="A62" s="343" t="s">
        <v>756</v>
      </c>
      <c r="B62" s="15"/>
      <c r="C62" s="15"/>
      <c r="D62" s="15"/>
      <c r="E62" s="15"/>
      <c r="F62" s="15"/>
      <c r="G62" s="15"/>
      <c r="H62" s="15"/>
      <c r="I62" s="15"/>
      <c r="J62" s="15"/>
      <c r="K62" s="15"/>
    </row>
    <row r="63" spans="1:19" x14ac:dyDescent="0.25">
      <c r="A63" s="343"/>
    </row>
  </sheetData>
  <sheetProtection algorithmName="SHA-512" hashValue="cLDZo4iU9oT0L0SdxuKR5RKtzNVk+jO6cpOh4RxxdSuHJJWm7Ckh4uq9fCw/wxvorbRAeBYALdKsdIrsRy41MQ==" saltValue="QQkClkyuBdpeY31HrEwkVQ==" spinCount="100000" sheet="1" scenarios="1" formatCells="0" sort="0" autoFilter="0" pivotTables="0"/>
  <mergeCells count="14">
    <mergeCell ref="F9:G9"/>
    <mergeCell ref="A4:Q4"/>
    <mergeCell ref="B9:C9"/>
    <mergeCell ref="D9:E9"/>
    <mergeCell ref="H9:I9"/>
    <mergeCell ref="J9:K9"/>
    <mergeCell ref="M9:O9"/>
    <mergeCell ref="A61:H61"/>
    <mergeCell ref="B40:C40"/>
    <mergeCell ref="F40:G40"/>
    <mergeCell ref="A31:I31"/>
    <mergeCell ref="J40:K40"/>
    <mergeCell ref="H40:I40"/>
    <mergeCell ref="D40:E40"/>
  </mergeCells>
  <hyperlinks>
    <hyperlink ref="A2" location="'Table of Contents'!A1" display="Back to Table of Contents" xr:uid="{00000000-0004-0000-A800-000000000000}"/>
  </hyperlinks>
  <pageMargins left="0.70866141732283472" right="0.70866141732283472" top="0.74803149606299213" bottom="0.74803149606299213" header="0.31496062992125984" footer="0.31496062992125984"/>
  <pageSetup paperSize="9" scale="62" orientation="landscape" r:id="rId1"/>
  <drawing r:id="rId2"/>
  <tableParts count="1">
    <tablePart r:id="rId3"/>
  </tableParts>
  <extLst>
    <ext xmlns:x14="http://schemas.microsoft.com/office/spreadsheetml/2009/9/main" uri="{A8765BA9-456A-4dab-B4F3-ACF838C121DE}">
      <x14:slicerList>
        <x14:slicer r:id="rId4"/>
      </x14:slicerList>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abColor theme="3" tint="0.39997558519241921"/>
  </sheetPr>
  <dimension ref="A1:I36"/>
  <sheetViews>
    <sheetView workbookViewId="0">
      <selection activeCell="C13" sqref="C13"/>
    </sheetView>
  </sheetViews>
  <sheetFormatPr defaultRowHeight="15" x14ac:dyDescent="0.25"/>
  <cols>
    <col min="1" max="1" width="20.85546875" bestFit="1" customWidth="1"/>
    <col min="2" max="2" width="13.42578125" bestFit="1" customWidth="1"/>
    <col min="3" max="3" width="14.42578125" bestFit="1" customWidth="1"/>
    <col min="4" max="4" width="13.42578125" bestFit="1" customWidth="1"/>
    <col min="5" max="5" width="14.28515625" bestFit="1" customWidth="1"/>
    <col min="6" max="6" width="23.42578125" bestFit="1" customWidth="1"/>
    <col min="7" max="7" width="24.5703125" bestFit="1" customWidth="1"/>
    <col min="8" max="8" width="22.140625" bestFit="1" customWidth="1"/>
    <col min="9" max="9" width="23" bestFit="1" customWidth="1"/>
  </cols>
  <sheetData>
    <row r="1" spans="1:9" x14ac:dyDescent="0.25">
      <c r="A1" s="394" t="s">
        <v>1</v>
      </c>
      <c r="B1" t="s">
        <v>1108</v>
      </c>
    </row>
    <row r="3" spans="1:9" x14ac:dyDescent="0.25">
      <c r="A3" s="394" t="s">
        <v>231</v>
      </c>
      <c r="B3" t="s">
        <v>404</v>
      </c>
      <c r="C3" t="s">
        <v>405</v>
      </c>
      <c r="D3" t="s">
        <v>406</v>
      </c>
      <c r="E3" t="s">
        <v>407</v>
      </c>
      <c r="F3" t="s">
        <v>408</v>
      </c>
      <c r="G3" t="s">
        <v>410</v>
      </c>
      <c r="H3" t="s">
        <v>409</v>
      </c>
      <c r="I3" t="s">
        <v>411</v>
      </c>
    </row>
    <row r="4" spans="1:9" x14ac:dyDescent="0.25">
      <c r="A4" s="395" t="s">
        <v>31</v>
      </c>
      <c r="B4">
        <v>343</v>
      </c>
      <c r="C4">
        <v>2507.25</v>
      </c>
      <c r="D4">
        <v>5</v>
      </c>
      <c r="E4">
        <v>108.25</v>
      </c>
    </row>
    <row r="5" spans="1:9" x14ac:dyDescent="0.25">
      <c r="A5" s="395" t="s">
        <v>32</v>
      </c>
      <c r="B5">
        <v>323</v>
      </c>
      <c r="C5">
        <v>2267</v>
      </c>
      <c r="D5">
        <v>10</v>
      </c>
      <c r="E5">
        <v>183</v>
      </c>
    </row>
    <row r="6" spans="1:9" x14ac:dyDescent="0.25">
      <c r="A6" s="395" t="s">
        <v>33</v>
      </c>
      <c r="B6">
        <v>101</v>
      </c>
      <c r="C6">
        <v>520.5</v>
      </c>
      <c r="D6">
        <v>2</v>
      </c>
      <c r="E6">
        <v>23.75</v>
      </c>
    </row>
    <row r="7" spans="1:9" x14ac:dyDescent="0.25">
      <c r="A7" s="395" t="s">
        <v>34</v>
      </c>
      <c r="B7">
        <v>457</v>
      </c>
      <c r="C7">
        <v>2465.75</v>
      </c>
      <c r="D7">
        <v>24</v>
      </c>
      <c r="E7">
        <v>236.5</v>
      </c>
    </row>
    <row r="8" spans="1:9" x14ac:dyDescent="0.25">
      <c r="A8" s="395" t="s">
        <v>243</v>
      </c>
      <c r="B8">
        <v>595</v>
      </c>
      <c r="C8">
        <v>3046.75</v>
      </c>
      <c r="D8">
        <v>53</v>
      </c>
      <c r="E8">
        <v>553.5</v>
      </c>
      <c r="F8">
        <v>1</v>
      </c>
      <c r="G8">
        <v>30.25</v>
      </c>
      <c r="H8">
        <v>1</v>
      </c>
    </row>
    <row r="9" spans="1:9" x14ac:dyDescent="0.25">
      <c r="A9" s="395" t="s">
        <v>35</v>
      </c>
      <c r="B9">
        <v>24</v>
      </c>
      <c r="C9">
        <v>154.75</v>
      </c>
      <c r="D9">
        <v>1</v>
      </c>
      <c r="E9">
        <v>4.75</v>
      </c>
    </row>
    <row r="10" spans="1:9" x14ac:dyDescent="0.25">
      <c r="A10" s="395" t="s">
        <v>36</v>
      </c>
      <c r="B10">
        <v>387</v>
      </c>
      <c r="C10">
        <v>2392.25</v>
      </c>
      <c r="D10">
        <v>2</v>
      </c>
      <c r="E10">
        <v>24.75</v>
      </c>
      <c r="H10">
        <v>2</v>
      </c>
      <c r="I10">
        <v>7.25</v>
      </c>
    </row>
    <row r="11" spans="1:9" x14ac:dyDescent="0.25">
      <c r="A11" s="395" t="s">
        <v>37</v>
      </c>
      <c r="B11">
        <v>320</v>
      </c>
      <c r="C11">
        <v>1517</v>
      </c>
      <c r="D11">
        <v>8</v>
      </c>
      <c r="E11">
        <v>49.5</v>
      </c>
    </row>
    <row r="12" spans="1:9" x14ac:dyDescent="0.25">
      <c r="A12" s="395" t="s">
        <v>38</v>
      </c>
      <c r="B12">
        <v>173</v>
      </c>
      <c r="C12">
        <v>738.5</v>
      </c>
      <c r="D12">
        <v>10</v>
      </c>
      <c r="E12">
        <v>84</v>
      </c>
      <c r="H12">
        <v>1</v>
      </c>
      <c r="I12">
        <v>57.25</v>
      </c>
    </row>
    <row r="13" spans="1:9" x14ac:dyDescent="0.25">
      <c r="A13" s="395" t="s">
        <v>39</v>
      </c>
      <c r="B13">
        <v>56</v>
      </c>
      <c r="C13">
        <v>313.75</v>
      </c>
      <c r="D13">
        <v>7</v>
      </c>
      <c r="E13">
        <v>49.5</v>
      </c>
    </row>
    <row r="14" spans="1:9" x14ac:dyDescent="0.25">
      <c r="A14" s="395" t="s">
        <v>40</v>
      </c>
      <c r="B14">
        <v>110</v>
      </c>
      <c r="C14">
        <v>654.5</v>
      </c>
      <c r="D14">
        <v>7</v>
      </c>
      <c r="E14">
        <v>111.75</v>
      </c>
      <c r="F14">
        <v>1</v>
      </c>
      <c r="G14">
        <v>73.25</v>
      </c>
      <c r="H14">
        <v>3</v>
      </c>
      <c r="I14">
        <v>35</v>
      </c>
    </row>
    <row r="15" spans="1:9" x14ac:dyDescent="0.25">
      <c r="A15" s="395" t="s">
        <v>41</v>
      </c>
      <c r="B15">
        <v>53</v>
      </c>
      <c r="C15">
        <v>261.5</v>
      </c>
      <c r="D15">
        <v>1</v>
      </c>
      <c r="E15">
        <v>5.5</v>
      </c>
    </row>
    <row r="16" spans="1:9" x14ac:dyDescent="0.25">
      <c r="A16" s="395" t="s">
        <v>42</v>
      </c>
      <c r="B16">
        <v>121</v>
      </c>
      <c r="C16">
        <v>721.75</v>
      </c>
      <c r="D16">
        <v>1</v>
      </c>
      <c r="E16">
        <v>33</v>
      </c>
    </row>
    <row r="17" spans="1:9" x14ac:dyDescent="0.25">
      <c r="A17" s="395" t="s">
        <v>43</v>
      </c>
      <c r="B17">
        <v>365</v>
      </c>
      <c r="C17">
        <v>2189</v>
      </c>
      <c r="D17">
        <v>11</v>
      </c>
      <c r="E17">
        <v>118.5</v>
      </c>
      <c r="H17">
        <v>1</v>
      </c>
      <c r="I17">
        <v>4</v>
      </c>
    </row>
    <row r="18" spans="1:9" x14ac:dyDescent="0.25">
      <c r="A18" s="395" t="s">
        <v>117</v>
      </c>
      <c r="B18">
        <v>879</v>
      </c>
      <c r="C18">
        <v>4383.5</v>
      </c>
      <c r="D18">
        <v>35</v>
      </c>
      <c r="E18">
        <v>318.5</v>
      </c>
      <c r="F18">
        <v>1</v>
      </c>
      <c r="G18">
        <v>25</v>
      </c>
      <c r="H18">
        <v>1</v>
      </c>
    </row>
    <row r="19" spans="1:9" x14ac:dyDescent="0.25">
      <c r="A19" s="395" t="s">
        <v>44</v>
      </c>
      <c r="B19">
        <v>348</v>
      </c>
      <c r="C19">
        <v>2388.75</v>
      </c>
      <c r="D19">
        <v>14</v>
      </c>
      <c r="E19">
        <v>500.25</v>
      </c>
      <c r="H19">
        <v>2</v>
      </c>
      <c r="I19">
        <v>108.75</v>
      </c>
    </row>
    <row r="20" spans="1:9" x14ac:dyDescent="0.25">
      <c r="A20" s="395" t="s">
        <v>45</v>
      </c>
      <c r="B20">
        <v>88</v>
      </c>
      <c r="C20">
        <v>492</v>
      </c>
      <c r="D20">
        <v>3</v>
      </c>
      <c r="E20">
        <v>41.5</v>
      </c>
    </row>
    <row r="21" spans="1:9" x14ac:dyDescent="0.25">
      <c r="A21" s="395" t="s">
        <v>46</v>
      </c>
      <c r="B21">
        <v>126</v>
      </c>
      <c r="C21">
        <v>829</v>
      </c>
      <c r="D21">
        <v>6</v>
      </c>
      <c r="E21">
        <v>40</v>
      </c>
    </row>
    <row r="22" spans="1:9" x14ac:dyDescent="0.25">
      <c r="A22" s="395" t="s">
        <v>47</v>
      </c>
      <c r="B22">
        <v>116</v>
      </c>
      <c r="C22">
        <v>902</v>
      </c>
      <c r="D22">
        <v>9</v>
      </c>
      <c r="E22">
        <v>198.5</v>
      </c>
    </row>
    <row r="23" spans="1:9" x14ac:dyDescent="0.25">
      <c r="A23" s="395" t="s">
        <v>48</v>
      </c>
      <c r="B23">
        <v>33</v>
      </c>
      <c r="C23">
        <v>186.75</v>
      </c>
      <c r="D23">
        <v>1</v>
      </c>
      <c r="E23">
        <v>12.25</v>
      </c>
    </row>
    <row r="24" spans="1:9" x14ac:dyDescent="0.25">
      <c r="A24" s="395" t="s">
        <v>49</v>
      </c>
      <c r="B24">
        <v>251</v>
      </c>
      <c r="C24">
        <v>1773.5</v>
      </c>
      <c r="D24">
        <v>8</v>
      </c>
      <c r="E24">
        <v>169.25</v>
      </c>
      <c r="F24">
        <v>1</v>
      </c>
      <c r="G24">
        <v>19.25</v>
      </c>
      <c r="H24">
        <v>1</v>
      </c>
      <c r="I24">
        <v>78</v>
      </c>
    </row>
    <row r="25" spans="1:9" x14ac:dyDescent="0.25">
      <c r="A25" s="395" t="s">
        <v>50</v>
      </c>
      <c r="B25">
        <v>423</v>
      </c>
      <c r="C25">
        <v>1918.25</v>
      </c>
      <c r="D25">
        <v>8</v>
      </c>
      <c r="E25">
        <v>61.75</v>
      </c>
    </row>
    <row r="26" spans="1:9" x14ac:dyDescent="0.25">
      <c r="A26" s="395" t="s">
        <v>51</v>
      </c>
      <c r="B26">
        <v>23</v>
      </c>
      <c r="C26">
        <v>129.75</v>
      </c>
      <c r="D26">
        <v>1</v>
      </c>
      <c r="E26">
        <v>11.75</v>
      </c>
    </row>
    <row r="27" spans="1:9" x14ac:dyDescent="0.25">
      <c r="A27" s="395" t="s">
        <v>52</v>
      </c>
      <c r="B27">
        <v>226</v>
      </c>
      <c r="C27">
        <v>1168.25</v>
      </c>
      <c r="D27">
        <v>3</v>
      </c>
      <c r="E27">
        <v>20.5</v>
      </c>
    </row>
    <row r="28" spans="1:9" x14ac:dyDescent="0.25">
      <c r="A28" s="395" t="s">
        <v>53</v>
      </c>
      <c r="B28">
        <v>194</v>
      </c>
      <c r="C28">
        <v>1054.5</v>
      </c>
      <c r="D28">
        <v>4</v>
      </c>
      <c r="E28">
        <v>52.75</v>
      </c>
    </row>
    <row r="29" spans="1:9" x14ac:dyDescent="0.25">
      <c r="A29" s="395" t="s">
        <v>54</v>
      </c>
      <c r="B29">
        <v>146</v>
      </c>
      <c r="C29">
        <v>737.5</v>
      </c>
      <c r="D29">
        <v>14</v>
      </c>
      <c r="E29">
        <v>142.75</v>
      </c>
    </row>
    <row r="30" spans="1:9" x14ac:dyDescent="0.25">
      <c r="A30" s="395" t="s">
        <v>55</v>
      </c>
      <c r="B30">
        <v>64</v>
      </c>
      <c r="C30">
        <v>426.25</v>
      </c>
      <c r="D30">
        <v>7</v>
      </c>
      <c r="E30">
        <v>73.5</v>
      </c>
    </row>
    <row r="31" spans="1:9" x14ac:dyDescent="0.25">
      <c r="A31" s="395" t="s">
        <v>56</v>
      </c>
      <c r="B31">
        <v>243</v>
      </c>
      <c r="C31">
        <v>1766</v>
      </c>
      <c r="D31">
        <v>14</v>
      </c>
      <c r="E31">
        <v>268.5</v>
      </c>
    </row>
    <row r="32" spans="1:9" x14ac:dyDescent="0.25">
      <c r="A32" s="395" t="s">
        <v>57</v>
      </c>
      <c r="B32">
        <v>365</v>
      </c>
      <c r="C32">
        <v>2863.75</v>
      </c>
      <c r="D32">
        <v>13</v>
      </c>
      <c r="E32">
        <v>181</v>
      </c>
    </row>
    <row r="33" spans="1:9" x14ac:dyDescent="0.25">
      <c r="A33" s="395" t="s">
        <v>58</v>
      </c>
      <c r="B33">
        <v>92</v>
      </c>
      <c r="C33">
        <v>504.5</v>
      </c>
      <c r="D33">
        <v>3</v>
      </c>
      <c r="E33">
        <v>83.5</v>
      </c>
      <c r="F33">
        <v>1</v>
      </c>
      <c r="G33">
        <v>67</v>
      </c>
    </row>
    <row r="34" spans="1:9" x14ac:dyDescent="0.25">
      <c r="A34" s="395" t="s">
        <v>59</v>
      </c>
      <c r="B34">
        <v>122</v>
      </c>
      <c r="C34">
        <v>571.25</v>
      </c>
      <c r="D34">
        <v>7</v>
      </c>
      <c r="E34">
        <v>68.5</v>
      </c>
    </row>
    <row r="35" spans="1:9" x14ac:dyDescent="0.25">
      <c r="A35" s="395" t="s">
        <v>60</v>
      </c>
      <c r="B35">
        <v>195</v>
      </c>
      <c r="C35">
        <v>974.5</v>
      </c>
    </row>
    <row r="36" spans="1:9" x14ac:dyDescent="0.25">
      <c r="A36" s="395" t="s">
        <v>236</v>
      </c>
      <c r="B36">
        <v>7362</v>
      </c>
      <c r="C36">
        <v>42820.25</v>
      </c>
      <c r="D36">
        <v>292</v>
      </c>
      <c r="E36">
        <v>3831</v>
      </c>
      <c r="F36">
        <v>5</v>
      </c>
      <c r="G36">
        <v>214.75</v>
      </c>
      <c r="H36">
        <v>12</v>
      </c>
      <c r="I36">
        <v>290.25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theme="3" tint="0.39997558519241921"/>
  </sheetPr>
  <dimension ref="A1:K320"/>
  <sheetViews>
    <sheetView workbookViewId="0">
      <selection activeCell="C12" sqref="C12"/>
    </sheetView>
  </sheetViews>
  <sheetFormatPr defaultRowHeight="15" x14ac:dyDescent="0.25"/>
  <cols>
    <col min="1" max="1" width="7.42578125" bestFit="1" customWidth="1"/>
    <col min="2" max="2" width="20.85546875" bestFit="1" customWidth="1"/>
    <col min="3" max="3" width="10.85546875" bestFit="1" customWidth="1"/>
    <col min="4" max="4" width="9.42578125" bestFit="1" customWidth="1"/>
    <col min="5" max="5" width="10.42578125" bestFit="1" customWidth="1"/>
    <col min="6" max="6" width="9.28515625" bestFit="1" customWidth="1"/>
    <col min="7" max="7" width="10.140625" bestFit="1" customWidth="1"/>
    <col min="8" max="8" width="19.42578125" bestFit="1" customWidth="1"/>
    <col min="9" max="9" width="20.28515625" bestFit="1" customWidth="1"/>
    <col min="10" max="10" width="17.85546875" bestFit="1" customWidth="1"/>
    <col min="11" max="11" width="18.85546875" bestFit="1" customWidth="1"/>
  </cols>
  <sheetData>
    <row r="1" spans="1:11" x14ac:dyDescent="0.25">
      <c r="A1" t="s">
        <v>313</v>
      </c>
      <c r="B1" t="s">
        <v>814</v>
      </c>
      <c r="C1" t="s">
        <v>927</v>
      </c>
      <c r="D1" t="s">
        <v>948</v>
      </c>
      <c r="E1" t="s">
        <v>949</v>
      </c>
      <c r="F1" t="s">
        <v>950</v>
      </c>
      <c r="G1" t="s">
        <v>951</v>
      </c>
      <c r="H1" t="s">
        <v>952</v>
      </c>
      <c r="I1" t="s">
        <v>953</v>
      </c>
      <c r="J1" t="s">
        <v>954</v>
      </c>
      <c r="K1" t="s">
        <v>955</v>
      </c>
    </row>
    <row r="2" spans="1:11" x14ac:dyDescent="0.25">
      <c r="A2" t="s">
        <v>191</v>
      </c>
      <c r="B2" t="s">
        <v>31</v>
      </c>
      <c r="C2" t="s">
        <v>285</v>
      </c>
      <c r="D2">
        <v>356</v>
      </c>
      <c r="E2">
        <v>1936.75</v>
      </c>
      <c r="F2">
        <v>13</v>
      </c>
      <c r="G2">
        <v>138.5</v>
      </c>
      <c r="H2">
        <v>2</v>
      </c>
      <c r="I2">
        <v>19.25</v>
      </c>
    </row>
    <row r="3" spans="1:11" x14ac:dyDescent="0.25">
      <c r="A3" t="s">
        <v>191</v>
      </c>
      <c r="B3" t="s">
        <v>32</v>
      </c>
      <c r="C3" t="s">
        <v>286</v>
      </c>
      <c r="D3">
        <v>252</v>
      </c>
      <c r="E3">
        <v>1725.5</v>
      </c>
      <c r="F3">
        <v>15</v>
      </c>
      <c r="G3">
        <v>162</v>
      </c>
      <c r="H3">
        <v>1</v>
      </c>
      <c r="I3">
        <v>38</v>
      </c>
      <c r="J3">
        <v>1</v>
      </c>
      <c r="K3">
        <v>7.5</v>
      </c>
    </row>
    <row r="4" spans="1:11" x14ac:dyDescent="0.25">
      <c r="A4" t="s">
        <v>191</v>
      </c>
      <c r="B4" t="s">
        <v>33</v>
      </c>
      <c r="C4" t="s">
        <v>292</v>
      </c>
      <c r="D4">
        <v>202</v>
      </c>
      <c r="E4">
        <v>853.5</v>
      </c>
      <c r="F4">
        <v>4</v>
      </c>
      <c r="G4">
        <v>21.75</v>
      </c>
    </row>
    <row r="5" spans="1:11" x14ac:dyDescent="0.25">
      <c r="A5" t="s">
        <v>191</v>
      </c>
      <c r="B5" t="s">
        <v>34</v>
      </c>
      <c r="C5" t="s">
        <v>287</v>
      </c>
      <c r="D5">
        <v>250</v>
      </c>
      <c r="E5">
        <v>1985.5</v>
      </c>
      <c r="F5">
        <v>3</v>
      </c>
      <c r="G5">
        <v>38.5</v>
      </c>
    </row>
    <row r="6" spans="1:11" x14ac:dyDescent="0.25">
      <c r="A6" t="s">
        <v>191</v>
      </c>
      <c r="B6" t="s">
        <v>243</v>
      </c>
      <c r="C6" t="s">
        <v>288</v>
      </c>
      <c r="D6">
        <v>903</v>
      </c>
      <c r="E6">
        <v>3293.5</v>
      </c>
      <c r="F6">
        <v>53</v>
      </c>
      <c r="G6">
        <v>292</v>
      </c>
      <c r="H6">
        <v>1</v>
      </c>
      <c r="I6">
        <v>5.5</v>
      </c>
    </row>
    <row r="7" spans="1:11" x14ac:dyDescent="0.25">
      <c r="A7" t="s">
        <v>191</v>
      </c>
      <c r="B7" t="s">
        <v>35</v>
      </c>
      <c r="C7" t="s">
        <v>266</v>
      </c>
      <c r="D7">
        <v>42</v>
      </c>
      <c r="E7">
        <v>247.25</v>
      </c>
      <c r="F7">
        <v>2</v>
      </c>
      <c r="G7">
        <v>16</v>
      </c>
    </row>
    <row r="8" spans="1:11" x14ac:dyDescent="0.25">
      <c r="A8" t="s">
        <v>191</v>
      </c>
      <c r="B8" t="s">
        <v>36</v>
      </c>
      <c r="C8" t="s">
        <v>267</v>
      </c>
      <c r="D8">
        <v>177</v>
      </c>
      <c r="E8">
        <v>785.25</v>
      </c>
      <c r="F8">
        <v>36</v>
      </c>
      <c r="G8">
        <v>306.5</v>
      </c>
      <c r="J8">
        <v>1</v>
      </c>
      <c r="K8">
        <v>12.5</v>
      </c>
    </row>
    <row r="9" spans="1:11" x14ac:dyDescent="0.25">
      <c r="A9" t="s">
        <v>191</v>
      </c>
      <c r="B9" t="s">
        <v>37</v>
      </c>
      <c r="C9" t="s">
        <v>293</v>
      </c>
      <c r="D9">
        <v>456</v>
      </c>
      <c r="E9">
        <v>1804.75</v>
      </c>
      <c r="F9">
        <v>4</v>
      </c>
      <c r="G9">
        <v>13.5</v>
      </c>
    </row>
    <row r="10" spans="1:11" x14ac:dyDescent="0.25">
      <c r="A10" t="s">
        <v>191</v>
      </c>
      <c r="B10" t="s">
        <v>38</v>
      </c>
      <c r="C10" t="s">
        <v>268</v>
      </c>
      <c r="D10">
        <v>142</v>
      </c>
      <c r="E10">
        <v>914.75</v>
      </c>
      <c r="F10">
        <v>11</v>
      </c>
      <c r="G10">
        <v>90.75</v>
      </c>
    </row>
    <row r="11" spans="1:11" x14ac:dyDescent="0.25">
      <c r="A11" t="s">
        <v>191</v>
      </c>
      <c r="B11" t="s">
        <v>39</v>
      </c>
      <c r="C11" t="s">
        <v>295</v>
      </c>
      <c r="D11">
        <v>53</v>
      </c>
      <c r="E11">
        <v>362.75</v>
      </c>
      <c r="F11">
        <v>1</v>
      </c>
      <c r="G11">
        <v>7.5</v>
      </c>
    </row>
    <row r="12" spans="1:11" x14ac:dyDescent="0.25">
      <c r="A12" t="s">
        <v>191</v>
      </c>
      <c r="B12" t="s">
        <v>40</v>
      </c>
      <c r="C12" t="s">
        <v>269</v>
      </c>
      <c r="D12">
        <v>96</v>
      </c>
      <c r="E12">
        <v>335.5</v>
      </c>
      <c r="F12">
        <v>6</v>
      </c>
      <c r="G12">
        <v>37.5</v>
      </c>
    </row>
    <row r="13" spans="1:11" x14ac:dyDescent="0.25">
      <c r="A13" t="s">
        <v>191</v>
      </c>
      <c r="B13" t="s">
        <v>41</v>
      </c>
      <c r="C13" t="s">
        <v>270</v>
      </c>
      <c r="D13">
        <v>111</v>
      </c>
      <c r="E13">
        <v>761.5</v>
      </c>
      <c r="F13">
        <v>8</v>
      </c>
      <c r="G13">
        <v>133</v>
      </c>
    </row>
    <row r="14" spans="1:11" x14ac:dyDescent="0.25">
      <c r="A14" t="s">
        <v>191</v>
      </c>
      <c r="B14" t="s">
        <v>42</v>
      </c>
      <c r="C14" t="s">
        <v>272</v>
      </c>
      <c r="D14">
        <v>232</v>
      </c>
      <c r="E14">
        <v>1156</v>
      </c>
      <c r="F14">
        <v>11</v>
      </c>
      <c r="G14">
        <v>105.25</v>
      </c>
    </row>
    <row r="15" spans="1:11" x14ac:dyDescent="0.25">
      <c r="A15" t="s">
        <v>191</v>
      </c>
      <c r="B15" t="s">
        <v>43</v>
      </c>
      <c r="C15" t="s">
        <v>388</v>
      </c>
      <c r="D15">
        <v>483</v>
      </c>
      <c r="E15">
        <v>1857.5</v>
      </c>
      <c r="F15">
        <v>15</v>
      </c>
      <c r="G15">
        <v>104.75</v>
      </c>
    </row>
    <row r="16" spans="1:11" x14ac:dyDescent="0.25">
      <c r="A16" t="s">
        <v>191</v>
      </c>
      <c r="B16" t="s">
        <v>117</v>
      </c>
      <c r="C16" t="s">
        <v>296</v>
      </c>
      <c r="D16">
        <v>1045</v>
      </c>
      <c r="E16">
        <v>5340</v>
      </c>
      <c r="F16">
        <v>77</v>
      </c>
      <c r="G16">
        <v>444</v>
      </c>
      <c r="J16">
        <v>1</v>
      </c>
      <c r="K16">
        <v>5.5</v>
      </c>
    </row>
    <row r="17" spans="1:9" x14ac:dyDescent="0.25">
      <c r="A17" t="s">
        <v>191</v>
      </c>
      <c r="B17" t="s">
        <v>44</v>
      </c>
      <c r="C17" t="s">
        <v>273</v>
      </c>
      <c r="D17">
        <v>259</v>
      </c>
      <c r="E17">
        <v>1846.75</v>
      </c>
      <c r="F17">
        <v>17</v>
      </c>
      <c r="G17">
        <v>253.25</v>
      </c>
      <c r="H17">
        <v>5</v>
      </c>
      <c r="I17">
        <v>112.5</v>
      </c>
    </row>
    <row r="18" spans="1:9" x14ac:dyDescent="0.25">
      <c r="A18" t="s">
        <v>191</v>
      </c>
      <c r="B18" t="s">
        <v>45</v>
      </c>
      <c r="C18" t="s">
        <v>274</v>
      </c>
      <c r="D18">
        <v>142</v>
      </c>
      <c r="E18">
        <v>600.5</v>
      </c>
      <c r="F18">
        <v>5</v>
      </c>
      <c r="G18">
        <v>37.75</v>
      </c>
    </row>
    <row r="19" spans="1:9" x14ac:dyDescent="0.25">
      <c r="A19" t="s">
        <v>191</v>
      </c>
      <c r="B19" t="s">
        <v>46</v>
      </c>
      <c r="C19" t="s">
        <v>275</v>
      </c>
      <c r="D19">
        <v>122</v>
      </c>
      <c r="E19">
        <v>365.5</v>
      </c>
      <c r="F19">
        <v>4</v>
      </c>
      <c r="G19">
        <v>31.25</v>
      </c>
    </row>
    <row r="20" spans="1:9" x14ac:dyDescent="0.25">
      <c r="A20" t="s">
        <v>191</v>
      </c>
      <c r="B20" t="s">
        <v>47</v>
      </c>
      <c r="C20" t="s">
        <v>276</v>
      </c>
      <c r="D20">
        <v>110</v>
      </c>
      <c r="E20">
        <v>771.25</v>
      </c>
      <c r="F20">
        <v>4</v>
      </c>
      <c r="G20">
        <v>72.5</v>
      </c>
    </row>
    <row r="21" spans="1:9" x14ac:dyDescent="0.25">
      <c r="A21" t="s">
        <v>191</v>
      </c>
      <c r="B21" t="s">
        <v>48</v>
      </c>
      <c r="C21" t="s">
        <v>271</v>
      </c>
      <c r="D21">
        <v>18</v>
      </c>
      <c r="E21">
        <v>138.5</v>
      </c>
      <c r="F21">
        <v>1</v>
      </c>
      <c r="G21">
        <v>13.25</v>
      </c>
    </row>
    <row r="22" spans="1:9" x14ac:dyDescent="0.25">
      <c r="A22" t="s">
        <v>191</v>
      </c>
      <c r="B22" t="s">
        <v>49</v>
      </c>
      <c r="C22" t="s">
        <v>277</v>
      </c>
      <c r="D22">
        <v>105</v>
      </c>
      <c r="E22">
        <v>505.5</v>
      </c>
      <c r="F22">
        <v>4</v>
      </c>
      <c r="G22">
        <v>31</v>
      </c>
    </row>
    <row r="23" spans="1:9" x14ac:dyDescent="0.25">
      <c r="A23" t="s">
        <v>191</v>
      </c>
      <c r="B23" t="s">
        <v>50</v>
      </c>
      <c r="C23" t="s">
        <v>294</v>
      </c>
      <c r="D23">
        <v>298</v>
      </c>
      <c r="E23">
        <v>2166.75</v>
      </c>
      <c r="F23">
        <v>3</v>
      </c>
      <c r="G23">
        <v>23.75</v>
      </c>
    </row>
    <row r="24" spans="1:9" x14ac:dyDescent="0.25">
      <c r="A24" t="s">
        <v>191</v>
      </c>
      <c r="B24" t="s">
        <v>51</v>
      </c>
      <c r="C24" t="s">
        <v>278</v>
      </c>
      <c r="D24">
        <v>16</v>
      </c>
      <c r="E24">
        <v>108.5</v>
      </c>
    </row>
    <row r="25" spans="1:9" x14ac:dyDescent="0.25">
      <c r="A25" t="s">
        <v>191</v>
      </c>
      <c r="B25" t="s">
        <v>52</v>
      </c>
      <c r="C25" t="s">
        <v>279</v>
      </c>
      <c r="D25">
        <v>246</v>
      </c>
      <c r="E25">
        <v>1269.25</v>
      </c>
      <c r="F25">
        <v>1</v>
      </c>
      <c r="G25">
        <v>10.25</v>
      </c>
    </row>
    <row r="26" spans="1:9" x14ac:dyDescent="0.25">
      <c r="A26" t="s">
        <v>191</v>
      </c>
      <c r="B26" t="s">
        <v>53</v>
      </c>
      <c r="C26" t="s">
        <v>289</v>
      </c>
      <c r="D26">
        <v>212</v>
      </c>
      <c r="E26">
        <v>1318.75</v>
      </c>
      <c r="F26">
        <v>3</v>
      </c>
      <c r="G26">
        <v>28.75</v>
      </c>
    </row>
    <row r="27" spans="1:9" x14ac:dyDescent="0.25">
      <c r="A27" t="s">
        <v>191</v>
      </c>
      <c r="B27" t="s">
        <v>54</v>
      </c>
      <c r="C27" t="s">
        <v>280</v>
      </c>
      <c r="D27">
        <v>332</v>
      </c>
      <c r="E27">
        <v>1463</v>
      </c>
      <c r="F27">
        <v>49</v>
      </c>
      <c r="G27">
        <v>381.75</v>
      </c>
      <c r="H27">
        <v>1</v>
      </c>
      <c r="I27">
        <v>31</v>
      </c>
    </row>
    <row r="28" spans="1:9" x14ac:dyDescent="0.25">
      <c r="A28" t="s">
        <v>191</v>
      </c>
      <c r="B28" t="s">
        <v>55</v>
      </c>
      <c r="C28" t="s">
        <v>281</v>
      </c>
      <c r="D28">
        <v>32</v>
      </c>
      <c r="E28">
        <v>199.75</v>
      </c>
    </row>
    <row r="29" spans="1:9" x14ac:dyDescent="0.25">
      <c r="A29" t="s">
        <v>191</v>
      </c>
      <c r="B29" t="s">
        <v>56</v>
      </c>
      <c r="C29" t="s">
        <v>282</v>
      </c>
      <c r="D29">
        <v>239</v>
      </c>
      <c r="E29">
        <v>1368.5</v>
      </c>
      <c r="F29">
        <v>8</v>
      </c>
      <c r="G29">
        <v>65.5</v>
      </c>
    </row>
    <row r="30" spans="1:9" x14ac:dyDescent="0.25">
      <c r="A30" t="s">
        <v>191</v>
      </c>
      <c r="B30" t="s">
        <v>57</v>
      </c>
      <c r="C30" t="s">
        <v>283</v>
      </c>
      <c r="D30">
        <v>278</v>
      </c>
      <c r="E30">
        <v>2462.25</v>
      </c>
      <c r="F30">
        <v>8</v>
      </c>
      <c r="G30">
        <v>133.5</v>
      </c>
    </row>
    <row r="31" spans="1:9" x14ac:dyDescent="0.25">
      <c r="A31" t="s">
        <v>191</v>
      </c>
      <c r="B31" t="s">
        <v>58</v>
      </c>
      <c r="C31" t="s">
        <v>284</v>
      </c>
      <c r="D31">
        <v>210</v>
      </c>
      <c r="E31">
        <v>875.75</v>
      </c>
      <c r="F31">
        <v>7</v>
      </c>
      <c r="G31">
        <v>49.25</v>
      </c>
    </row>
    <row r="32" spans="1:9" x14ac:dyDescent="0.25">
      <c r="A32" t="s">
        <v>191</v>
      </c>
      <c r="B32" t="s">
        <v>59</v>
      </c>
      <c r="C32" t="s">
        <v>290</v>
      </c>
      <c r="D32">
        <v>176</v>
      </c>
      <c r="E32">
        <v>797.25</v>
      </c>
    </row>
    <row r="33" spans="1:11" x14ac:dyDescent="0.25">
      <c r="A33" t="s">
        <v>191</v>
      </c>
      <c r="B33" t="s">
        <v>60</v>
      </c>
      <c r="C33" t="s">
        <v>291</v>
      </c>
      <c r="D33">
        <v>221</v>
      </c>
      <c r="E33">
        <v>867.25</v>
      </c>
      <c r="F33">
        <v>17</v>
      </c>
      <c r="G33">
        <v>91.25</v>
      </c>
    </row>
    <row r="34" spans="1:11" x14ac:dyDescent="0.25">
      <c r="A34" t="s">
        <v>190</v>
      </c>
      <c r="B34" t="s">
        <v>31</v>
      </c>
      <c r="C34" t="s">
        <v>285</v>
      </c>
      <c r="D34">
        <v>282</v>
      </c>
      <c r="E34">
        <v>1395</v>
      </c>
      <c r="F34">
        <v>33</v>
      </c>
      <c r="G34">
        <v>340.75</v>
      </c>
      <c r="J34">
        <v>1</v>
      </c>
      <c r="K34">
        <v>3.75</v>
      </c>
    </row>
    <row r="35" spans="1:11" x14ac:dyDescent="0.25">
      <c r="A35" t="s">
        <v>190</v>
      </c>
      <c r="B35" t="s">
        <v>32</v>
      </c>
      <c r="C35" t="s">
        <v>286</v>
      </c>
      <c r="D35">
        <v>334</v>
      </c>
      <c r="E35">
        <v>2016.25</v>
      </c>
      <c r="F35">
        <v>39</v>
      </c>
      <c r="G35">
        <v>438</v>
      </c>
      <c r="H35">
        <v>1</v>
      </c>
      <c r="I35">
        <v>28.25</v>
      </c>
    </row>
    <row r="36" spans="1:11" x14ac:dyDescent="0.25">
      <c r="A36" t="s">
        <v>190</v>
      </c>
      <c r="B36" t="s">
        <v>33</v>
      </c>
      <c r="C36" t="s">
        <v>292</v>
      </c>
      <c r="D36">
        <v>167</v>
      </c>
      <c r="E36">
        <v>768.25</v>
      </c>
      <c r="F36">
        <v>7</v>
      </c>
      <c r="G36">
        <v>62</v>
      </c>
    </row>
    <row r="37" spans="1:11" x14ac:dyDescent="0.25">
      <c r="A37" t="s">
        <v>190</v>
      </c>
      <c r="B37" t="s">
        <v>34</v>
      </c>
      <c r="C37" t="s">
        <v>287</v>
      </c>
      <c r="D37">
        <v>328</v>
      </c>
      <c r="E37">
        <v>2625.5</v>
      </c>
      <c r="F37">
        <v>13</v>
      </c>
      <c r="G37">
        <v>134</v>
      </c>
      <c r="H37">
        <v>3</v>
      </c>
      <c r="I37">
        <v>51.25</v>
      </c>
    </row>
    <row r="38" spans="1:11" x14ac:dyDescent="0.25">
      <c r="A38" t="s">
        <v>190</v>
      </c>
      <c r="B38" t="s">
        <v>243</v>
      </c>
      <c r="C38" t="s">
        <v>288</v>
      </c>
      <c r="D38">
        <v>790</v>
      </c>
      <c r="E38">
        <v>2779.75</v>
      </c>
      <c r="F38">
        <v>67</v>
      </c>
      <c r="G38">
        <v>415</v>
      </c>
      <c r="H38">
        <v>1</v>
      </c>
      <c r="I38">
        <v>32</v>
      </c>
    </row>
    <row r="39" spans="1:11" x14ac:dyDescent="0.25">
      <c r="A39" t="s">
        <v>190</v>
      </c>
      <c r="B39" t="s">
        <v>35</v>
      </c>
      <c r="C39" t="s">
        <v>266</v>
      </c>
      <c r="D39">
        <v>51</v>
      </c>
      <c r="E39">
        <v>190</v>
      </c>
    </row>
    <row r="40" spans="1:11" x14ac:dyDescent="0.25">
      <c r="A40" t="s">
        <v>190</v>
      </c>
      <c r="B40" t="s">
        <v>36</v>
      </c>
      <c r="C40" t="s">
        <v>267</v>
      </c>
      <c r="D40">
        <v>236</v>
      </c>
      <c r="E40">
        <v>943.25</v>
      </c>
      <c r="F40">
        <v>60</v>
      </c>
      <c r="G40">
        <v>445.25</v>
      </c>
    </row>
    <row r="41" spans="1:11" x14ac:dyDescent="0.25">
      <c r="A41" t="s">
        <v>190</v>
      </c>
      <c r="B41" t="s">
        <v>37</v>
      </c>
      <c r="C41" t="s">
        <v>293</v>
      </c>
      <c r="D41">
        <v>588</v>
      </c>
      <c r="E41">
        <v>2433.5</v>
      </c>
      <c r="F41">
        <v>10</v>
      </c>
      <c r="G41">
        <v>76.25</v>
      </c>
    </row>
    <row r="42" spans="1:11" x14ac:dyDescent="0.25">
      <c r="A42" t="s">
        <v>190</v>
      </c>
      <c r="B42" t="s">
        <v>38</v>
      </c>
      <c r="C42" t="s">
        <v>268</v>
      </c>
      <c r="D42">
        <v>131</v>
      </c>
      <c r="E42">
        <v>1016</v>
      </c>
      <c r="F42">
        <v>12</v>
      </c>
      <c r="G42">
        <v>128.75</v>
      </c>
      <c r="H42">
        <v>1</v>
      </c>
      <c r="I42">
        <v>28.5</v>
      </c>
    </row>
    <row r="43" spans="1:11" x14ac:dyDescent="0.25">
      <c r="A43" t="s">
        <v>190</v>
      </c>
      <c r="B43" t="s">
        <v>39</v>
      </c>
      <c r="C43" t="s">
        <v>295</v>
      </c>
      <c r="D43">
        <v>93</v>
      </c>
      <c r="E43">
        <v>607.5</v>
      </c>
      <c r="F43">
        <v>2</v>
      </c>
      <c r="G43">
        <v>26.25</v>
      </c>
    </row>
    <row r="44" spans="1:11" x14ac:dyDescent="0.25">
      <c r="A44" t="s">
        <v>190</v>
      </c>
      <c r="B44" t="s">
        <v>40</v>
      </c>
      <c r="C44" t="s">
        <v>269</v>
      </c>
      <c r="D44">
        <v>143</v>
      </c>
      <c r="E44">
        <v>628</v>
      </c>
      <c r="F44">
        <v>13</v>
      </c>
      <c r="G44">
        <v>106</v>
      </c>
    </row>
    <row r="45" spans="1:11" x14ac:dyDescent="0.25">
      <c r="A45" t="s">
        <v>190</v>
      </c>
      <c r="B45" t="s">
        <v>41</v>
      </c>
      <c r="C45" t="s">
        <v>270</v>
      </c>
      <c r="D45">
        <v>54</v>
      </c>
      <c r="E45">
        <v>343.75</v>
      </c>
      <c r="F45">
        <v>3</v>
      </c>
      <c r="G45">
        <v>60</v>
      </c>
    </row>
    <row r="46" spans="1:11" x14ac:dyDescent="0.25">
      <c r="A46" t="s">
        <v>190</v>
      </c>
      <c r="B46" t="s">
        <v>42</v>
      </c>
      <c r="C46" t="s">
        <v>272</v>
      </c>
      <c r="D46">
        <v>151</v>
      </c>
      <c r="E46">
        <v>754.5</v>
      </c>
      <c r="F46">
        <v>9</v>
      </c>
      <c r="G46">
        <v>57.25</v>
      </c>
      <c r="J46">
        <v>1</v>
      </c>
      <c r="K46">
        <v>11.5</v>
      </c>
    </row>
    <row r="47" spans="1:11" x14ac:dyDescent="0.25">
      <c r="A47" t="s">
        <v>190</v>
      </c>
      <c r="B47" t="s">
        <v>43</v>
      </c>
      <c r="C47" t="s">
        <v>388</v>
      </c>
      <c r="D47">
        <v>600</v>
      </c>
      <c r="E47">
        <v>2456.75</v>
      </c>
      <c r="F47">
        <v>18</v>
      </c>
      <c r="G47">
        <v>153.75</v>
      </c>
      <c r="H47">
        <v>1</v>
      </c>
      <c r="I47">
        <v>24.75</v>
      </c>
    </row>
    <row r="48" spans="1:11" x14ac:dyDescent="0.25">
      <c r="A48" t="s">
        <v>190</v>
      </c>
      <c r="B48" t="s">
        <v>117</v>
      </c>
      <c r="C48" t="s">
        <v>296</v>
      </c>
      <c r="D48">
        <v>1812</v>
      </c>
      <c r="E48">
        <v>7682.25</v>
      </c>
      <c r="F48">
        <v>144</v>
      </c>
      <c r="G48">
        <v>952.25</v>
      </c>
      <c r="H48">
        <v>1</v>
      </c>
      <c r="I48">
        <v>37.25</v>
      </c>
    </row>
    <row r="49" spans="1:11" x14ac:dyDescent="0.25">
      <c r="A49" t="s">
        <v>190</v>
      </c>
      <c r="B49" t="s">
        <v>44</v>
      </c>
      <c r="C49" t="s">
        <v>273</v>
      </c>
      <c r="D49">
        <v>287</v>
      </c>
      <c r="E49">
        <v>1820.25</v>
      </c>
      <c r="F49">
        <v>49</v>
      </c>
      <c r="G49">
        <v>847.75</v>
      </c>
      <c r="H49">
        <v>10</v>
      </c>
      <c r="I49">
        <v>256.5</v>
      </c>
    </row>
    <row r="50" spans="1:11" x14ac:dyDescent="0.25">
      <c r="A50" t="s">
        <v>190</v>
      </c>
      <c r="B50" t="s">
        <v>45</v>
      </c>
      <c r="C50" t="s">
        <v>274</v>
      </c>
      <c r="D50">
        <v>62</v>
      </c>
      <c r="E50">
        <v>263.75</v>
      </c>
      <c r="F50">
        <v>1</v>
      </c>
      <c r="G50">
        <v>17.25</v>
      </c>
    </row>
    <row r="51" spans="1:11" x14ac:dyDescent="0.25">
      <c r="A51" t="s">
        <v>190</v>
      </c>
      <c r="B51" t="s">
        <v>46</v>
      </c>
      <c r="C51" t="s">
        <v>275</v>
      </c>
      <c r="D51">
        <v>96</v>
      </c>
      <c r="E51">
        <v>321.75</v>
      </c>
      <c r="F51">
        <v>2</v>
      </c>
      <c r="G51">
        <v>7.75</v>
      </c>
    </row>
    <row r="52" spans="1:11" x14ac:dyDescent="0.25">
      <c r="A52" t="s">
        <v>190</v>
      </c>
      <c r="B52" t="s">
        <v>47</v>
      </c>
      <c r="C52" t="s">
        <v>276</v>
      </c>
      <c r="D52">
        <v>175</v>
      </c>
      <c r="E52">
        <v>986.75</v>
      </c>
      <c r="F52">
        <v>18</v>
      </c>
      <c r="G52">
        <v>256.25</v>
      </c>
      <c r="H52">
        <v>2</v>
      </c>
      <c r="I52">
        <v>23</v>
      </c>
    </row>
    <row r="53" spans="1:11" x14ac:dyDescent="0.25">
      <c r="A53" t="s">
        <v>190</v>
      </c>
      <c r="B53" t="s">
        <v>48</v>
      </c>
      <c r="C53" t="s">
        <v>271</v>
      </c>
      <c r="D53">
        <v>5</v>
      </c>
      <c r="E53">
        <v>27.25</v>
      </c>
      <c r="F53">
        <v>4</v>
      </c>
      <c r="G53">
        <v>78.75</v>
      </c>
    </row>
    <row r="54" spans="1:11" x14ac:dyDescent="0.25">
      <c r="A54" t="s">
        <v>190</v>
      </c>
      <c r="B54" t="s">
        <v>49</v>
      </c>
      <c r="C54" t="s">
        <v>277</v>
      </c>
      <c r="D54">
        <v>226</v>
      </c>
      <c r="E54">
        <v>1330.25</v>
      </c>
      <c r="F54">
        <v>37</v>
      </c>
      <c r="G54">
        <v>348.75</v>
      </c>
    </row>
    <row r="55" spans="1:11" x14ac:dyDescent="0.25">
      <c r="A55" t="s">
        <v>190</v>
      </c>
      <c r="B55" t="s">
        <v>50</v>
      </c>
      <c r="C55" t="s">
        <v>294</v>
      </c>
      <c r="D55">
        <v>539</v>
      </c>
      <c r="E55">
        <v>3321.5</v>
      </c>
      <c r="F55">
        <v>15</v>
      </c>
      <c r="G55">
        <v>152.25</v>
      </c>
    </row>
    <row r="56" spans="1:11" x14ac:dyDescent="0.25">
      <c r="A56" t="s">
        <v>190</v>
      </c>
      <c r="B56" t="s">
        <v>51</v>
      </c>
      <c r="C56" t="s">
        <v>278</v>
      </c>
      <c r="D56">
        <v>31</v>
      </c>
      <c r="E56">
        <v>146.75</v>
      </c>
      <c r="F56">
        <v>1</v>
      </c>
      <c r="G56">
        <v>13.25</v>
      </c>
    </row>
    <row r="57" spans="1:11" x14ac:dyDescent="0.25">
      <c r="A57" t="s">
        <v>190</v>
      </c>
      <c r="B57" t="s">
        <v>52</v>
      </c>
      <c r="C57" t="s">
        <v>279</v>
      </c>
      <c r="D57">
        <v>269</v>
      </c>
      <c r="E57">
        <v>1484.5</v>
      </c>
      <c r="F57">
        <v>1</v>
      </c>
      <c r="G57">
        <v>12</v>
      </c>
    </row>
    <row r="58" spans="1:11" x14ac:dyDescent="0.25">
      <c r="A58" t="s">
        <v>190</v>
      </c>
      <c r="B58" t="s">
        <v>53</v>
      </c>
      <c r="C58" t="s">
        <v>289</v>
      </c>
      <c r="D58">
        <v>238</v>
      </c>
      <c r="E58">
        <v>1268.75</v>
      </c>
    </row>
    <row r="59" spans="1:11" x14ac:dyDescent="0.25">
      <c r="A59" t="s">
        <v>190</v>
      </c>
      <c r="B59" t="s">
        <v>54</v>
      </c>
      <c r="C59" t="s">
        <v>280</v>
      </c>
      <c r="D59">
        <v>251</v>
      </c>
      <c r="E59">
        <v>1101.75</v>
      </c>
      <c r="F59">
        <v>39</v>
      </c>
      <c r="G59">
        <v>303.5</v>
      </c>
      <c r="J59">
        <v>1</v>
      </c>
      <c r="K59">
        <v>5.5</v>
      </c>
    </row>
    <row r="60" spans="1:11" x14ac:dyDescent="0.25">
      <c r="A60" t="s">
        <v>190</v>
      </c>
      <c r="B60" t="s">
        <v>55</v>
      </c>
      <c r="C60" t="s">
        <v>281</v>
      </c>
      <c r="D60">
        <v>24</v>
      </c>
      <c r="E60">
        <v>127.25</v>
      </c>
    </row>
    <row r="61" spans="1:11" x14ac:dyDescent="0.25">
      <c r="A61" t="s">
        <v>190</v>
      </c>
      <c r="B61" t="s">
        <v>56</v>
      </c>
      <c r="C61" t="s">
        <v>282</v>
      </c>
      <c r="D61">
        <v>274</v>
      </c>
      <c r="E61">
        <v>1590.25</v>
      </c>
      <c r="F61">
        <v>14</v>
      </c>
      <c r="G61">
        <v>122.25</v>
      </c>
      <c r="H61">
        <v>1</v>
      </c>
      <c r="I61">
        <v>18.25</v>
      </c>
    </row>
    <row r="62" spans="1:11" x14ac:dyDescent="0.25">
      <c r="A62" t="s">
        <v>190</v>
      </c>
      <c r="B62" t="s">
        <v>57</v>
      </c>
      <c r="C62" t="s">
        <v>283</v>
      </c>
      <c r="D62">
        <v>243</v>
      </c>
      <c r="E62">
        <v>1871.5</v>
      </c>
      <c r="F62">
        <v>7</v>
      </c>
      <c r="G62">
        <v>246.25</v>
      </c>
      <c r="H62">
        <v>1</v>
      </c>
      <c r="I62">
        <v>90.5</v>
      </c>
    </row>
    <row r="63" spans="1:11" x14ac:dyDescent="0.25">
      <c r="A63" t="s">
        <v>190</v>
      </c>
      <c r="B63" t="s">
        <v>58</v>
      </c>
      <c r="C63" t="s">
        <v>284</v>
      </c>
      <c r="D63">
        <v>332</v>
      </c>
      <c r="E63">
        <v>1013.5</v>
      </c>
      <c r="F63">
        <v>8</v>
      </c>
      <c r="G63">
        <v>39</v>
      </c>
      <c r="H63">
        <v>1</v>
      </c>
      <c r="I63">
        <v>21.75</v>
      </c>
      <c r="J63">
        <v>1</v>
      </c>
      <c r="K63">
        <v>2.5</v>
      </c>
    </row>
    <row r="64" spans="1:11" x14ac:dyDescent="0.25">
      <c r="A64" t="s">
        <v>190</v>
      </c>
      <c r="B64" t="s">
        <v>59</v>
      </c>
      <c r="C64" t="s">
        <v>290</v>
      </c>
      <c r="D64">
        <v>212</v>
      </c>
      <c r="E64">
        <v>933.75</v>
      </c>
      <c r="F64">
        <v>8</v>
      </c>
      <c r="G64">
        <v>99.75</v>
      </c>
    </row>
    <row r="65" spans="1:11" x14ac:dyDescent="0.25">
      <c r="A65" t="s">
        <v>190</v>
      </c>
      <c r="B65" t="s">
        <v>60</v>
      </c>
      <c r="C65" t="s">
        <v>291</v>
      </c>
      <c r="D65">
        <v>161</v>
      </c>
      <c r="E65">
        <v>715.25</v>
      </c>
      <c r="F65">
        <v>15</v>
      </c>
      <c r="G65">
        <v>129.25</v>
      </c>
    </row>
    <row r="66" spans="1:11" x14ac:dyDescent="0.25">
      <c r="A66" t="s">
        <v>257</v>
      </c>
      <c r="B66" t="s">
        <v>31</v>
      </c>
      <c r="C66" t="s">
        <v>285</v>
      </c>
      <c r="D66">
        <v>415</v>
      </c>
      <c r="E66">
        <v>2311</v>
      </c>
      <c r="F66">
        <v>20</v>
      </c>
      <c r="G66">
        <v>156.5</v>
      </c>
      <c r="H66">
        <v>7</v>
      </c>
      <c r="I66">
        <v>48</v>
      </c>
    </row>
    <row r="67" spans="1:11" x14ac:dyDescent="0.25">
      <c r="A67" t="s">
        <v>257</v>
      </c>
      <c r="B67" t="s">
        <v>32</v>
      </c>
      <c r="C67" t="s">
        <v>286</v>
      </c>
      <c r="D67">
        <v>336</v>
      </c>
      <c r="E67">
        <v>2384</v>
      </c>
      <c r="F67">
        <v>26</v>
      </c>
      <c r="G67">
        <v>277.5</v>
      </c>
      <c r="H67">
        <v>1</v>
      </c>
      <c r="I67">
        <v>6.5</v>
      </c>
    </row>
    <row r="68" spans="1:11" x14ac:dyDescent="0.25">
      <c r="A68" t="s">
        <v>257</v>
      </c>
      <c r="B68" t="s">
        <v>33</v>
      </c>
      <c r="C68" t="s">
        <v>292</v>
      </c>
      <c r="D68">
        <v>97</v>
      </c>
      <c r="E68">
        <v>396</v>
      </c>
      <c r="F68">
        <v>2</v>
      </c>
      <c r="G68">
        <v>19.75</v>
      </c>
    </row>
    <row r="69" spans="1:11" x14ac:dyDescent="0.25">
      <c r="A69" t="s">
        <v>257</v>
      </c>
      <c r="B69" t="s">
        <v>34</v>
      </c>
      <c r="C69" t="s">
        <v>287</v>
      </c>
      <c r="D69">
        <v>317</v>
      </c>
      <c r="E69">
        <v>2229.75</v>
      </c>
      <c r="F69">
        <v>14</v>
      </c>
      <c r="G69">
        <v>172.25</v>
      </c>
      <c r="H69">
        <v>2</v>
      </c>
      <c r="I69">
        <v>56.5</v>
      </c>
    </row>
    <row r="70" spans="1:11" x14ac:dyDescent="0.25">
      <c r="A70" t="s">
        <v>257</v>
      </c>
      <c r="B70" t="s">
        <v>243</v>
      </c>
      <c r="C70" t="s">
        <v>288</v>
      </c>
      <c r="D70">
        <v>733</v>
      </c>
      <c r="E70">
        <v>2765</v>
      </c>
      <c r="F70">
        <v>50</v>
      </c>
      <c r="G70">
        <v>314</v>
      </c>
      <c r="H70">
        <v>3</v>
      </c>
      <c r="I70">
        <v>28</v>
      </c>
      <c r="J70">
        <v>4</v>
      </c>
      <c r="K70">
        <v>8.25</v>
      </c>
    </row>
    <row r="71" spans="1:11" x14ac:dyDescent="0.25">
      <c r="A71" t="s">
        <v>257</v>
      </c>
      <c r="B71" t="s">
        <v>35</v>
      </c>
      <c r="C71" t="s">
        <v>266</v>
      </c>
      <c r="D71">
        <v>65</v>
      </c>
      <c r="E71">
        <v>226.75</v>
      </c>
      <c r="F71">
        <v>3</v>
      </c>
      <c r="G71">
        <v>16</v>
      </c>
    </row>
    <row r="72" spans="1:11" x14ac:dyDescent="0.25">
      <c r="A72" t="s">
        <v>257</v>
      </c>
      <c r="B72" t="s">
        <v>36</v>
      </c>
      <c r="C72" t="s">
        <v>267</v>
      </c>
      <c r="D72">
        <v>307</v>
      </c>
      <c r="E72">
        <v>1238</v>
      </c>
      <c r="F72">
        <v>56</v>
      </c>
      <c r="G72">
        <v>490.5</v>
      </c>
      <c r="J72">
        <v>1</v>
      </c>
      <c r="K72">
        <v>10.5</v>
      </c>
    </row>
    <row r="73" spans="1:11" x14ac:dyDescent="0.25">
      <c r="A73" t="s">
        <v>257</v>
      </c>
      <c r="B73" t="s">
        <v>37</v>
      </c>
      <c r="C73" t="s">
        <v>293</v>
      </c>
      <c r="D73">
        <v>653</v>
      </c>
      <c r="E73">
        <v>2216</v>
      </c>
      <c r="F73">
        <v>3</v>
      </c>
      <c r="G73">
        <v>17.25</v>
      </c>
      <c r="J73">
        <v>2</v>
      </c>
      <c r="K73">
        <v>16.5</v>
      </c>
    </row>
    <row r="74" spans="1:11" x14ac:dyDescent="0.25">
      <c r="A74" t="s">
        <v>257</v>
      </c>
      <c r="B74" t="s">
        <v>38</v>
      </c>
      <c r="C74" t="s">
        <v>268</v>
      </c>
      <c r="D74">
        <v>152</v>
      </c>
      <c r="E74">
        <v>1162.5</v>
      </c>
      <c r="F74">
        <v>12</v>
      </c>
      <c r="G74">
        <v>126.25</v>
      </c>
      <c r="H74">
        <v>1</v>
      </c>
      <c r="I74">
        <v>12.75</v>
      </c>
    </row>
    <row r="75" spans="1:11" x14ac:dyDescent="0.25">
      <c r="A75" t="s">
        <v>257</v>
      </c>
      <c r="B75" t="s">
        <v>39</v>
      </c>
      <c r="C75" t="s">
        <v>295</v>
      </c>
      <c r="D75">
        <v>77</v>
      </c>
      <c r="E75">
        <v>520.25</v>
      </c>
      <c r="F75">
        <v>4</v>
      </c>
      <c r="G75">
        <v>57</v>
      </c>
    </row>
    <row r="76" spans="1:11" x14ac:dyDescent="0.25">
      <c r="A76" t="s">
        <v>257</v>
      </c>
      <c r="B76" t="s">
        <v>40</v>
      </c>
      <c r="C76" t="s">
        <v>269</v>
      </c>
      <c r="D76">
        <v>126</v>
      </c>
      <c r="E76">
        <v>481.75</v>
      </c>
      <c r="F76">
        <v>13</v>
      </c>
      <c r="G76">
        <v>102.25</v>
      </c>
    </row>
    <row r="77" spans="1:11" x14ac:dyDescent="0.25">
      <c r="A77" t="s">
        <v>257</v>
      </c>
      <c r="B77" t="s">
        <v>41</v>
      </c>
      <c r="C77" t="s">
        <v>270</v>
      </c>
      <c r="D77">
        <v>76</v>
      </c>
      <c r="E77">
        <v>571.5</v>
      </c>
      <c r="F77">
        <v>4</v>
      </c>
      <c r="G77">
        <v>107.75</v>
      </c>
    </row>
    <row r="78" spans="1:11" x14ac:dyDescent="0.25">
      <c r="A78" t="s">
        <v>257</v>
      </c>
      <c r="B78" t="s">
        <v>42</v>
      </c>
      <c r="C78" t="s">
        <v>272</v>
      </c>
      <c r="D78">
        <v>152</v>
      </c>
      <c r="E78">
        <v>799.75</v>
      </c>
      <c r="F78">
        <v>8</v>
      </c>
      <c r="G78">
        <v>89.25</v>
      </c>
    </row>
    <row r="79" spans="1:11" x14ac:dyDescent="0.25">
      <c r="A79" t="s">
        <v>257</v>
      </c>
      <c r="B79" t="s">
        <v>43</v>
      </c>
      <c r="C79" t="s">
        <v>388</v>
      </c>
      <c r="D79">
        <v>452</v>
      </c>
      <c r="E79">
        <v>1850</v>
      </c>
      <c r="F79">
        <v>30</v>
      </c>
      <c r="G79">
        <v>353.5</v>
      </c>
      <c r="H79">
        <v>1</v>
      </c>
      <c r="I79">
        <v>76.75</v>
      </c>
    </row>
    <row r="80" spans="1:11" x14ac:dyDescent="0.25">
      <c r="A80" t="s">
        <v>257</v>
      </c>
      <c r="B80" t="s">
        <v>117</v>
      </c>
      <c r="C80" t="s">
        <v>296</v>
      </c>
      <c r="D80">
        <v>1457</v>
      </c>
      <c r="E80">
        <v>6398</v>
      </c>
      <c r="F80">
        <v>105</v>
      </c>
      <c r="G80">
        <v>596</v>
      </c>
    </row>
    <row r="81" spans="1:11" x14ac:dyDescent="0.25">
      <c r="A81" t="s">
        <v>257</v>
      </c>
      <c r="B81" t="s">
        <v>44</v>
      </c>
      <c r="C81" t="s">
        <v>273</v>
      </c>
      <c r="D81">
        <v>241</v>
      </c>
      <c r="E81">
        <v>1483.75</v>
      </c>
      <c r="F81">
        <v>27</v>
      </c>
      <c r="G81">
        <v>284.75</v>
      </c>
      <c r="H81">
        <v>1</v>
      </c>
      <c r="I81">
        <v>9.5</v>
      </c>
      <c r="J81">
        <v>1</v>
      </c>
      <c r="K81">
        <v>6.5</v>
      </c>
    </row>
    <row r="82" spans="1:11" x14ac:dyDescent="0.25">
      <c r="A82" t="s">
        <v>257</v>
      </c>
      <c r="B82" t="s">
        <v>45</v>
      </c>
      <c r="C82" t="s">
        <v>274</v>
      </c>
      <c r="D82">
        <v>107</v>
      </c>
      <c r="E82">
        <v>429.5</v>
      </c>
      <c r="F82">
        <v>8</v>
      </c>
      <c r="G82">
        <v>55</v>
      </c>
    </row>
    <row r="83" spans="1:11" x14ac:dyDescent="0.25">
      <c r="A83" t="s">
        <v>257</v>
      </c>
      <c r="B83" t="s">
        <v>46</v>
      </c>
      <c r="C83" t="s">
        <v>275</v>
      </c>
      <c r="D83">
        <v>93</v>
      </c>
      <c r="E83">
        <v>285.75</v>
      </c>
      <c r="F83">
        <v>4</v>
      </c>
      <c r="G83">
        <v>21</v>
      </c>
    </row>
    <row r="84" spans="1:11" x14ac:dyDescent="0.25">
      <c r="A84" t="s">
        <v>257</v>
      </c>
      <c r="B84" t="s">
        <v>47</v>
      </c>
      <c r="C84" t="s">
        <v>276</v>
      </c>
      <c r="D84">
        <v>136</v>
      </c>
      <c r="E84">
        <v>833.25</v>
      </c>
      <c r="F84">
        <v>6</v>
      </c>
      <c r="G84">
        <v>94.25</v>
      </c>
      <c r="H84">
        <v>1</v>
      </c>
      <c r="I84">
        <v>7</v>
      </c>
    </row>
    <row r="85" spans="1:11" x14ac:dyDescent="0.25">
      <c r="A85" t="s">
        <v>257</v>
      </c>
      <c r="B85" t="s">
        <v>48</v>
      </c>
      <c r="C85" t="s">
        <v>271</v>
      </c>
      <c r="D85">
        <v>16</v>
      </c>
      <c r="E85">
        <v>73.25</v>
      </c>
      <c r="F85">
        <v>5</v>
      </c>
      <c r="G85">
        <v>96.5</v>
      </c>
      <c r="H85">
        <v>1</v>
      </c>
      <c r="I85">
        <v>28.75</v>
      </c>
    </row>
    <row r="86" spans="1:11" x14ac:dyDescent="0.25">
      <c r="A86" t="s">
        <v>257</v>
      </c>
      <c r="B86" t="s">
        <v>49</v>
      </c>
      <c r="C86" t="s">
        <v>277</v>
      </c>
      <c r="D86">
        <v>212</v>
      </c>
      <c r="E86">
        <v>982.75</v>
      </c>
      <c r="F86">
        <v>18</v>
      </c>
      <c r="G86">
        <v>181.75</v>
      </c>
    </row>
    <row r="87" spans="1:11" x14ac:dyDescent="0.25">
      <c r="A87" t="s">
        <v>257</v>
      </c>
      <c r="B87" t="s">
        <v>50</v>
      </c>
      <c r="C87" t="s">
        <v>294</v>
      </c>
      <c r="D87">
        <v>485</v>
      </c>
      <c r="E87">
        <v>2741.25</v>
      </c>
      <c r="F87">
        <v>11</v>
      </c>
      <c r="G87">
        <v>112</v>
      </c>
    </row>
    <row r="88" spans="1:11" x14ac:dyDescent="0.25">
      <c r="A88" t="s">
        <v>257</v>
      </c>
      <c r="B88" t="s">
        <v>51</v>
      </c>
      <c r="C88" t="s">
        <v>278</v>
      </c>
      <c r="D88">
        <v>24</v>
      </c>
      <c r="E88">
        <v>132.75</v>
      </c>
      <c r="F88">
        <v>5</v>
      </c>
      <c r="G88">
        <v>53.25</v>
      </c>
    </row>
    <row r="89" spans="1:11" x14ac:dyDescent="0.25">
      <c r="A89" t="s">
        <v>257</v>
      </c>
      <c r="B89" t="s">
        <v>52</v>
      </c>
      <c r="C89" t="s">
        <v>279</v>
      </c>
      <c r="D89">
        <v>279</v>
      </c>
      <c r="E89">
        <v>1366.25</v>
      </c>
      <c r="F89">
        <v>8</v>
      </c>
      <c r="G89">
        <v>59.5</v>
      </c>
    </row>
    <row r="90" spans="1:11" x14ac:dyDescent="0.25">
      <c r="A90" t="s">
        <v>257</v>
      </c>
      <c r="B90" t="s">
        <v>53</v>
      </c>
      <c r="C90" t="s">
        <v>289</v>
      </c>
      <c r="D90">
        <v>164</v>
      </c>
      <c r="E90">
        <v>1078.5</v>
      </c>
      <c r="F90">
        <v>5</v>
      </c>
      <c r="G90">
        <v>60</v>
      </c>
    </row>
    <row r="91" spans="1:11" x14ac:dyDescent="0.25">
      <c r="A91" t="s">
        <v>257</v>
      </c>
      <c r="B91" t="s">
        <v>54</v>
      </c>
      <c r="C91" t="s">
        <v>280</v>
      </c>
      <c r="D91">
        <v>243</v>
      </c>
      <c r="E91">
        <v>1093.5</v>
      </c>
      <c r="F91">
        <v>42</v>
      </c>
      <c r="G91">
        <v>392.75</v>
      </c>
      <c r="H91">
        <v>1</v>
      </c>
      <c r="I91">
        <v>32</v>
      </c>
      <c r="J91">
        <v>1</v>
      </c>
      <c r="K91">
        <v>6.5</v>
      </c>
    </row>
    <row r="92" spans="1:11" x14ac:dyDescent="0.25">
      <c r="A92" t="s">
        <v>257</v>
      </c>
      <c r="B92" t="s">
        <v>55</v>
      </c>
      <c r="C92" t="s">
        <v>281</v>
      </c>
      <c r="D92">
        <v>14</v>
      </c>
      <c r="E92">
        <v>67</v>
      </c>
      <c r="F92">
        <v>2</v>
      </c>
      <c r="G92">
        <v>22</v>
      </c>
      <c r="J92">
        <v>3</v>
      </c>
      <c r="K92">
        <v>24</v>
      </c>
    </row>
    <row r="93" spans="1:11" x14ac:dyDescent="0.25">
      <c r="A93" t="s">
        <v>257</v>
      </c>
      <c r="B93" t="s">
        <v>56</v>
      </c>
      <c r="C93" t="s">
        <v>282</v>
      </c>
      <c r="D93">
        <v>294</v>
      </c>
      <c r="E93">
        <v>1861.5</v>
      </c>
      <c r="F93">
        <v>16</v>
      </c>
      <c r="G93">
        <v>121.75</v>
      </c>
      <c r="H93">
        <v>1</v>
      </c>
      <c r="I93">
        <v>17.25</v>
      </c>
    </row>
    <row r="94" spans="1:11" x14ac:dyDescent="0.25">
      <c r="A94" t="s">
        <v>257</v>
      </c>
      <c r="B94" t="s">
        <v>57</v>
      </c>
      <c r="C94" t="s">
        <v>283</v>
      </c>
      <c r="D94">
        <v>243</v>
      </c>
      <c r="E94">
        <v>1452.5</v>
      </c>
      <c r="F94">
        <v>8</v>
      </c>
      <c r="G94">
        <v>235.75</v>
      </c>
      <c r="H94">
        <v>1</v>
      </c>
      <c r="I94">
        <v>72.25</v>
      </c>
    </row>
    <row r="95" spans="1:11" x14ac:dyDescent="0.25">
      <c r="A95" t="s">
        <v>257</v>
      </c>
      <c r="B95" t="s">
        <v>58</v>
      </c>
      <c r="C95" t="s">
        <v>284</v>
      </c>
      <c r="D95">
        <v>146</v>
      </c>
      <c r="E95">
        <v>598.5</v>
      </c>
      <c r="F95">
        <v>14</v>
      </c>
      <c r="G95">
        <v>101.25</v>
      </c>
    </row>
    <row r="96" spans="1:11" x14ac:dyDescent="0.25">
      <c r="A96" t="s">
        <v>257</v>
      </c>
      <c r="B96" t="s">
        <v>59</v>
      </c>
      <c r="C96" t="s">
        <v>290</v>
      </c>
      <c r="D96">
        <v>118</v>
      </c>
      <c r="E96">
        <v>596.75</v>
      </c>
      <c r="F96">
        <v>3</v>
      </c>
      <c r="G96">
        <v>39.25</v>
      </c>
    </row>
    <row r="97" spans="1:11" x14ac:dyDescent="0.25">
      <c r="A97" t="s">
        <v>257</v>
      </c>
      <c r="B97" t="s">
        <v>60</v>
      </c>
      <c r="C97" t="s">
        <v>291</v>
      </c>
      <c r="D97">
        <v>155</v>
      </c>
      <c r="E97">
        <v>749</v>
      </c>
      <c r="F97">
        <v>22</v>
      </c>
      <c r="G97">
        <v>164.25</v>
      </c>
    </row>
    <row r="98" spans="1:11" x14ac:dyDescent="0.25">
      <c r="A98" t="s">
        <v>240</v>
      </c>
      <c r="B98" t="s">
        <v>31</v>
      </c>
      <c r="C98" t="s">
        <v>285</v>
      </c>
      <c r="D98">
        <v>294</v>
      </c>
      <c r="E98">
        <v>1570.5</v>
      </c>
      <c r="F98">
        <v>21</v>
      </c>
      <c r="G98">
        <v>212.25</v>
      </c>
      <c r="H98">
        <v>2</v>
      </c>
      <c r="I98">
        <v>57.5</v>
      </c>
      <c r="J98">
        <v>1</v>
      </c>
      <c r="K98">
        <v>3.5</v>
      </c>
    </row>
    <row r="99" spans="1:11" x14ac:dyDescent="0.25">
      <c r="A99" t="s">
        <v>240</v>
      </c>
      <c r="B99" t="s">
        <v>32</v>
      </c>
      <c r="C99" t="s">
        <v>286</v>
      </c>
      <c r="D99">
        <v>317</v>
      </c>
      <c r="E99">
        <v>2121</v>
      </c>
      <c r="F99">
        <v>27</v>
      </c>
      <c r="G99">
        <v>291.25</v>
      </c>
      <c r="J99">
        <v>1</v>
      </c>
      <c r="K99">
        <v>23.25</v>
      </c>
    </row>
    <row r="100" spans="1:11" x14ac:dyDescent="0.25">
      <c r="A100" t="s">
        <v>240</v>
      </c>
      <c r="B100" t="s">
        <v>33</v>
      </c>
      <c r="C100" t="s">
        <v>292</v>
      </c>
      <c r="D100">
        <v>99</v>
      </c>
      <c r="E100">
        <v>422.25</v>
      </c>
      <c r="F100">
        <v>20</v>
      </c>
      <c r="G100">
        <v>92.5</v>
      </c>
      <c r="H100">
        <v>2</v>
      </c>
      <c r="I100">
        <v>11</v>
      </c>
      <c r="J100">
        <v>1</v>
      </c>
      <c r="K100">
        <v>7.5</v>
      </c>
    </row>
    <row r="101" spans="1:11" x14ac:dyDescent="0.25">
      <c r="A101" t="s">
        <v>240</v>
      </c>
      <c r="B101" t="s">
        <v>34</v>
      </c>
      <c r="C101" t="s">
        <v>287</v>
      </c>
      <c r="D101">
        <v>171</v>
      </c>
      <c r="E101">
        <v>1143.75</v>
      </c>
      <c r="F101">
        <v>14</v>
      </c>
      <c r="G101">
        <v>157.75</v>
      </c>
      <c r="H101">
        <v>1</v>
      </c>
      <c r="I101">
        <v>14.5</v>
      </c>
    </row>
    <row r="102" spans="1:11" x14ac:dyDescent="0.25">
      <c r="A102" t="s">
        <v>240</v>
      </c>
      <c r="B102" t="s">
        <v>243</v>
      </c>
      <c r="C102" t="s">
        <v>288</v>
      </c>
      <c r="D102">
        <v>707</v>
      </c>
      <c r="E102">
        <v>2618.75</v>
      </c>
      <c r="F102">
        <v>37</v>
      </c>
      <c r="G102">
        <v>234.5</v>
      </c>
      <c r="J102">
        <v>4</v>
      </c>
      <c r="K102">
        <v>10</v>
      </c>
    </row>
    <row r="103" spans="1:11" x14ac:dyDescent="0.25">
      <c r="A103" t="s">
        <v>240</v>
      </c>
      <c r="B103" t="s">
        <v>35</v>
      </c>
      <c r="C103" t="s">
        <v>266</v>
      </c>
      <c r="D103">
        <v>56</v>
      </c>
      <c r="E103">
        <v>253.5</v>
      </c>
      <c r="F103">
        <v>8</v>
      </c>
      <c r="G103">
        <v>36.75</v>
      </c>
      <c r="J103">
        <v>1</v>
      </c>
      <c r="K103">
        <v>10.25</v>
      </c>
    </row>
    <row r="104" spans="1:11" x14ac:dyDescent="0.25">
      <c r="A104" t="s">
        <v>240</v>
      </c>
      <c r="B104" t="s">
        <v>36</v>
      </c>
      <c r="C104" t="s">
        <v>267</v>
      </c>
      <c r="D104">
        <v>346</v>
      </c>
      <c r="E104">
        <v>1646</v>
      </c>
      <c r="F104">
        <v>33</v>
      </c>
      <c r="G104">
        <v>312.25</v>
      </c>
    </row>
    <row r="105" spans="1:11" x14ac:dyDescent="0.25">
      <c r="A105" t="s">
        <v>240</v>
      </c>
      <c r="B105" t="s">
        <v>37</v>
      </c>
      <c r="C105" t="s">
        <v>293</v>
      </c>
      <c r="D105">
        <v>299</v>
      </c>
      <c r="E105">
        <v>1117.25</v>
      </c>
      <c r="F105">
        <v>7</v>
      </c>
      <c r="G105">
        <v>57.75</v>
      </c>
      <c r="J105">
        <v>1</v>
      </c>
      <c r="K105">
        <v>7</v>
      </c>
    </row>
    <row r="106" spans="1:11" x14ac:dyDescent="0.25">
      <c r="A106" t="s">
        <v>240</v>
      </c>
      <c r="B106" t="s">
        <v>38</v>
      </c>
      <c r="C106" t="s">
        <v>268</v>
      </c>
      <c r="D106">
        <v>155</v>
      </c>
      <c r="E106">
        <v>975</v>
      </c>
      <c r="F106">
        <v>10</v>
      </c>
      <c r="G106">
        <v>143</v>
      </c>
      <c r="H106">
        <v>1</v>
      </c>
      <c r="I106">
        <v>51.75</v>
      </c>
    </row>
    <row r="107" spans="1:11" x14ac:dyDescent="0.25">
      <c r="A107" t="s">
        <v>240</v>
      </c>
      <c r="B107" t="s">
        <v>39</v>
      </c>
      <c r="C107" t="s">
        <v>295</v>
      </c>
      <c r="D107">
        <v>86</v>
      </c>
      <c r="E107">
        <v>611</v>
      </c>
      <c r="F107">
        <v>6</v>
      </c>
      <c r="G107">
        <v>67.25</v>
      </c>
    </row>
    <row r="108" spans="1:11" x14ac:dyDescent="0.25">
      <c r="A108" t="s">
        <v>240</v>
      </c>
      <c r="B108" t="s">
        <v>40</v>
      </c>
      <c r="C108" t="s">
        <v>269</v>
      </c>
      <c r="D108">
        <v>138</v>
      </c>
      <c r="E108">
        <v>536.5</v>
      </c>
      <c r="F108">
        <v>6</v>
      </c>
      <c r="G108">
        <v>35.75</v>
      </c>
    </row>
    <row r="109" spans="1:11" x14ac:dyDescent="0.25">
      <c r="A109" t="s">
        <v>240</v>
      </c>
      <c r="B109" t="s">
        <v>41</v>
      </c>
      <c r="C109" t="s">
        <v>270</v>
      </c>
      <c r="D109">
        <v>27</v>
      </c>
      <c r="E109">
        <v>236.5</v>
      </c>
      <c r="F109">
        <v>3</v>
      </c>
      <c r="G109">
        <v>49.75</v>
      </c>
    </row>
    <row r="110" spans="1:11" x14ac:dyDescent="0.25">
      <c r="A110" t="s">
        <v>240</v>
      </c>
      <c r="B110" t="s">
        <v>42</v>
      </c>
      <c r="C110" t="s">
        <v>272</v>
      </c>
      <c r="D110">
        <v>148</v>
      </c>
      <c r="E110">
        <v>843</v>
      </c>
      <c r="F110">
        <v>11</v>
      </c>
      <c r="G110">
        <v>143.25</v>
      </c>
    </row>
    <row r="111" spans="1:11" x14ac:dyDescent="0.25">
      <c r="A111" t="s">
        <v>240</v>
      </c>
      <c r="B111" t="s">
        <v>43</v>
      </c>
      <c r="C111" t="s">
        <v>388</v>
      </c>
      <c r="D111">
        <v>450</v>
      </c>
      <c r="E111">
        <v>1686.5</v>
      </c>
      <c r="F111">
        <v>14</v>
      </c>
      <c r="G111">
        <v>150.5</v>
      </c>
      <c r="H111">
        <v>2</v>
      </c>
      <c r="I111">
        <v>38.75</v>
      </c>
      <c r="J111">
        <v>2</v>
      </c>
      <c r="K111">
        <v>19.5</v>
      </c>
    </row>
    <row r="112" spans="1:11" x14ac:dyDescent="0.25">
      <c r="A112" t="s">
        <v>240</v>
      </c>
      <c r="B112" t="s">
        <v>117</v>
      </c>
      <c r="C112" t="s">
        <v>296</v>
      </c>
      <c r="D112">
        <v>1125</v>
      </c>
      <c r="E112">
        <v>4472.75</v>
      </c>
      <c r="F112">
        <v>62</v>
      </c>
      <c r="G112">
        <v>403</v>
      </c>
    </row>
    <row r="113" spans="1:11" x14ac:dyDescent="0.25">
      <c r="A113" t="s">
        <v>240</v>
      </c>
      <c r="B113" t="s">
        <v>44</v>
      </c>
      <c r="C113" t="s">
        <v>273</v>
      </c>
      <c r="D113">
        <v>227</v>
      </c>
      <c r="E113">
        <v>1333</v>
      </c>
      <c r="F113">
        <v>59</v>
      </c>
      <c r="G113">
        <v>1064.25</v>
      </c>
      <c r="H113">
        <v>6</v>
      </c>
      <c r="I113">
        <v>232</v>
      </c>
      <c r="J113">
        <v>4</v>
      </c>
      <c r="K113">
        <v>38.5</v>
      </c>
    </row>
    <row r="114" spans="1:11" x14ac:dyDescent="0.25">
      <c r="A114" t="s">
        <v>240</v>
      </c>
      <c r="B114" t="s">
        <v>45</v>
      </c>
      <c r="C114" t="s">
        <v>274</v>
      </c>
      <c r="D114">
        <v>57</v>
      </c>
      <c r="E114">
        <v>256.5</v>
      </c>
      <c r="F114">
        <v>8</v>
      </c>
      <c r="G114">
        <v>62</v>
      </c>
    </row>
    <row r="115" spans="1:11" x14ac:dyDescent="0.25">
      <c r="A115" t="s">
        <v>240</v>
      </c>
      <c r="B115" t="s">
        <v>46</v>
      </c>
      <c r="C115" t="s">
        <v>275</v>
      </c>
      <c r="D115">
        <v>94</v>
      </c>
      <c r="E115">
        <v>477.5</v>
      </c>
      <c r="F115">
        <v>1</v>
      </c>
      <c r="G115">
        <v>4.25</v>
      </c>
    </row>
    <row r="116" spans="1:11" x14ac:dyDescent="0.25">
      <c r="A116" t="s">
        <v>240</v>
      </c>
      <c r="B116" t="s">
        <v>47</v>
      </c>
      <c r="C116" t="s">
        <v>276</v>
      </c>
      <c r="D116">
        <v>207</v>
      </c>
      <c r="E116">
        <v>1131.25</v>
      </c>
      <c r="F116">
        <v>9</v>
      </c>
      <c r="G116">
        <v>130.75</v>
      </c>
    </row>
    <row r="117" spans="1:11" x14ac:dyDescent="0.25">
      <c r="A117" t="s">
        <v>240</v>
      </c>
      <c r="B117" t="s">
        <v>48</v>
      </c>
      <c r="C117" t="s">
        <v>271</v>
      </c>
      <c r="D117">
        <v>19</v>
      </c>
      <c r="E117">
        <v>163.25</v>
      </c>
      <c r="F117">
        <v>4</v>
      </c>
      <c r="G117">
        <v>93.25</v>
      </c>
      <c r="H117">
        <v>1</v>
      </c>
      <c r="I117">
        <v>60</v>
      </c>
    </row>
    <row r="118" spans="1:11" x14ac:dyDescent="0.25">
      <c r="A118" t="s">
        <v>240</v>
      </c>
      <c r="B118" t="s">
        <v>49</v>
      </c>
      <c r="C118" t="s">
        <v>277</v>
      </c>
      <c r="D118">
        <v>94</v>
      </c>
      <c r="E118">
        <v>542.75</v>
      </c>
      <c r="F118">
        <v>8</v>
      </c>
      <c r="G118">
        <v>85.75</v>
      </c>
    </row>
    <row r="119" spans="1:11" x14ac:dyDescent="0.25">
      <c r="A119" t="s">
        <v>240</v>
      </c>
      <c r="B119" t="s">
        <v>50</v>
      </c>
      <c r="C119" t="s">
        <v>294</v>
      </c>
      <c r="D119">
        <v>344</v>
      </c>
      <c r="E119">
        <v>1826.5</v>
      </c>
      <c r="F119">
        <v>7</v>
      </c>
      <c r="G119">
        <v>65.5</v>
      </c>
    </row>
    <row r="120" spans="1:11" x14ac:dyDescent="0.25">
      <c r="A120" t="s">
        <v>240</v>
      </c>
      <c r="B120" t="s">
        <v>51</v>
      </c>
      <c r="C120" t="s">
        <v>278</v>
      </c>
      <c r="D120">
        <v>10</v>
      </c>
      <c r="E120">
        <v>46.75</v>
      </c>
      <c r="F120">
        <v>3</v>
      </c>
      <c r="G120">
        <v>44.25</v>
      </c>
    </row>
    <row r="121" spans="1:11" x14ac:dyDescent="0.25">
      <c r="A121" t="s">
        <v>240</v>
      </c>
      <c r="B121" t="s">
        <v>52</v>
      </c>
      <c r="C121" t="s">
        <v>279</v>
      </c>
      <c r="D121">
        <v>284</v>
      </c>
      <c r="E121">
        <v>1240.75</v>
      </c>
      <c r="F121">
        <v>9</v>
      </c>
      <c r="G121">
        <v>81.25</v>
      </c>
    </row>
    <row r="122" spans="1:11" x14ac:dyDescent="0.25">
      <c r="A122" t="s">
        <v>240</v>
      </c>
      <c r="B122" t="s">
        <v>53</v>
      </c>
      <c r="C122" t="s">
        <v>289</v>
      </c>
      <c r="D122">
        <v>82</v>
      </c>
      <c r="E122">
        <v>508.5</v>
      </c>
      <c r="F122">
        <v>9</v>
      </c>
      <c r="G122">
        <v>126</v>
      </c>
    </row>
    <row r="123" spans="1:11" x14ac:dyDescent="0.25">
      <c r="A123" t="s">
        <v>240</v>
      </c>
      <c r="B123" t="s">
        <v>54</v>
      </c>
      <c r="C123" t="s">
        <v>280</v>
      </c>
      <c r="D123">
        <v>218</v>
      </c>
      <c r="E123">
        <v>1084.25</v>
      </c>
      <c r="F123">
        <v>13</v>
      </c>
      <c r="G123">
        <v>97.75</v>
      </c>
    </row>
    <row r="124" spans="1:11" x14ac:dyDescent="0.25">
      <c r="A124" t="s">
        <v>240</v>
      </c>
      <c r="B124" t="s">
        <v>55</v>
      </c>
      <c r="C124" t="s">
        <v>281</v>
      </c>
      <c r="D124">
        <v>22</v>
      </c>
      <c r="E124">
        <v>189</v>
      </c>
      <c r="F124">
        <v>1</v>
      </c>
      <c r="G124">
        <v>8</v>
      </c>
      <c r="J124">
        <v>1</v>
      </c>
      <c r="K124">
        <v>3.5</v>
      </c>
    </row>
    <row r="125" spans="1:11" x14ac:dyDescent="0.25">
      <c r="A125" t="s">
        <v>240</v>
      </c>
      <c r="B125" t="s">
        <v>56</v>
      </c>
      <c r="C125" t="s">
        <v>282</v>
      </c>
      <c r="D125">
        <v>310</v>
      </c>
      <c r="E125">
        <v>1986.75</v>
      </c>
      <c r="F125">
        <v>9</v>
      </c>
      <c r="G125">
        <v>68.75</v>
      </c>
    </row>
    <row r="126" spans="1:11" x14ac:dyDescent="0.25">
      <c r="A126" t="s">
        <v>240</v>
      </c>
      <c r="B126" t="s">
        <v>57</v>
      </c>
      <c r="C126" t="s">
        <v>283</v>
      </c>
      <c r="D126">
        <v>321</v>
      </c>
      <c r="E126">
        <v>1386.5</v>
      </c>
      <c r="F126">
        <v>12</v>
      </c>
      <c r="G126">
        <v>171.5</v>
      </c>
    </row>
    <row r="127" spans="1:11" x14ac:dyDescent="0.25">
      <c r="A127" t="s">
        <v>240</v>
      </c>
      <c r="B127" t="s">
        <v>58</v>
      </c>
      <c r="C127" t="s">
        <v>284</v>
      </c>
      <c r="D127">
        <v>203</v>
      </c>
      <c r="E127">
        <v>910.5</v>
      </c>
      <c r="F127">
        <v>21</v>
      </c>
      <c r="G127">
        <v>135.5</v>
      </c>
      <c r="J127">
        <v>1</v>
      </c>
      <c r="K127">
        <v>5.5</v>
      </c>
    </row>
    <row r="128" spans="1:11" x14ac:dyDescent="0.25">
      <c r="A128" t="s">
        <v>240</v>
      </c>
      <c r="B128" t="s">
        <v>59</v>
      </c>
      <c r="C128" t="s">
        <v>290</v>
      </c>
      <c r="D128">
        <v>100</v>
      </c>
      <c r="E128">
        <v>682.75</v>
      </c>
      <c r="F128">
        <v>9</v>
      </c>
      <c r="G128">
        <v>115.25</v>
      </c>
    </row>
    <row r="129" spans="1:11" x14ac:dyDescent="0.25">
      <c r="A129" t="s">
        <v>240</v>
      </c>
      <c r="B129" t="s">
        <v>60</v>
      </c>
      <c r="C129" t="s">
        <v>291</v>
      </c>
      <c r="D129">
        <v>157</v>
      </c>
      <c r="E129">
        <v>667.75</v>
      </c>
      <c r="F129">
        <v>7</v>
      </c>
      <c r="G129">
        <v>40.5</v>
      </c>
    </row>
    <row r="130" spans="1:11" x14ac:dyDescent="0.25">
      <c r="A130" t="s">
        <v>239</v>
      </c>
      <c r="B130" t="s">
        <v>31</v>
      </c>
      <c r="C130" t="s">
        <v>285</v>
      </c>
      <c r="D130">
        <v>349</v>
      </c>
      <c r="E130">
        <v>2090</v>
      </c>
      <c r="F130">
        <v>15</v>
      </c>
      <c r="G130">
        <v>161</v>
      </c>
      <c r="J130">
        <v>2</v>
      </c>
      <c r="K130">
        <v>4.5</v>
      </c>
    </row>
    <row r="131" spans="1:11" x14ac:dyDescent="0.25">
      <c r="A131" t="s">
        <v>239</v>
      </c>
      <c r="B131" t="s">
        <v>32</v>
      </c>
      <c r="C131" t="s">
        <v>286</v>
      </c>
      <c r="D131">
        <v>344</v>
      </c>
      <c r="E131">
        <v>1895</v>
      </c>
      <c r="F131">
        <v>29</v>
      </c>
      <c r="G131">
        <v>240.5</v>
      </c>
      <c r="J131">
        <v>1</v>
      </c>
      <c r="K131">
        <v>7.5</v>
      </c>
    </row>
    <row r="132" spans="1:11" x14ac:dyDescent="0.25">
      <c r="A132" t="s">
        <v>239</v>
      </c>
      <c r="B132" t="s">
        <v>33</v>
      </c>
      <c r="C132" t="s">
        <v>292</v>
      </c>
      <c r="D132">
        <v>115</v>
      </c>
      <c r="E132">
        <v>476.75</v>
      </c>
      <c r="F132">
        <v>11</v>
      </c>
      <c r="G132">
        <v>49.5</v>
      </c>
      <c r="H132">
        <v>1</v>
      </c>
      <c r="I132">
        <v>6</v>
      </c>
    </row>
    <row r="133" spans="1:11" x14ac:dyDescent="0.25">
      <c r="A133" t="s">
        <v>239</v>
      </c>
      <c r="B133" t="s">
        <v>34</v>
      </c>
      <c r="C133" t="s">
        <v>287</v>
      </c>
      <c r="D133">
        <v>205</v>
      </c>
      <c r="E133">
        <v>1662</v>
      </c>
      <c r="F133">
        <v>15</v>
      </c>
      <c r="G133">
        <v>154.75</v>
      </c>
    </row>
    <row r="134" spans="1:11" x14ac:dyDescent="0.25">
      <c r="A134" t="s">
        <v>239</v>
      </c>
      <c r="B134" t="s">
        <v>243</v>
      </c>
      <c r="C134" t="s">
        <v>288</v>
      </c>
      <c r="D134">
        <v>672</v>
      </c>
      <c r="E134">
        <v>2918.5</v>
      </c>
      <c r="F134">
        <v>42</v>
      </c>
      <c r="G134">
        <v>362.75</v>
      </c>
      <c r="H134">
        <v>5</v>
      </c>
      <c r="I134">
        <v>63.5</v>
      </c>
      <c r="J134">
        <v>4</v>
      </c>
      <c r="K134">
        <v>16</v>
      </c>
    </row>
    <row r="135" spans="1:11" x14ac:dyDescent="0.25">
      <c r="A135" t="s">
        <v>239</v>
      </c>
      <c r="B135" t="s">
        <v>35</v>
      </c>
      <c r="C135" t="s">
        <v>266</v>
      </c>
      <c r="D135">
        <v>69</v>
      </c>
      <c r="E135">
        <v>332.5</v>
      </c>
      <c r="F135">
        <v>1</v>
      </c>
      <c r="G135">
        <v>8.5</v>
      </c>
    </row>
    <row r="136" spans="1:11" x14ac:dyDescent="0.25">
      <c r="A136" t="s">
        <v>239</v>
      </c>
      <c r="B136" t="s">
        <v>36</v>
      </c>
      <c r="C136" t="s">
        <v>267</v>
      </c>
      <c r="D136">
        <v>420</v>
      </c>
      <c r="E136">
        <v>2070.25</v>
      </c>
      <c r="F136">
        <v>20</v>
      </c>
      <c r="G136">
        <v>205.5</v>
      </c>
      <c r="H136">
        <v>2</v>
      </c>
      <c r="I136">
        <v>17</v>
      </c>
    </row>
    <row r="137" spans="1:11" x14ac:dyDescent="0.25">
      <c r="A137" t="s">
        <v>239</v>
      </c>
      <c r="B137" t="s">
        <v>37</v>
      </c>
      <c r="C137" t="s">
        <v>293</v>
      </c>
      <c r="D137">
        <v>371</v>
      </c>
      <c r="E137">
        <v>1559.5</v>
      </c>
      <c r="F137">
        <v>10</v>
      </c>
      <c r="G137">
        <v>90.75</v>
      </c>
      <c r="J137">
        <v>3</v>
      </c>
      <c r="K137">
        <v>23.5</v>
      </c>
    </row>
    <row r="138" spans="1:11" x14ac:dyDescent="0.25">
      <c r="A138" t="s">
        <v>239</v>
      </c>
      <c r="B138" t="s">
        <v>38</v>
      </c>
      <c r="C138" t="s">
        <v>268</v>
      </c>
      <c r="D138">
        <v>138</v>
      </c>
      <c r="E138">
        <v>837.25</v>
      </c>
      <c r="F138">
        <v>7</v>
      </c>
      <c r="G138">
        <v>59</v>
      </c>
    </row>
    <row r="139" spans="1:11" x14ac:dyDescent="0.25">
      <c r="A139" t="s">
        <v>239</v>
      </c>
      <c r="B139" t="s">
        <v>39</v>
      </c>
      <c r="C139" t="s">
        <v>295</v>
      </c>
      <c r="D139">
        <v>82</v>
      </c>
      <c r="E139">
        <v>447.75</v>
      </c>
      <c r="F139">
        <v>2</v>
      </c>
      <c r="G139">
        <v>30</v>
      </c>
    </row>
    <row r="140" spans="1:11" x14ac:dyDescent="0.25">
      <c r="A140" t="s">
        <v>239</v>
      </c>
      <c r="B140" t="s">
        <v>40</v>
      </c>
      <c r="C140" t="s">
        <v>269</v>
      </c>
      <c r="D140">
        <v>144</v>
      </c>
      <c r="E140">
        <v>567.25</v>
      </c>
      <c r="F140">
        <v>5</v>
      </c>
      <c r="G140">
        <v>34.5</v>
      </c>
    </row>
    <row r="141" spans="1:11" x14ac:dyDescent="0.25">
      <c r="A141" t="s">
        <v>239</v>
      </c>
      <c r="B141" t="s">
        <v>41</v>
      </c>
      <c r="C141" t="s">
        <v>270</v>
      </c>
      <c r="D141">
        <v>34</v>
      </c>
      <c r="E141">
        <v>234</v>
      </c>
      <c r="F141">
        <v>2</v>
      </c>
      <c r="G141">
        <v>18.75</v>
      </c>
    </row>
    <row r="142" spans="1:11" x14ac:dyDescent="0.25">
      <c r="A142" t="s">
        <v>239</v>
      </c>
      <c r="B142" t="s">
        <v>42</v>
      </c>
      <c r="C142" t="s">
        <v>272</v>
      </c>
      <c r="D142">
        <v>201</v>
      </c>
      <c r="E142">
        <v>1063.25</v>
      </c>
    </row>
    <row r="143" spans="1:11" x14ac:dyDescent="0.25">
      <c r="A143" t="s">
        <v>239</v>
      </c>
      <c r="B143" t="s">
        <v>43</v>
      </c>
      <c r="C143" t="s">
        <v>388</v>
      </c>
      <c r="D143">
        <v>644</v>
      </c>
      <c r="E143">
        <v>2085.75</v>
      </c>
      <c r="F143">
        <v>13</v>
      </c>
      <c r="G143">
        <v>127</v>
      </c>
      <c r="H143">
        <v>2</v>
      </c>
      <c r="I143">
        <v>52</v>
      </c>
    </row>
    <row r="144" spans="1:11" x14ac:dyDescent="0.25">
      <c r="A144" t="s">
        <v>239</v>
      </c>
      <c r="B144" t="s">
        <v>117</v>
      </c>
      <c r="C144" t="s">
        <v>296</v>
      </c>
      <c r="D144">
        <v>1067</v>
      </c>
      <c r="E144">
        <v>4671</v>
      </c>
      <c r="F144">
        <v>59</v>
      </c>
      <c r="G144">
        <v>525.75</v>
      </c>
      <c r="H144">
        <v>3</v>
      </c>
      <c r="I144">
        <v>49.25</v>
      </c>
    </row>
    <row r="145" spans="1:11" x14ac:dyDescent="0.25">
      <c r="A145" t="s">
        <v>239</v>
      </c>
      <c r="B145" t="s">
        <v>44</v>
      </c>
      <c r="C145" t="s">
        <v>273</v>
      </c>
      <c r="D145">
        <v>172</v>
      </c>
      <c r="E145">
        <v>1061.75</v>
      </c>
      <c r="F145">
        <v>24</v>
      </c>
      <c r="G145">
        <v>392.5</v>
      </c>
      <c r="H145">
        <v>1</v>
      </c>
      <c r="I145">
        <v>70.75</v>
      </c>
      <c r="J145">
        <v>7</v>
      </c>
      <c r="K145">
        <v>123</v>
      </c>
    </row>
    <row r="146" spans="1:11" x14ac:dyDescent="0.25">
      <c r="A146" t="s">
        <v>239</v>
      </c>
      <c r="B146" t="s">
        <v>45</v>
      </c>
      <c r="C146" t="s">
        <v>274</v>
      </c>
      <c r="D146">
        <v>73</v>
      </c>
      <c r="E146">
        <v>338.75</v>
      </c>
      <c r="F146">
        <v>5</v>
      </c>
      <c r="G146">
        <v>63</v>
      </c>
      <c r="H146">
        <v>1</v>
      </c>
      <c r="I146">
        <v>33.25</v>
      </c>
    </row>
    <row r="147" spans="1:11" x14ac:dyDescent="0.25">
      <c r="A147" t="s">
        <v>239</v>
      </c>
      <c r="B147" t="s">
        <v>46</v>
      </c>
      <c r="C147" t="s">
        <v>275</v>
      </c>
      <c r="D147">
        <v>131</v>
      </c>
      <c r="E147">
        <v>878.5</v>
      </c>
      <c r="F147">
        <v>7</v>
      </c>
      <c r="G147">
        <v>91.25</v>
      </c>
    </row>
    <row r="148" spans="1:11" x14ac:dyDescent="0.25">
      <c r="A148" t="s">
        <v>239</v>
      </c>
      <c r="B148" t="s">
        <v>47</v>
      </c>
      <c r="C148" t="s">
        <v>276</v>
      </c>
      <c r="D148">
        <v>124</v>
      </c>
      <c r="E148">
        <v>579.75</v>
      </c>
      <c r="F148">
        <v>6</v>
      </c>
      <c r="G148">
        <v>75.25</v>
      </c>
      <c r="J148">
        <v>1</v>
      </c>
    </row>
    <row r="149" spans="1:11" x14ac:dyDescent="0.25">
      <c r="A149" t="s">
        <v>239</v>
      </c>
      <c r="B149" t="s">
        <v>48</v>
      </c>
      <c r="C149" t="s">
        <v>271</v>
      </c>
      <c r="D149">
        <v>21</v>
      </c>
      <c r="E149">
        <v>73.5</v>
      </c>
    </row>
    <row r="150" spans="1:11" x14ac:dyDescent="0.25">
      <c r="A150" t="s">
        <v>239</v>
      </c>
      <c r="B150" t="s">
        <v>49</v>
      </c>
      <c r="C150" t="s">
        <v>277</v>
      </c>
      <c r="D150">
        <v>239</v>
      </c>
      <c r="E150">
        <v>1222.25</v>
      </c>
      <c r="F150">
        <v>5</v>
      </c>
      <c r="G150">
        <v>47</v>
      </c>
    </row>
    <row r="151" spans="1:11" x14ac:dyDescent="0.25">
      <c r="A151" t="s">
        <v>239</v>
      </c>
      <c r="B151" t="s">
        <v>50</v>
      </c>
      <c r="C151" t="s">
        <v>294</v>
      </c>
      <c r="D151">
        <v>294</v>
      </c>
      <c r="E151">
        <v>1348</v>
      </c>
      <c r="F151">
        <v>13</v>
      </c>
      <c r="G151">
        <v>182.75</v>
      </c>
      <c r="H151">
        <v>2</v>
      </c>
      <c r="I151">
        <v>68.75</v>
      </c>
      <c r="J151">
        <v>1</v>
      </c>
      <c r="K151">
        <v>63</v>
      </c>
    </row>
    <row r="152" spans="1:11" x14ac:dyDescent="0.25">
      <c r="A152" t="s">
        <v>239</v>
      </c>
      <c r="B152" t="s">
        <v>51</v>
      </c>
      <c r="C152" t="s">
        <v>278</v>
      </c>
      <c r="D152">
        <v>9</v>
      </c>
      <c r="E152">
        <v>42.5</v>
      </c>
    </row>
    <row r="153" spans="1:11" x14ac:dyDescent="0.25">
      <c r="A153" t="s">
        <v>239</v>
      </c>
      <c r="B153" t="s">
        <v>52</v>
      </c>
      <c r="C153" t="s">
        <v>279</v>
      </c>
      <c r="D153">
        <v>281</v>
      </c>
      <c r="E153">
        <v>1204.5</v>
      </c>
      <c r="F153">
        <v>12</v>
      </c>
      <c r="G153">
        <v>81</v>
      </c>
      <c r="H153">
        <v>1</v>
      </c>
      <c r="I153">
        <v>14.25</v>
      </c>
    </row>
    <row r="154" spans="1:11" x14ac:dyDescent="0.25">
      <c r="A154" t="s">
        <v>239</v>
      </c>
      <c r="B154" t="s">
        <v>53</v>
      </c>
      <c r="C154" t="s">
        <v>289</v>
      </c>
      <c r="D154">
        <v>163</v>
      </c>
      <c r="E154">
        <v>836</v>
      </c>
      <c r="F154">
        <v>6</v>
      </c>
      <c r="G154">
        <v>94</v>
      </c>
    </row>
    <row r="155" spans="1:11" x14ac:dyDescent="0.25">
      <c r="A155" t="s">
        <v>239</v>
      </c>
      <c r="B155" t="s">
        <v>54</v>
      </c>
      <c r="C155" t="s">
        <v>280</v>
      </c>
      <c r="D155">
        <v>202</v>
      </c>
      <c r="E155">
        <v>998.75</v>
      </c>
      <c r="F155">
        <v>17</v>
      </c>
      <c r="G155">
        <v>142.5</v>
      </c>
    </row>
    <row r="156" spans="1:11" x14ac:dyDescent="0.25">
      <c r="A156" t="s">
        <v>239</v>
      </c>
      <c r="B156" t="s">
        <v>55</v>
      </c>
      <c r="C156" t="s">
        <v>281</v>
      </c>
      <c r="D156">
        <v>14</v>
      </c>
      <c r="E156">
        <v>110.25</v>
      </c>
      <c r="F156">
        <v>2</v>
      </c>
      <c r="G156">
        <v>23.75</v>
      </c>
    </row>
    <row r="157" spans="1:11" x14ac:dyDescent="0.25">
      <c r="A157" t="s">
        <v>239</v>
      </c>
      <c r="B157" t="s">
        <v>56</v>
      </c>
      <c r="C157" t="s">
        <v>282</v>
      </c>
      <c r="D157">
        <v>216</v>
      </c>
      <c r="E157">
        <v>1373.25</v>
      </c>
      <c r="F157">
        <v>13</v>
      </c>
      <c r="G157">
        <v>108</v>
      </c>
      <c r="H157">
        <v>3</v>
      </c>
      <c r="I157">
        <v>44.25</v>
      </c>
      <c r="J157">
        <v>1</v>
      </c>
    </row>
    <row r="158" spans="1:11" x14ac:dyDescent="0.25">
      <c r="A158" t="s">
        <v>239</v>
      </c>
      <c r="B158" t="s">
        <v>57</v>
      </c>
      <c r="C158" t="s">
        <v>283</v>
      </c>
      <c r="D158">
        <v>242</v>
      </c>
      <c r="E158">
        <v>1512.25</v>
      </c>
      <c r="F158">
        <v>10</v>
      </c>
      <c r="G158">
        <v>273</v>
      </c>
      <c r="H158">
        <v>1</v>
      </c>
      <c r="I158">
        <v>102.75</v>
      </c>
    </row>
    <row r="159" spans="1:11" x14ac:dyDescent="0.25">
      <c r="A159" t="s">
        <v>239</v>
      </c>
      <c r="B159" t="s">
        <v>58</v>
      </c>
      <c r="C159" t="s">
        <v>284</v>
      </c>
      <c r="D159">
        <v>190</v>
      </c>
      <c r="E159">
        <v>759</v>
      </c>
      <c r="F159">
        <v>3</v>
      </c>
      <c r="G159">
        <v>38.75</v>
      </c>
    </row>
    <row r="160" spans="1:11" x14ac:dyDescent="0.25">
      <c r="A160" t="s">
        <v>239</v>
      </c>
      <c r="B160" t="s">
        <v>59</v>
      </c>
      <c r="C160" t="s">
        <v>290</v>
      </c>
      <c r="D160">
        <v>74</v>
      </c>
      <c r="E160">
        <v>427</v>
      </c>
      <c r="F160">
        <v>5</v>
      </c>
      <c r="G160">
        <v>44.75</v>
      </c>
    </row>
    <row r="161" spans="1:10" x14ac:dyDescent="0.25">
      <c r="A161" t="s">
        <v>239</v>
      </c>
      <c r="B161" t="s">
        <v>60</v>
      </c>
      <c r="C161" t="s">
        <v>291</v>
      </c>
      <c r="D161">
        <v>208</v>
      </c>
      <c r="E161">
        <v>775.5</v>
      </c>
      <c r="F161">
        <v>5</v>
      </c>
      <c r="G161">
        <v>33.5</v>
      </c>
    </row>
    <row r="162" spans="1:10" x14ac:dyDescent="0.25">
      <c r="A162" t="s">
        <v>760</v>
      </c>
      <c r="B162" t="s">
        <v>31</v>
      </c>
      <c r="C162" t="s">
        <v>285</v>
      </c>
      <c r="D162">
        <v>422</v>
      </c>
      <c r="F162">
        <v>11</v>
      </c>
      <c r="J162">
        <v>2</v>
      </c>
    </row>
    <row r="163" spans="1:10" x14ac:dyDescent="0.25">
      <c r="A163" t="s">
        <v>760</v>
      </c>
      <c r="B163" t="s">
        <v>32</v>
      </c>
      <c r="C163" t="s">
        <v>286</v>
      </c>
      <c r="D163">
        <v>345</v>
      </c>
      <c r="F163">
        <v>6</v>
      </c>
    </row>
    <row r="164" spans="1:10" x14ac:dyDescent="0.25">
      <c r="A164" t="s">
        <v>760</v>
      </c>
      <c r="B164" t="s">
        <v>33</v>
      </c>
      <c r="C164" t="s">
        <v>292</v>
      </c>
      <c r="D164">
        <v>123</v>
      </c>
    </row>
    <row r="165" spans="1:10" x14ac:dyDescent="0.25">
      <c r="A165" t="s">
        <v>760</v>
      </c>
      <c r="B165" t="s">
        <v>34</v>
      </c>
      <c r="C165" t="s">
        <v>287</v>
      </c>
      <c r="D165">
        <v>275</v>
      </c>
      <c r="F165">
        <v>7</v>
      </c>
    </row>
    <row r="166" spans="1:10" x14ac:dyDescent="0.25">
      <c r="A166" t="s">
        <v>760</v>
      </c>
      <c r="B166" t="s">
        <v>243</v>
      </c>
      <c r="C166" t="s">
        <v>288</v>
      </c>
      <c r="D166">
        <v>631</v>
      </c>
      <c r="F166">
        <v>17</v>
      </c>
      <c r="J166">
        <v>1</v>
      </c>
    </row>
    <row r="167" spans="1:10" x14ac:dyDescent="0.25">
      <c r="A167" t="s">
        <v>760</v>
      </c>
      <c r="B167" t="s">
        <v>35</v>
      </c>
      <c r="C167" t="s">
        <v>266</v>
      </c>
      <c r="D167">
        <v>49</v>
      </c>
    </row>
    <row r="168" spans="1:10" x14ac:dyDescent="0.25">
      <c r="A168" t="s">
        <v>760</v>
      </c>
      <c r="B168" t="s">
        <v>36</v>
      </c>
      <c r="C168" t="s">
        <v>267</v>
      </c>
      <c r="D168">
        <v>429</v>
      </c>
      <c r="F168">
        <v>6</v>
      </c>
    </row>
    <row r="169" spans="1:10" x14ac:dyDescent="0.25">
      <c r="A169" t="s">
        <v>760</v>
      </c>
      <c r="B169" t="s">
        <v>37</v>
      </c>
      <c r="C169" t="s">
        <v>293</v>
      </c>
      <c r="D169">
        <v>419</v>
      </c>
      <c r="F169">
        <v>5</v>
      </c>
    </row>
    <row r="170" spans="1:10" x14ac:dyDescent="0.25">
      <c r="A170" t="s">
        <v>760</v>
      </c>
      <c r="B170" t="s">
        <v>38</v>
      </c>
      <c r="C170" t="s">
        <v>268</v>
      </c>
      <c r="D170">
        <v>105</v>
      </c>
      <c r="F170">
        <v>5</v>
      </c>
    </row>
    <row r="171" spans="1:10" x14ac:dyDescent="0.25">
      <c r="A171" t="s">
        <v>760</v>
      </c>
      <c r="B171" t="s">
        <v>39</v>
      </c>
      <c r="C171" t="s">
        <v>295</v>
      </c>
      <c r="D171">
        <v>97</v>
      </c>
      <c r="F171">
        <v>4</v>
      </c>
    </row>
    <row r="172" spans="1:10" x14ac:dyDescent="0.25">
      <c r="A172" t="s">
        <v>760</v>
      </c>
      <c r="B172" t="s">
        <v>40</v>
      </c>
      <c r="C172" t="s">
        <v>269</v>
      </c>
      <c r="D172">
        <v>76</v>
      </c>
      <c r="F172">
        <v>2</v>
      </c>
    </row>
    <row r="173" spans="1:10" x14ac:dyDescent="0.25">
      <c r="A173" t="s">
        <v>760</v>
      </c>
      <c r="B173" t="s">
        <v>41</v>
      </c>
      <c r="C173" t="s">
        <v>270</v>
      </c>
      <c r="D173">
        <v>28</v>
      </c>
    </row>
    <row r="174" spans="1:10" x14ac:dyDescent="0.25">
      <c r="A174" t="s">
        <v>760</v>
      </c>
      <c r="B174" t="s">
        <v>42</v>
      </c>
      <c r="C174" t="s">
        <v>272</v>
      </c>
      <c r="D174">
        <v>143</v>
      </c>
      <c r="F174">
        <v>7</v>
      </c>
    </row>
    <row r="175" spans="1:10" x14ac:dyDescent="0.25">
      <c r="A175" t="s">
        <v>760</v>
      </c>
      <c r="B175" t="s">
        <v>43</v>
      </c>
      <c r="C175" t="s">
        <v>388</v>
      </c>
      <c r="D175">
        <v>335</v>
      </c>
      <c r="F175">
        <v>82</v>
      </c>
      <c r="J175">
        <v>2</v>
      </c>
    </row>
    <row r="176" spans="1:10" x14ac:dyDescent="0.25">
      <c r="A176" t="s">
        <v>760</v>
      </c>
      <c r="B176" t="s">
        <v>117</v>
      </c>
      <c r="C176" t="s">
        <v>296</v>
      </c>
      <c r="D176">
        <v>897</v>
      </c>
      <c r="F176">
        <v>142</v>
      </c>
      <c r="J176">
        <v>3</v>
      </c>
    </row>
    <row r="177" spans="1:10" x14ac:dyDescent="0.25">
      <c r="A177" t="s">
        <v>760</v>
      </c>
      <c r="B177" t="s">
        <v>44</v>
      </c>
      <c r="C177" t="s">
        <v>273</v>
      </c>
      <c r="D177">
        <v>462</v>
      </c>
      <c r="F177">
        <v>31</v>
      </c>
      <c r="J177">
        <v>3</v>
      </c>
    </row>
    <row r="178" spans="1:10" x14ac:dyDescent="0.25">
      <c r="A178" t="s">
        <v>760</v>
      </c>
      <c r="B178" t="s">
        <v>45</v>
      </c>
      <c r="C178" t="s">
        <v>274</v>
      </c>
      <c r="D178">
        <v>51</v>
      </c>
      <c r="F178">
        <v>3</v>
      </c>
    </row>
    <row r="179" spans="1:10" x14ac:dyDescent="0.25">
      <c r="A179" t="s">
        <v>760</v>
      </c>
      <c r="B179" t="s">
        <v>46</v>
      </c>
      <c r="C179" t="s">
        <v>275</v>
      </c>
      <c r="D179">
        <v>64</v>
      </c>
      <c r="F179">
        <v>6</v>
      </c>
    </row>
    <row r="180" spans="1:10" x14ac:dyDescent="0.25">
      <c r="A180" t="s">
        <v>760</v>
      </c>
      <c r="B180" t="s">
        <v>47</v>
      </c>
      <c r="C180" t="s">
        <v>276</v>
      </c>
      <c r="D180">
        <v>91</v>
      </c>
      <c r="F180">
        <v>9</v>
      </c>
      <c r="J180">
        <v>1</v>
      </c>
    </row>
    <row r="181" spans="1:10" x14ac:dyDescent="0.25">
      <c r="A181" t="s">
        <v>760</v>
      </c>
      <c r="B181" t="s">
        <v>49</v>
      </c>
      <c r="C181" t="s">
        <v>277</v>
      </c>
      <c r="D181">
        <v>145</v>
      </c>
      <c r="F181">
        <v>3</v>
      </c>
    </row>
    <row r="182" spans="1:10" x14ac:dyDescent="0.25">
      <c r="A182" t="s">
        <v>760</v>
      </c>
      <c r="B182" t="s">
        <v>50</v>
      </c>
      <c r="C182" t="s">
        <v>294</v>
      </c>
      <c r="D182">
        <v>299</v>
      </c>
      <c r="F182">
        <v>7</v>
      </c>
    </row>
    <row r="183" spans="1:10" x14ac:dyDescent="0.25">
      <c r="A183" t="s">
        <v>760</v>
      </c>
      <c r="B183" t="s">
        <v>51</v>
      </c>
      <c r="C183" t="s">
        <v>278</v>
      </c>
      <c r="D183">
        <v>23</v>
      </c>
    </row>
    <row r="184" spans="1:10" x14ac:dyDescent="0.25">
      <c r="A184" t="s">
        <v>760</v>
      </c>
      <c r="B184" t="s">
        <v>52</v>
      </c>
      <c r="C184" t="s">
        <v>279</v>
      </c>
      <c r="D184">
        <v>247</v>
      </c>
      <c r="F184">
        <v>1</v>
      </c>
    </row>
    <row r="185" spans="1:10" x14ac:dyDescent="0.25">
      <c r="A185" t="s">
        <v>760</v>
      </c>
      <c r="B185" t="s">
        <v>53</v>
      </c>
      <c r="C185" t="s">
        <v>289</v>
      </c>
      <c r="D185">
        <v>140</v>
      </c>
      <c r="F185">
        <v>9</v>
      </c>
    </row>
    <row r="186" spans="1:10" x14ac:dyDescent="0.25">
      <c r="A186" t="s">
        <v>760</v>
      </c>
      <c r="B186" t="s">
        <v>54</v>
      </c>
      <c r="C186" t="s">
        <v>280</v>
      </c>
      <c r="D186">
        <v>99</v>
      </c>
      <c r="F186">
        <v>5</v>
      </c>
    </row>
    <row r="187" spans="1:10" x14ac:dyDescent="0.25">
      <c r="A187" t="s">
        <v>760</v>
      </c>
      <c r="B187" t="s">
        <v>55</v>
      </c>
      <c r="C187" t="s">
        <v>281</v>
      </c>
      <c r="D187">
        <v>11</v>
      </c>
    </row>
    <row r="188" spans="1:10" x14ac:dyDescent="0.25">
      <c r="A188" t="s">
        <v>760</v>
      </c>
      <c r="B188" t="s">
        <v>56</v>
      </c>
      <c r="C188" t="s">
        <v>282</v>
      </c>
      <c r="D188">
        <v>220</v>
      </c>
      <c r="F188">
        <v>5</v>
      </c>
    </row>
    <row r="189" spans="1:10" x14ac:dyDescent="0.25">
      <c r="A189" t="s">
        <v>760</v>
      </c>
      <c r="B189" t="s">
        <v>57</v>
      </c>
      <c r="C189" t="s">
        <v>283</v>
      </c>
      <c r="D189">
        <v>154</v>
      </c>
      <c r="F189">
        <v>5</v>
      </c>
    </row>
    <row r="190" spans="1:10" x14ac:dyDescent="0.25">
      <c r="A190" t="s">
        <v>760</v>
      </c>
      <c r="B190" t="s">
        <v>58</v>
      </c>
      <c r="C190" t="s">
        <v>284</v>
      </c>
      <c r="D190">
        <v>195</v>
      </c>
      <c r="F190">
        <v>6</v>
      </c>
    </row>
    <row r="191" spans="1:10" x14ac:dyDescent="0.25">
      <c r="A191" t="s">
        <v>760</v>
      </c>
      <c r="B191" t="s">
        <v>59</v>
      </c>
      <c r="C191" t="s">
        <v>290</v>
      </c>
      <c r="D191">
        <v>125</v>
      </c>
      <c r="F191">
        <v>3</v>
      </c>
    </row>
    <row r="192" spans="1:10" x14ac:dyDescent="0.25">
      <c r="A192" t="s">
        <v>760</v>
      </c>
      <c r="B192" t="s">
        <v>60</v>
      </c>
      <c r="C192" t="s">
        <v>291</v>
      </c>
      <c r="D192">
        <v>173</v>
      </c>
      <c r="F192">
        <v>1</v>
      </c>
      <c r="H192">
        <v>1</v>
      </c>
    </row>
    <row r="193" spans="1:11" x14ac:dyDescent="0.25">
      <c r="A193" t="s">
        <v>917</v>
      </c>
      <c r="B193" t="s">
        <v>31</v>
      </c>
      <c r="C193" t="s">
        <v>285</v>
      </c>
      <c r="D193">
        <v>176</v>
      </c>
      <c r="E193">
        <v>1044.75</v>
      </c>
      <c r="F193">
        <v>5</v>
      </c>
      <c r="G193">
        <v>24.25</v>
      </c>
      <c r="J193">
        <v>1</v>
      </c>
      <c r="K193">
        <v>20</v>
      </c>
    </row>
    <row r="194" spans="1:11" x14ac:dyDescent="0.25">
      <c r="A194" t="s">
        <v>917</v>
      </c>
      <c r="B194" t="s">
        <v>32</v>
      </c>
      <c r="C194" t="s">
        <v>286</v>
      </c>
      <c r="D194">
        <v>77</v>
      </c>
      <c r="E194">
        <v>586.25</v>
      </c>
      <c r="F194">
        <v>4</v>
      </c>
      <c r="G194">
        <v>57.25</v>
      </c>
      <c r="J194">
        <v>1</v>
      </c>
      <c r="K194">
        <v>4</v>
      </c>
    </row>
    <row r="195" spans="1:11" x14ac:dyDescent="0.25">
      <c r="A195" t="s">
        <v>917</v>
      </c>
      <c r="B195" t="s">
        <v>33</v>
      </c>
      <c r="C195" t="s">
        <v>292</v>
      </c>
      <c r="D195">
        <v>56</v>
      </c>
      <c r="E195">
        <v>230.5</v>
      </c>
      <c r="F195">
        <v>3</v>
      </c>
      <c r="G195">
        <v>12.75</v>
      </c>
    </row>
    <row r="196" spans="1:11" x14ac:dyDescent="0.25">
      <c r="A196" t="s">
        <v>917</v>
      </c>
      <c r="B196" t="s">
        <v>34</v>
      </c>
      <c r="C196" t="s">
        <v>287</v>
      </c>
      <c r="D196">
        <v>106</v>
      </c>
      <c r="E196">
        <v>628</v>
      </c>
      <c r="F196">
        <v>14</v>
      </c>
      <c r="G196">
        <v>237</v>
      </c>
    </row>
    <row r="197" spans="1:11" x14ac:dyDescent="0.25">
      <c r="A197" t="s">
        <v>917</v>
      </c>
      <c r="B197" t="s">
        <v>243</v>
      </c>
      <c r="C197" t="s">
        <v>288</v>
      </c>
      <c r="D197">
        <v>354</v>
      </c>
      <c r="E197">
        <v>1313.75</v>
      </c>
      <c r="F197">
        <v>10</v>
      </c>
      <c r="G197">
        <v>192.75</v>
      </c>
    </row>
    <row r="198" spans="1:11" x14ac:dyDescent="0.25">
      <c r="A198" t="s">
        <v>917</v>
      </c>
      <c r="B198" t="s">
        <v>35</v>
      </c>
      <c r="C198" t="s">
        <v>266</v>
      </c>
      <c r="D198">
        <v>35</v>
      </c>
      <c r="E198">
        <v>206.25</v>
      </c>
    </row>
    <row r="199" spans="1:11" x14ac:dyDescent="0.25">
      <c r="A199" t="s">
        <v>917</v>
      </c>
      <c r="B199" t="s">
        <v>36</v>
      </c>
      <c r="C199" t="s">
        <v>267</v>
      </c>
      <c r="D199">
        <v>122</v>
      </c>
      <c r="E199">
        <v>533.25</v>
      </c>
      <c r="F199">
        <v>5</v>
      </c>
      <c r="G199">
        <v>39.25</v>
      </c>
    </row>
    <row r="200" spans="1:11" x14ac:dyDescent="0.25">
      <c r="A200" t="s">
        <v>917</v>
      </c>
      <c r="B200" t="s">
        <v>37</v>
      </c>
      <c r="C200" t="s">
        <v>293</v>
      </c>
      <c r="D200">
        <v>149</v>
      </c>
      <c r="E200">
        <v>745.25</v>
      </c>
      <c r="F200">
        <v>6</v>
      </c>
      <c r="G200">
        <v>76.75</v>
      </c>
      <c r="H200">
        <v>1</v>
      </c>
      <c r="I200">
        <v>27.5</v>
      </c>
    </row>
    <row r="201" spans="1:11" x14ac:dyDescent="0.25">
      <c r="A201" t="s">
        <v>917</v>
      </c>
      <c r="B201" t="s">
        <v>38</v>
      </c>
      <c r="C201" t="s">
        <v>268</v>
      </c>
      <c r="D201">
        <v>67</v>
      </c>
      <c r="E201">
        <v>266.75</v>
      </c>
      <c r="F201">
        <v>2</v>
      </c>
      <c r="G201">
        <v>17.5</v>
      </c>
    </row>
    <row r="202" spans="1:11" x14ac:dyDescent="0.25">
      <c r="A202" t="s">
        <v>917</v>
      </c>
      <c r="B202" t="s">
        <v>39</v>
      </c>
      <c r="C202" t="s">
        <v>295</v>
      </c>
      <c r="D202">
        <v>45</v>
      </c>
      <c r="E202">
        <v>153.5</v>
      </c>
    </row>
    <row r="203" spans="1:11" x14ac:dyDescent="0.25">
      <c r="A203" t="s">
        <v>917</v>
      </c>
      <c r="B203" t="s">
        <v>40</v>
      </c>
      <c r="C203" t="s">
        <v>269</v>
      </c>
      <c r="D203">
        <v>43</v>
      </c>
      <c r="E203">
        <v>252.75</v>
      </c>
      <c r="F203">
        <v>1</v>
      </c>
      <c r="G203">
        <v>11.5</v>
      </c>
    </row>
    <row r="204" spans="1:11" x14ac:dyDescent="0.25">
      <c r="A204" t="s">
        <v>917</v>
      </c>
      <c r="B204" t="s">
        <v>41</v>
      </c>
      <c r="C204" t="s">
        <v>270</v>
      </c>
      <c r="D204">
        <v>20</v>
      </c>
      <c r="E204">
        <v>121.5</v>
      </c>
      <c r="F204">
        <v>1</v>
      </c>
      <c r="G204">
        <v>11</v>
      </c>
    </row>
    <row r="205" spans="1:11" x14ac:dyDescent="0.25">
      <c r="A205" t="s">
        <v>917</v>
      </c>
      <c r="B205" t="s">
        <v>42</v>
      </c>
      <c r="C205" t="s">
        <v>272</v>
      </c>
      <c r="D205">
        <v>62</v>
      </c>
      <c r="E205">
        <v>270.5</v>
      </c>
    </row>
    <row r="206" spans="1:11" x14ac:dyDescent="0.25">
      <c r="A206" t="s">
        <v>917</v>
      </c>
      <c r="B206" t="s">
        <v>43</v>
      </c>
      <c r="C206" t="s">
        <v>297</v>
      </c>
      <c r="D206">
        <v>247</v>
      </c>
      <c r="E206">
        <v>1035.25</v>
      </c>
      <c r="F206">
        <v>3</v>
      </c>
      <c r="G206">
        <v>52.75</v>
      </c>
      <c r="H206">
        <v>1</v>
      </c>
      <c r="I206">
        <v>41.25</v>
      </c>
    </row>
    <row r="207" spans="1:11" x14ac:dyDescent="0.25">
      <c r="A207" t="s">
        <v>917</v>
      </c>
      <c r="B207" t="s">
        <v>117</v>
      </c>
      <c r="C207" t="s">
        <v>921</v>
      </c>
      <c r="D207">
        <v>456</v>
      </c>
      <c r="E207">
        <v>1818</v>
      </c>
      <c r="F207">
        <v>23</v>
      </c>
      <c r="G207">
        <v>113.75</v>
      </c>
    </row>
    <row r="208" spans="1:11" x14ac:dyDescent="0.25">
      <c r="A208" t="s">
        <v>917</v>
      </c>
      <c r="B208" t="s">
        <v>44</v>
      </c>
      <c r="C208" t="s">
        <v>273</v>
      </c>
      <c r="D208">
        <v>110</v>
      </c>
      <c r="E208">
        <v>659</v>
      </c>
      <c r="F208">
        <v>14</v>
      </c>
      <c r="G208">
        <v>155.25</v>
      </c>
    </row>
    <row r="209" spans="1:10" x14ac:dyDescent="0.25">
      <c r="A209" t="s">
        <v>917</v>
      </c>
      <c r="B209" t="s">
        <v>45</v>
      </c>
      <c r="C209" t="s">
        <v>274</v>
      </c>
      <c r="D209">
        <v>29</v>
      </c>
      <c r="E209">
        <v>163</v>
      </c>
    </row>
    <row r="210" spans="1:10" x14ac:dyDescent="0.25">
      <c r="A210" t="s">
        <v>917</v>
      </c>
      <c r="B210" t="s">
        <v>46</v>
      </c>
      <c r="C210" t="s">
        <v>275</v>
      </c>
      <c r="D210">
        <v>35</v>
      </c>
      <c r="E210">
        <v>292.25</v>
      </c>
      <c r="F210">
        <v>2</v>
      </c>
      <c r="G210">
        <v>31.75</v>
      </c>
    </row>
    <row r="211" spans="1:10" x14ac:dyDescent="0.25">
      <c r="A211" t="s">
        <v>917</v>
      </c>
      <c r="B211" t="s">
        <v>47</v>
      </c>
      <c r="C211" t="s">
        <v>276</v>
      </c>
      <c r="D211">
        <v>41</v>
      </c>
      <c r="E211">
        <v>252.75</v>
      </c>
      <c r="F211">
        <v>1</v>
      </c>
      <c r="G211">
        <v>5.5</v>
      </c>
      <c r="J211">
        <v>1</v>
      </c>
    </row>
    <row r="212" spans="1:10" x14ac:dyDescent="0.25">
      <c r="A212" t="s">
        <v>917</v>
      </c>
      <c r="B212" t="s">
        <v>48</v>
      </c>
      <c r="C212" t="s">
        <v>271</v>
      </c>
      <c r="D212">
        <v>11</v>
      </c>
      <c r="E212">
        <v>62.75</v>
      </c>
    </row>
    <row r="213" spans="1:10" x14ac:dyDescent="0.25">
      <c r="A213" t="s">
        <v>917</v>
      </c>
      <c r="B213" t="s">
        <v>49</v>
      </c>
      <c r="C213" t="s">
        <v>277</v>
      </c>
      <c r="D213">
        <v>89</v>
      </c>
      <c r="E213">
        <v>599.25</v>
      </c>
    </row>
    <row r="214" spans="1:10" x14ac:dyDescent="0.25">
      <c r="A214" t="s">
        <v>917</v>
      </c>
      <c r="B214" t="s">
        <v>50</v>
      </c>
      <c r="C214" t="s">
        <v>922</v>
      </c>
      <c r="D214">
        <v>115</v>
      </c>
      <c r="E214">
        <v>395.25</v>
      </c>
      <c r="F214">
        <v>2</v>
      </c>
      <c r="G214">
        <v>10.5</v>
      </c>
    </row>
    <row r="215" spans="1:10" x14ac:dyDescent="0.25">
      <c r="A215" t="s">
        <v>917</v>
      </c>
      <c r="B215" t="s">
        <v>51</v>
      </c>
      <c r="C215" t="s">
        <v>278</v>
      </c>
      <c r="D215">
        <v>8</v>
      </c>
      <c r="E215">
        <v>37.75</v>
      </c>
      <c r="F215">
        <v>1</v>
      </c>
      <c r="G215">
        <v>34.75</v>
      </c>
    </row>
    <row r="216" spans="1:10" x14ac:dyDescent="0.25">
      <c r="A216" t="s">
        <v>917</v>
      </c>
      <c r="B216" t="s">
        <v>52</v>
      </c>
      <c r="C216" t="s">
        <v>945</v>
      </c>
      <c r="D216">
        <v>152</v>
      </c>
      <c r="E216">
        <v>697</v>
      </c>
    </row>
    <row r="217" spans="1:10" x14ac:dyDescent="0.25">
      <c r="A217" t="s">
        <v>917</v>
      </c>
      <c r="B217" t="s">
        <v>53</v>
      </c>
      <c r="C217" t="s">
        <v>289</v>
      </c>
      <c r="D217">
        <v>73</v>
      </c>
      <c r="E217">
        <v>355.75</v>
      </c>
      <c r="F217">
        <v>7</v>
      </c>
      <c r="G217">
        <v>62.75</v>
      </c>
    </row>
    <row r="218" spans="1:10" x14ac:dyDescent="0.25">
      <c r="A218" t="s">
        <v>917</v>
      </c>
      <c r="B218" t="s">
        <v>54</v>
      </c>
      <c r="C218" t="s">
        <v>280</v>
      </c>
      <c r="D218">
        <v>63</v>
      </c>
      <c r="E218">
        <v>350</v>
      </c>
      <c r="F218">
        <v>3</v>
      </c>
      <c r="G218">
        <v>49.5</v>
      </c>
    </row>
    <row r="219" spans="1:10" x14ac:dyDescent="0.25">
      <c r="A219" t="s">
        <v>917</v>
      </c>
      <c r="B219" t="s">
        <v>55</v>
      </c>
      <c r="C219" t="s">
        <v>281</v>
      </c>
      <c r="D219">
        <v>10</v>
      </c>
      <c r="E219">
        <v>101.75</v>
      </c>
    </row>
    <row r="220" spans="1:10" x14ac:dyDescent="0.25">
      <c r="A220" t="s">
        <v>917</v>
      </c>
      <c r="B220" t="s">
        <v>56</v>
      </c>
      <c r="C220" t="s">
        <v>282</v>
      </c>
      <c r="D220">
        <v>120</v>
      </c>
      <c r="E220">
        <v>791.75</v>
      </c>
      <c r="F220">
        <v>2</v>
      </c>
      <c r="G220">
        <v>7.75</v>
      </c>
    </row>
    <row r="221" spans="1:10" x14ac:dyDescent="0.25">
      <c r="A221" t="s">
        <v>917</v>
      </c>
      <c r="B221" t="s">
        <v>57</v>
      </c>
      <c r="C221" t="s">
        <v>283</v>
      </c>
      <c r="D221">
        <v>141</v>
      </c>
      <c r="E221">
        <v>1621</v>
      </c>
      <c r="F221">
        <v>4</v>
      </c>
      <c r="G221">
        <v>64.75</v>
      </c>
    </row>
    <row r="222" spans="1:10" x14ac:dyDescent="0.25">
      <c r="A222" t="s">
        <v>917</v>
      </c>
      <c r="B222" t="s">
        <v>58</v>
      </c>
      <c r="C222" t="s">
        <v>284</v>
      </c>
      <c r="D222">
        <v>74</v>
      </c>
      <c r="E222">
        <v>377.5</v>
      </c>
      <c r="F222">
        <v>6</v>
      </c>
      <c r="G222">
        <v>138.5</v>
      </c>
      <c r="H222">
        <v>1</v>
      </c>
      <c r="I222">
        <v>54.5</v>
      </c>
    </row>
    <row r="223" spans="1:10" x14ac:dyDescent="0.25">
      <c r="A223" t="s">
        <v>917</v>
      </c>
      <c r="B223" t="s">
        <v>59</v>
      </c>
      <c r="C223" t="s">
        <v>290</v>
      </c>
      <c r="D223">
        <v>28</v>
      </c>
      <c r="E223">
        <v>102.5</v>
      </c>
    </row>
    <row r="224" spans="1:10" x14ac:dyDescent="0.25">
      <c r="A224" t="s">
        <v>917</v>
      </c>
      <c r="B224" t="s">
        <v>60</v>
      </c>
      <c r="C224" t="s">
        <v>291</v>
      </c>
      <c r="D224">
        <v>86</v>
      </c>
      <c r="E224">
        <v>305.5</v>
      </c>
    </row>
    <row r="225" spans="1:11" x14ac:dyDescent="0.25">
      <c r="A225" t="s">
        <v>1010</v>
      </c>
      <c r="B225" t="s">
        <v>31</v>
      </c>
      <c r="C225" t="s">
        <v>285</v>
      </c>
      <c r="D225">
        <v>308</v>
      </c>
      <c r="E225">
        <v>1977.5</v>
      </c>
      <c r="F225">
        <v>7</v>
      </c>
      <c r="G225">
        <v>69</v>
      </c>
      <c r="H225">
        <v>1</v>
      </c>
      <c r="I225">
        <v>11.5</v>
      </c>
      <c r="J225">
        <v>1</v>
      </c>
      <c r="K225">
        <v>1.25</v>
      </c>
    </row>
    <row r="226" spans="1:11" x14ac:dyDescent="0.25">
      <c r="A226" t="s">
        <v>1010</v>
      </c>
      <c r="B226" t="s">
        <v>32</v>
      </c>
      <c r="C226" t="s">
        <v>286</v>
      </c>
      <c r="D226">
        <v>183</v>
      </c>
      <c r="E226">
        <v>1899.75</v>
      </c>
      <c r="F226">
        <v>3</v>
      </c>
      <c r="G226">
        <v>48.5</v>
      </c>
    </row>
    <row r="227" spans="1:11" x14ac:dyDescent="0.25">
      <c r="A227" t="s">
        <v>1010</v>
      </c>
      <c r="B227" t="s">
        <v>33</v>
      </c>
      <c r="C227" t="s">
        <v>292</v>
      </c>
      <c r="D227">
        <v>124</v>
      </c>
      <c r="E227">
        <v>657</v>
      </c>
    </row>
    <row r="228" spans="1:11" x14ac:dyDescent="0.25">
      <c r="A228" t="s">
        <v>1010</v>
      </c>
      <c r="B228" t="s">
        <v>34</v>
      </c>
      <c r="C228" t="s">
        <v>287</v>
      </c>
      <c r="D228">
        <v>173</v>
      </c>
      <c r="E228">
        <v>911.75</v>
      </c>
      <c r="F228">
        <v>16</v>
      </c>
      <c r="G228">
        <v>148.75</v>
      </c>
    </row>
    <row r="229" spans="1:11" x14ac:dyDescent="0.25">
      <c r="A229" t="s">
        <v>1010</v>
      </c>
      <c r="B229" t="s">
        <v>1012</v>
      </c>
      <c r="C229" t="s">
        <v>288</v>
      </c>
      <c r="D229">
        <v>692</v>
      </c>
      <c r="E229">
        <v>3146.25</v>
      </c>
      <c r="F229">
        <v>18</v>
      </c>
      <c r="G229">
        <v>259.5</v>
      </c>
      <c r="J229">
        <v>1</v>
      </c>
      <c r="K229">
        <v>13</v>
      </c>
    </row>
    <row r="230" spans="1:11" x14ac:dyDescent="0.25">
      <c r="A230" t="s">
        <v>1010</v>
      </c>
      <c r="B230" t="s">
        <v>35</v>
      </c>
      <c r="C230" t="s">
        <v>266</v>
      </c>
      <c r="D230">
        <v>39</v>
      </c>
      <c r="E230">
        <v>237.25</v>
      </c>
      <c r="F230">
        <v>2</v>
      </c>
      <c r="G230">
        <v>16.25</v>
      </c>
    </row>
    <row r="231" spans="1:11" x14ac:dyDescent="0.25">
      <c r="A231" t="s">
        <v>1010</v>
      </c>
      <c r="B231" t="s">
        <v>36</v>
      </c>
      <c r="C231" t="s">
        <v>267</v>
      </c>
      <c r="D231">
        <v>140</v>
      </c>
      <c r="E231">
        <v>836.25</v>
      </c>
      <c r="F231">
        <v>1</v>
      </c>
      <c r="G231">
        <v>6.25</v>
      </c>
    </row>
    <row r="232" spans="1:11" x14ac:dyDescent="0.25">
      <c r="A232" t="s">
        <v>1010</v>
      </c>
      <c r="B232" t="s">
        <v>37</v>
      </c>
      <c r="C232" t="s">
        <v>293</v>
      </c>
      <c r="D232">
        <v>267</v>
      </c>
      <c r="E232">
        <v>1285.25</v>
      </c>
      <c r="F232">
        <v>4</v>
      </c>
      <c r="G232">
        <v>39.25</v>
      </c>
      <c r="J232">
        <v>1</v>
      </c>
      <c r="K232">
        <v>7.5</v>
      </c>
    </row>
    <row r="233" spans="1:11" x14ac:dyDescent="0.25">
      <c r="A233" t="s">
        <v>1010</v>
      </c>
      <c r="B233" t="s">
        <v>38</v>
      </c>
      <c r="C233" t="s">
        <v>268</v>
      </c>
      <c r="D233">
        <v>110</v>
      </c>
      <c r="E233">
        <v>650</v>
      </c>
    </row>
    <row r="234" spans="1:11" x14ac:dyDescent="0.25">
      <c r="A234" t="s">
        <v>1010</v>
      </c>
      <c r="B234" t="s">
        <v>39</v>
      </c>
      <c r="C234" t="s">
        <v>295</v>
      </c>
      <c r="D234">
        <v>67</v>
      </c>
      <c r="E234">
        <v>330.5</v>
      </c>
      <c r="F234">
        <v>5</v>
      </c>
      <c r="G234">
        <v>29.25</v>
      </c>
    </row>
    <row r="235" spans="1:11" x14ac:dyDescent="0.25">
      <c r="A235" t="s">
        <v>1010</v>
      </c>
      <c r="B235" t="s">
        <v>1013</v>
      </c>
      <c r="C235" t="s">
        <v>269</v>
      </c>
      <c r="D235">
        <v>97</v>
      </c>
      <c r="E235">
        <v>604.5</v>
      </c>
      <c r="F235">
        <v>9</v>
      </c>
      <c r="G235">
        <v>188.25</v>
      </c>
      <c r="H235">
        <v>2</v>
      </c>
      <c r="I235">
        <v>70.75</v>
      </c>
    </row>
    <row r="236" spans="1:11" x14ac:dyDescent="0.25">
      <c r="A236" t="s">
        <v>1010</v>
      </c>
      <c r="B236" t="s">
        <v>41</v>
      </c>
      <c r="C236" t="s">
        <v>270</v>
      </c>
      <c r="D236">
        <v>23</v>
      </c>
      <c r="E236">
        <v>152</v>
      </c>
    </row>
    <row r="237" spans="1:11" x14ac:dyDescent="0.25">
      <c r="A237" t="s">
        <v>1010</v>
      </c>
      <c r="B237" t="s">
        <v>42</v>
      </c>
      <c r="C237" t="s">
        <v>272</v>
      </c>
      <c r="D237">
        <v>107</v>
      </c>
      <c r="E237">
        <v>523</v>
      </c>
      <c r="F237">
        <v>5</v>
      </c>
      <c r="G237">
        <v>53.5</v>
      </c>
    </row>
    <row r="238" spans="1:11" x14ac:dyDescent="0.25">
      <c r="A238" t="s">
        <v>1010</v>
      </c>
      <c r="B238" t="s">
        <v>1014</v>
      </c>
      <c r="C238" t="s">
        <v>388</v>
      </c>
      <c r="D238">
        <v>365</v>
      </c>
      <c r="E238">
        <v>1707.75</v>
      </c>
      <c r="F238">
        <v>5</v>
      </c>
      <c r="G238">
        <v>90.25</v>
      </c>
      <c r="J238">
        <v>3</v>
      </c>
      <c r="K238">
        <v>16.25</v>
      </c>
    </row>
    <row r="239" spans="1:11" x14ac:dyDescent="0.25">
      <c r="A239" t="s">
        <v>1010</v>
      </c>
      <c r="B239" t="s">
        <v>117</v>
      </c>
      <c r="C239" t="s">
        <v>296</v>
      </c>
      <c r="D239">
        <v>1003</v>
      </c>
      <c r="E239">
        <v>4540</v>
      </c>
      <c r="F239">
        <v>42</v>
      </c>
      <c r="G239">
        <v>236</v>
      </c>
      <c r="H239">
        <v>1</v>
      </c>
      <c r="I239">
        <v>22.75</v>
      </c>
      <c r="J239">
        <v>1</v>
      </c>
      <c r="K239">
        <v>8</v>
      </c>
    </row>
    <row r="240" spans="1:11" x14ac:dyDescent="0.25">
      <c r="A240" t="s">
        <v>1010</v>
      </c>
      <c r="B240" t="s">
        <v>44</v>
      </c>
      <c r="C240" t="s">
        <v>273</v>
      </c>
      <c r="D240">
        <v>182</v>
      </c>
      <c r="E240">
        <v>1196.25</v>
      </c>
      <c r="F240">
        <v>25</v>
      </c>
      <c r="G240">
        <v>340.25</v>
      </c>
      <c r="J240">
        <v>1</v>
      </c>
      <c r="K240">
        <v>3</v>
      </c>
    </row>
    <row r="241" spans="1:9" x14ac:dyDescent="0.25">
      <c r="A241" t="s">
        <v>1010</v>
      </c>
      <c r="B241" t="s">
        <v>45</v>
      </c>
      <c r="C241" t="s">
        <v>274</v>
      </c>
      <c r="D241">
        <v>43</v>
      </c>
      <c r="E241">
        <v>225.75</v>
      </c>
    </row>
    <row r="242" spans="1:9" x14ac:dyDescent="0.25">
      <c r="A242" t="s">
        <v>1010</v>
      </c>
      <c r="B242" t="s">
        <v>46</v>
      </c>
      <c r="C242" t="s">
        <v>275</v>
      </c>
      <c r="D242">
        <v>83</v>
      </c>
      <c r="E242">
        <v>501</v>
      </c>
      <c r="F242">
        <v>5</v>
      </c>
      <c r="G242">
        <v>92.25</v>
      </c>
      <c r="H242">
        <v>1</v>
      </c>
      <c r="I242">
        <v>65</v>
      </c>
    </row>
    <row r="243" spans="1:9" x14ac:dyDescent="0.25">
      <c r="A243" t="s">
        <v>1010</v>
      </c>
      <c r="B243" t="s">
        <v>47</v>
      </c>
      <c r="C243" t="s">
        <v>276</v>
      </c>
      <c r="D243">
        <v>56</v>
      </c>
      <c r="E243">
        <v>597.75</v>
      </c>
      <c r="F243">
        <v>3</v>
      </c>
      <c r="G243">
        <v>53.75</v>
      </c>
    </row>
    <row r="244" spans="1:9" x14ac:dyDescent="0.25">
      <c r="A244" t="s">
        <v>1010</v>
      </c>
      <c r="B244" t="s">
        <v>946</v>
      </c>
      <c r="C244" t="s">
        <v>271</v>
      </c>
      <c r="D244">
        <v>4</v>
      </c>
      <c r="E244">
        <v>16</v>
      </c>
    </row>
    <row r="245" spans="1:9" x14ac:dyDescent="0.25">
      <c r="A245" t="s">
        <v>1010</v>
      </c>
      <c r="B245" t="s">
        <v>1011</v>
      </c>
      <c r="C245" t="s">
        <v>277</v>
      </c>
      <c r="D245">
        <v>151</v>
      </c>
      <c r="E245">
        <v>1309.75</v>
      </c>
      <c r="F245">
        <v>2</v>
      </c>
      <c r="G245">
        <v>43</v>
      </c>
    </row>
    <row r="246" spans="1:9" x14ac:dyDescent="0.25">
      <c r="A246" t="s">
        <v>1010</v>
      </c>
      <c r="B246" t="s">
        <v>50</v>
      </c>
      <c r="C246" t="s">
        <v>294</v>
      </c>
      <c r="D246">
        <v>179</v>
      </c>
      <c r="E246">
        <v>630.25</v>
      </c>
      <c r="F246">
        <v>6</v>
      </c>
      <c r="G246">
        <v>30</v>
      </c>
    </row>
    <row r="247" spans="1:9" x14ac:dyDescent="0.25">
      <c r="A247" t="s">
        <v>1010</v>
      </c>
      <c r="B247" t="s">
        <v>51</v>
      </c>
      <c r="C247" t="s">
        <v>278</v>
      </c>
      <c r="D247">
        <v>15</v>
      </c>
      <c r="E247">
        <v>208.5</v>
      </c>
    </row>
    <row r="248" spans="1:9" x14ac:dyDescent="0.25">
      <c r="A248" t="s">
        <v>1010</v>
      </c>
      <c r="B248" t="s">
        <v>52</v>
      </c>
      <c r="C248" t="s">
        <v>279</v>
      </c>
      <c r="D248">
        <v>146</v>
      </c>
      <c r="E248">
        <v>838.5</v>
      </c>
    </row>
    <row r="249" spans="1:9" x14ac:dyDescent="0.25">
      <c r="A249" t="s">
        <v>1010</v>
      </c>
      <c r="B249" t="s">
        <v>53</v>
      </c>
      <c r="C249" t="s">
        <v>289</v>
      </c>
      <c r="D249">
        <v>94</v>
      </c>
      <c r="E249">
        <v>625</v>
      </c>
      <c r="F249">
        <v>1</v>
      </c>
      <c r="G249">
        <v>6.25</v>
      </c>
    </row>
    <row r="250" spans="1:9" x14ac:dyDescent="0.25">
      <c r="A250" t="s">
        <v>1010</v>
      </c>
      <c r="B250" t="s">
        <v>54</v>
      </c>
      <c r="C250" t="s">
        <v>280</v>
      </c>
      <c r="D250">
        <v>97</v>
      </c>
      <c r="E250">
        <v>537.5</v>
      </c>
      <c r="F250">
        <v>4</v>
      </c>
      <c r="G250">
        <v>43.5</v>
      </c>
    </row>
    <row r="251" spans="1:9" x14ac:dyDescent="0.25">
      <c r="A251" t="s">
        <v>1010</v>
      </c>
      <c r="B251" t="s">
        <v>1015</v>
      </c>
      <c r="C251" t="s">
        <v>281</v>
      </c>
      <c r="D251">
        <v>36</v>
      </c>
      <c r="E251">
        <v>322</v>
      </c>
      <c r="F251">
        <v>1</v>
      </c>
      <c r="G251">
        <v>4.75</v>
      </c>
    </row>
    <row r="252" spans="1:9" x14ac:dyDescent="0.25">
      <c r="A252" t="s">
        <v>1010</v>
      </c>
      <c r="B252" t="s">
        <v>56</v>
      </c>
      <c r="C252" t="s">
        <v>282</v>
      </c>
      <c r="D252">
        <v>150</v>
      </c>
      <c r="E252">
        <v>1427.75</v>
      </c>
      <c r="F252">
        <v>4</v>
      </c>
      <c r="G252">
        <v>48.75</v>
      </c>
    </row>
    <row r="253" spans="1:9" x14ac:dyDescent="0.25">
      <c r="A253" t="s">
        <v>1010</v>
      </c>
      <c r="B253" t="s">
        <v>57</v>
      </c>
      <c r="C253" t="s">
        <v>283</v>
      </c>
      <c r="D253">
        <v>156</v>
      </c>
      <c r="E253">
        <v>1502.5</v>
      </c>
      <c r="F253">
        <v>9</v>
      </c>
      <c r="G253">
        <v>137.25</v>
      </c>
    </row>
    <row r="254" spans="1:9" x14ac:dyDescent="0.25">
      <c r="A254" t="s">
        <v>1010</v>
      </c>
      <c r="B254" t="s">
        <v>58</v>
      </c>
      <c r="C254" t="s">
        <v>284</v>
      </c>
      <c r="D254">
        <v>171</v>
      </c>
      <c r="E254">
        <v>815.25</v>
      </c>
      <c r="F254">
        <v>4</v>
      </c>
      <c r="G254">
        <v>42.75</v>
      </c>
    </row>
    <row r="255" spans="1:9" x14ac:dyDescent="0.25">
      <c r="A255" t="s">
        <v>1010</v>
      </c>
      <c r="B255" t="s">
        <v>59</v>
      </c>
      <c r="C255" t="s">
        <v>290</v>
      </c>
      <c r="D255">
        <v>67</v>
      </c>
      <c r="E255">
        <v>251.75</v>
      </c>
      <c r="F255">
        <v>2</v>
      </c>
      <c r="G255">
        <v>9.75</v>
      </c>
    </row>
    <row r="256" spans="1:9" x14ac:dyDescent="0.25">
      <c r="A256" t="s">
        <v>1010</v>
      </c>
      <c r="B256" t="s">
        <v>60</v>
      </c>
      <c r="C256" t="s">
        <v>291</v>
      </c>
      <c r="D256">
        <v>174</v>
      </c>
      <c r="E256">
        <v>634</v>
      </c>
      <c r="F256">
        <v>3</v>
      </c>
      <c r="G256">
        <v>14.75</v>
      </c>
    </row>
    <row r="257" spans="1:11" x14ac:dyDescent="0.25">
      <c r="A257" t="s">
        <v>1061</v>
      </c>
      <c r="B257" t="s">
        <v>31</v>
      </c>
      <c r="C257" t="s">
        <v>285</v>
      </c>
      <c r="D257">
        <v>350</v>
      </c>
      <c r="E257">
        <v>2702.5</v>
      </c>
      <c r="F257">
        <v>7</v>
      </c>
      <c r="G257">
        <v>130.75</v>
      </c>
    </row>
    <row r="258" spans="1:11" x14ac:dyDescent="0.25">
      <c r="A258" t="s">
        <v>1061</v>
      </c>
      <c r="B258" t="s">
        <v>32</v>
      </c>
      <c r="C258" t="s">
        <v>286</v>
      </c>
      <c r="D258">
        <v>421</v>
      </c>
      <c r="E258">
        <v>3511</v>
      </c>
      <c r="F258">
        <v>8</v>
      </c>
      <c r="G258">
        <v>130.75</v>
      </c>
    </row>
    <row r="259" spans="1:11" x14ac:dyDescent="0.25">
      <c r="A259" t="s">
        <v>1061</v>
      </c>
      <c r="B259" t="s">
        <v>33</v>
      </c>
      <c r="C259" t="s">
        <v>292</v>
      </c>
      <c r="D259">
        <v>104</v>
      </c>
      <c r="E259">
        <v>594</v>
      </c>
      <c r="F259">
        <v>1</v>
      </c>
      <c r="G259">
        <v>3.25</v>
      </c>
    </row>
    <row r="260" spans="1:11" x14ac:dyDescent="0.25">
      <c r="A260" t="s">
        <v>1061</v>
      </c>
      <c r="B260" t="s">
        <v>34</v>
      </c>
      <c r="C260" t="s">
        <v>287</v>
      </c>
      <c r="D260">
        <v>357</v>
      </c>
      <c r="E260">
        <v>1988.5</v>
      </c>
      <c r="F260">
        <v>22</v>
      </c>
      <c r="G260">
        <v>418.25</v>
      </c>
    </row>
    <row r="261" spans="1:11" x14ac:dyDescent="0.25">
      <c r="A261" t="s">
        <v>1061</v>
      </c>
      <c r="B261" t="s">
        <v>243</v>
      </c>
      <c r="C261" t="s">
        <v>288</v>
      </c>
      <c r="D261">
        <v>536</v>
      </c>
      <c r="E261">
        <v>2521</v>
      </c>
      <c r="F261">
        <v>28</v>
      </c>
      <c r="G261">
        <v>135</v>
      </c>
      <c r="J261">
        <v>2</v>
      </c>
      <c r="K261">
        <v>8</v>
      </c>
    </row>
    <row r="262" spans="1:11" x14ac:dyDescent="0.25">
      <c r="A262" t="s">
        <v>1061</v>
      </c>
      <c r="B262" t="s">
        <v>35</v>
      </c>
      <c r="C262" t="s">
        <v>266</v>
      </c>
      <c r="D262">
        <v>26</v>
      </c>
      <c r="E262">
        <v>147.75</v>
      </c>
      <c r="F262">
        <v>1</v>
      </c>
      <c r="G262">
        <v>8.25</v>
      </c>
    </row>
    <row r="263" spans="1:11" x14ac:dyDescent="0.25">
      <c r="A263" t="s">
        <v>1061</v>
      </c>
      <c r="B263" t="s">
        <v>36</v>
      </c>
      <c r="C263" t="s">
        <v>267</v>
      </c>
      <c r="D263">
        <v>361</v>
      </c>
      <c r="E263">
        <v>2301</v>
      </c>
      <c r="F263">
        <v>4</v>
      </c>
      <c r="G263">
        <v>41.75</v>
      </c>
    </row>
    <row r="264" spans="1:11" x14ac:dyDescent="0.25">
      <c r="A264" t="s">
        <v>1061</v>
      </c>
      <c r="B264" t="s">
        <v>37</v>
      </c>
      <c r="C264" t="s">
        <v>293</v>
      </c>
      <c r="D264">
        <v>249</v>
      </c>
      <c r="E264">
        <v>1316.5</v>
      </c>
      <c r="F264">
        <v>2</v>
      </c>
      <c r="G264">
        <v>54.75</v>
      </c>
    </row>
    <row r="265" spans="1:11" x14ac:dyDescent="0.25">
      <c r="A265" t="s">
        <v>1061</v>
      </c>
      <c r="B265" t="s">
        <v>38</v>
      </c>
      <c r="C265" t="s">
        <v>268</v>
      </c>
      <c r="D265">
        <v>146</v>
      </c>
      <c r="E265">
        <v>706</v>
      </c>
      <c r="F265">
        <v>4</v>
      </c>
      <c r="G265">
        <v>42.5</v>
      </c>
    </row>
    <row r="266" spans="1:11" x14ac:dyDescent="0.25">
      <c r="A266" t="s">
        <v>1061</v>
      </c>
      <c r="B266" t="s">
        <v>39</v>
      </c>
      <c r="C266" t="s">
        <v>295</v>
      </c>
      <c r="D266">
        <v>51</v>
      </c>
      <c r="E266">
        <v>265.25</v>
      </c>
      <c r="F266">
        <v>2</v>
      </c>
      <c r="G266">
        <v>13.5</v>
      </c>
    </row>
    <row r="267" spans="1:11" x14ac:dyDescent="0.25">
      <c r="A267" t="s">
        <v>1061</v>
      </c>
      <c r="B267" t="s">
        <v>40</v>
      </c>
      <c r="C267" t="s">
        <v>269</v>
      </c>
      <c r="D267">
        <v>116</v>
      </c>
      <c r="E267">
        <v>695</v>
      </c>
      <c r="F267">
        <v>3</v>
      </c>
      <c r="G267">
        <v>32</v>
      </c>
    </row>
    <row r="268" spans="1:11" x14ac:dyDescent="0.25">
      <c r="A268" t="s">
        <v>1061</v>
      </c>
      <c r="B268" t="s">
        <v>41</v>
      </c>
      <c r="C268" t="s">
        <v>270</v>
      </c>
      <c r="D268">
        <v>49</v>
      </c>
      <c r="E268">
        <v>290.5</v>
      </c>
    </row>
    <row r="269" spans="1:11" x14ac:dyDescent="0.25">
      <c r="A269" t="s">
        <v>1061</v>
      </c>
      <c r="B269" t="s">
        <v>42</v>
      </c>
      <c r="C269" t="s">
        <v>272</v>
      </c>
      <c r="D269">
        <v>88</v>
      </c>
      <c r="E269">
        <v>450</v>
      </c>
      <c r="F269">
        <v>3</v>
      </c>
      <c r="G269">
        <v>17</v>
      </c>
    </row>
    <row r="270" spans="1:11" x14ac:dyDescent="0.25">
      <c r="A270" t="s">
        <v>1061</v>
      </c>
      <c r="B270" t="s">
        <v>43</v>
      </c>
      <c r="C270" t="s">
        <v>388</v>
      </c>
      <c r="D270">
        <v>311</v>
      </c>
      <c r="E270">
        <v>1554.25</v>
      </c>
      <c r="F270">
        <v>2</v>
      </c>
      <c r="G270">
        <v>22</v>
      </c>
    </row>
    <row r="271" spans="1:11" x14ac:dyDescent="0.25">
      <c r="A271" t="s">
        <v>1061</v>
      </c>
      <c r="B271" t="s">
        <v>117</v>
      </c>
      <c r="C271" t="s">
        <v>296</v>
      </c>
      <c r="D271">
        <v>1019</v>
      </c>
      <c r="E271">
        <v>5074.75</v>
      </c>
      <c r="F271">
        <v>92</v>
      </c>
      <c r="G271">
        <v>844</v>
      </c>
      <c r="J271">
        <v>1</v>
      </c>
      <c r="K271">
        <v>18</v>
      </c>
    </row>
    <row r="272" spans="1:11" x14ac:dyDescent="0.25">
      <c r="A272" t="s">
        <v>1061</v>
      </c>
      <c r="B272" t="s">
        <v>44</v>
      </c>
      <c r="C272" t="s">
        <v>273</v>
      </c>
      <c r="D272">
        <v>224</v>
      </c>
      <c r="E272">
        <v>1608.5</v>
      </c>
      <c r="F272">
        <v>18</v>
      </c>
      <c r="G272">
        <v>340</v>
      </c>
    </row>
    <row r="273" spans="1:11" x14ac:dyDescent="0.25">
      <c r="A273" t="s">
        <v>1061</v>
      </c>
      <c r="B273" t="s">
        <v>45</v>
      </c>
      <c r="C273" t="s">
        <v>274</v>
      </c>
      <c r="D273">
        <v>73</v>
      </c>
      <c r="E273">
        <v>511.75</v>
      </c>
    </row>
    <row r="274" spans="1:11" x14ac:dyDescent="0.25">
      <c r="A274" t="s">
        <v>1061</v>
      </c>
      <c r="B274" t="s">
        <v>46</v>
      </c>
      <c r="C274" t="s">
        <v>275</v>
      </c>
      <c r="D274">
        <v>79</v>
      </c>
      <c r="E274">
        <v>480</v>
      </c>
      <c r="F274">
        <v>8</v>
      </c>
      <c r="G274">
        <v>73.25</v>
      </c>
    </row>
    <row r="275" spans="1:11" x14ac:dyDescent="0.25">
      <c r="A275" t="s">
        <v>1061</v>
      </c>
      <c r="B275" t="s">
        <v>47</v>
      </c>
      <c r="C275" t="s">
        <v>276</v>
      </c>
      <c r="D275">
        <v>139</v>
      </c>
      <c r="E275">
        <v>1163</v>
      </c>
      <c r="F275">
        <v>12</v>
      </c>
      <c r="G275">
        <v>258.25</v>
      </c>
    </row>
    <row r="276" spans="1:11" x14ac:dyDescent="0.25">
      <c r="A276" t="s">
        <v>1061</v>
      </c>
      <c r="B276" t="s">
        <v>48</v>
      </c>
      <c r="C276" t="s">
        <v>271</v>
      </c>
      <c r="D276">
        <v>32</v>
      </c>
      <c r="E276">
        <v>144.75</v>
      </c>
      <c r="F276">
        <v>2</v>
      </c>
      <c r="G276">
        <v>12.5</v>
      </c>
    </row>
    <row r="277" spans="1:11" x14ac:dyDescent="0.25">
      <c r="A277" t="s">
        <v>1061</v>
      </c>
      <c r="B277" t="s">
        <v>49</v>
      </c>
      <c r="C277" t="s">
        <v>277</v>
      </c>
      <c r="D277">
        <v>263</v>
      </c>
      <c r="E277">
        <v>2036.75</v>
      </c>
      <c r="F277">
        <v>8</v>
      </c>
      <c r="G277">
        <v>119.5</v>
      </c>
    </row>
    <row r="278" spans="1:11" x14ac:dyDescent="0.25">
      <c r="A278" t="s">
        <v>1061</v>
      </c>
      <c r="B278" t="s">
        <v>50</v>
      </c>
      <c r="C278" t="s">
        <v>294</v>
      </c>
      <c r="D278">
        <v>192</v>
      </c>
      <c r="E278">
        <v>860</v>
      </c>
      <c r="F278">
        <v>5</v>
      </c>
      <c r="G278">
        <v>26.75</v>
      </c>
    </row>
    <row r="279" spans="1:11" x14ac:dyDescent="0.25">
      <c r="A279" t="s">
        <v>1061</v>
      </c>
      <c r="B279" t="s">
        <v>51</v>
      </c>
      <c r="C279" t="s">
        <v>278</v>
      </c>
      <c r="D279">
        <v>8</v>
      </c>
      <c r="E279">
        <v>46.5</v>
      </c>
      <c r="F279">
        <v>1</v>
      </c>
      <c r="G279">
        <v>12.75</v>
      </c>
    </row>
    <row r="280" spans="1:11" x14ac:dyDescent="0.25">
      <c r="A280" t="s">
        <v>1061</v>
      </c>
      <c r="B280" t="s">
        <v>52</v>
      </c>
      <c r="C280" t="s">
        <v>279</v>
      </c>
      <c r="D280">
        <v>136</v>
      </c>
      <c r="E280">
        <v>605.5</v>
      </c>
      <c r="F280">
        <v>2</v>
      </c>
      <c r="G280">
        <v>51</v>
      </c>
    </row>
    <row r="281" spans="1:11" x14ac:dyDescent="0.25">
      <c r="A281" t="s">
        <v>1061</v>
      </c>
      <c r="B281" t="s">
        <v>53</v>
      </c>
      <c r="C281" t="s">
        <v>289</v>
      </c>
      <c r="D281">
        <v>187</v>
      </c>
      <c r="E281">
        <v>947.75</v>
      </c>
      <c r="F281">
        <v>3</v>
      </c>
      <c r="G281">
        <v>24.5</v>
      </c>
      <c r="J281">
        <v>1</v>
      </c>
      <c r="K281">
        <v>11</v>
      </c>
    </row>
    <row r="282" spans="1:11" x14ac:dyDescent="0.25">
      <c r="A282" t="s">
        <v>1061</v>
      </c>
      <c r="B282" t="s">
        <v>54</v>
      </c>
      <c r="C282" t="s">
        <v>280</v>
      </c>
      <c r="D282">
        <v>146</v>
      </c>
      <c r="E282">
        <v>914</v>
      </c>
      <c r="F282">
        <v>3</v>
      </c>
      <c r="G282">
        <v>35</v>
      </c>
    </row>
    <row r="283" spans="1:11" x14ac:dyDescent="0.25">
      <c r="A283" t="s">
        <v>1061</v>
      </c>
      <c r="B283" t="s">
        <v>55</v>
      </c>
      <c r="C283" t="s">
        <v>281</v>
      </c>
      <c r="D283">
        <v>64</v>
      </c>
      <c r="E283">
        <v>447.25</v>
      </c>
      <c r="F283">
        <v>2</v>
      </c>
      <c r="G283">
        <v>2.25</v>
      </c>
    </row>
    <row r="284" spans="1:11" x14ac:dyDescent="0.25">
      <c r="A284" t="s">
        <v>1061</v>
      </c>
      <c r="B284" t="s">
        <v>56</v>
      </c>
      <c r="C284" t="s">
        <v>282</v>
      </c>
      <c r="D284">
        <v>223</v>
      </c>
      <c r="E284">
        <v>1582.75</v>
      </c>
      <c r="F284">
        <v>17</v>
      </c>
      <c r="G284">
        <v>265.5</v>
      </c>
      <c r="H284">
        <v>2</v>
      </c>
      <c r="I284">
        <v>98.25</v>
      </c>
      <c r="J284">
        <v>1</v>
      </c>
      <c r="K284">
        <v>15.5</v>
      </c>
    </row>
    <row r="285" spans="1:11" x14ac:dyDescent="0.25">
      <c r="A285" t="s">
        <v>1061</v>
      </c>
      <c r="B285" t="s">
        <v>57</v>
      </c>
      <c r="C285" t="s">
        <v>283</v>
      </c>
      <c r="D285">
        <v>223</v>
      </c>
      <c r="E285">
        <v>1791.75</v>
      </c>
      <c r="F285">
        <v>15</v>
      </c>
      <c r="G285">
        <v>195.5</v>
      </c>
    </row>
    <row r="286" spans="1:11" x14ac:dyDescent="0.25">
      <c r="A286" t="s">
        <v>1061</v>
      </c>
      <c r="B286" t="s">
        <v>58</v>
      </c>
      <c r="C286" t="s">
        <v>284</v>
      </c>
      <c r="D286">
        <v>109</v>
      </c>
      <c r="E286">
        <v>503</v>
      </c>
      <c r="F286">
        <v>1</v>
      </c>
      <c r="G286">
        <v>44.5</v>
      </c>
    </row>
    <row r="287" spans="1:11" x14ac:dyDescent="0.25">
      <c r="A287" t="s">
        <v>1061</v>
      </c>
      <c r="B287" t="s">
        <v>59</v>
      </c>
      <c r="C287" t="s">
        <v>290</v>
      </c>
      <c r="D287">
        <v>41</v>
      </c>
      <c r="E287">
        <v>221.25</v>
      </c>
      <c r="F287">
        <v>2</v>
      </c>
      <c r="G287">
        <v>20</v>
      </c>
    </row>
    <row r="288" spans="1:11" x14ac:dyDescent="0.25">
      <c r="A288" t="s">
        <v>1061</v>
      </c>
      <c r="B288" t="s">
        <v>60</v>
      </c>
      <c r="C288" t="s">
        <v>291</v>
      </c>
      <c r="D288">
        <v>109</v>
      </c>
      <c r="E288">
        <v>544</v>
      </c>
      <c r="F288">
        <v>2</v>
      </c>
      <c r="G288">
        <v>10</v>
      </c>
    </row>
    <row r="289" spans="1:11" x14ac:dyDescent="0.25">
      <c r="A289" t="s">
        <v>1108</v>
      </c>
      <c r="B289" t="s">
        <v>31</v>
      </c>
      <c r="C289" t="s">
        <v>285</v>
      </c>
      <c r="D289">
        <v>343</v>
      </c>
      <c r="E289">
        <v>2507.25</v>
      </c>
      <c r="F289">
        <v>5</v>
      </c>
      <c r="G289">
        <v>108.25</v>
      </c>
    </row>
    <row r="290" spans="1:11" x14ac:dyDescent="0.25">
      <c r="A290" t="s">
        <v>1108</v>
      </c>
      <c r="B290" t="s">
        <v>32</v>
      </c>
      <c r="C290" t="s">
        <v>286</v>
      </c>
      <c r="D290">
        <v>323</v>
      </c>
      <c r="E290">
        <v>2267</v>
      </c>
      <c r="F290">
        <v>10</v>
      </c>
      <c r="G290">
        <v>183</v>
      </c>
    </row>
    <row r="291" spans="1:11" x14ac:dyDescent="0.25">
      <c r="A291" t="s">
        <v>1108</v>
      </c>
      <c r="B291" t="s">
        <v>33</v>
      </c>
      <c r="C291" t="s">
        <v>292</v>
      </c>
      <c r="D291">
        <v>101</v>
      </c>
      <c r="E291">
        <v>520.5</v>
      </c>
      <c r="F291">
        <v>2</v>
      </c>
      <c r="G291">
        <v>23.75</v>
      </c>
    </row>
    <row r="292" spans="1:11" x14ac:dyDescent="0.25">
      <c r="A292" t="s">
        <v>1108</v>
      </c>
      <c r="B292" t="s">
        <v>34</v>
      </c>
      <c r="C292" t="s">
        <v>287</v>
      </c>
      <c r="D292">
        <v>457</v>
      </c>
      <c r="E292">
        <v>2465.75</v>
      </c>
      <c r="F292">
        <v>24</v>
      </c>
      <c r="G292">
        <v>236.5</v>
      </c>
    </row>
    <row r="293" spans="1:11" x14ac:dyDescent="0.25">
      <c r="A293" t="s">
        <v>1108</v>
      </c>
      <c r="B293" t="s">
        <v>243</v>
      </c>
      <c r="C293" t="s">
        <v>288</v>
      </c>
      <c r="D293">
        <v>595</v>
      </c>
      <c r="E293">
        <v>3046.75</v>
      </c>
      <c r="F293">
        <v>53</v>
      </c>
      <c r="G293">
        <v>553.5</v>
      </c>
      <c r="H293">
        <v>1</v>
      </c>
      <c r="I293">
        <v>30.25</v>
      </c>
      <c r="J293">
        <v>1</v>
      </c>
    </row>
    <row r="294" spans="1:11" x14ac:dyDescent="0.25">
      <c r="A294" t="s">
        <v>1108</v>
      </c>
      <c r="B294" t="s">
        <v>35</v>
      </c>
      <c r="C294" t="s">
        <v>266</v>
      </c>
      <c r="D294">
        <v>24</v>
      </c>
      <c r="E294">
        <v>154.75</v>
      </c>
      <c r="F294">
        <v>1</v>
      </c>
      <c r="G294">
        <v>4.75</v>
      </c>
    </row>
    <row r="295" spans="1:11" x14ac:dyDescent="0.25">
      <c r="A295" t="s">
        <v>1108</v>
      </c>
      <c r="B295" t="s">
        <v>36</v>
      </c>
      <c r="C295" t="s">
        <v>267</v>
      </c>
      <c r="D295">
        <v>387</v>
      </c>
      <c r="E295">
        <v>2392.25</v>
      </c>
      <c r="F295">
        <v>2</v>
      </c>
      <c r="G295">
        <v>24.75</v>
      </c>
      <c r="J295">
        <v>2</v>
      </c>
      <c r="K295">
        <v>7.25</v>
      </c>
    </row>
    <row r="296" spans="1:11" x14ac:dyDescent="0.25">
      <c r="A296" t="s">
        <v>1108</v>
      </c>
      <c r="B296" t="s">
        <v>37</v>
      </c>
      <c r="C296" t="s">
        <v>293</v>
      </c>
      <c r="D296">
        <v>320</v>
      </c>
      <c r="E296">
        <v>1517</v>
      </c>
      <c r="F296">
        <v>8</v>
      </c>
      <c r="G296">
        <v>49.5</v>
      </c>
    </row>
    <row r="297" spans="1:11" x14ac:dyDescent="0.25">
      <c r="A297" t="s">
        <v>1108</v>
      </c>
      <c r="B297" t="s">
        <v>1210</v>
      </c>
      <c r="C297" t="s">
        <v>268</v>
      </c>
      <c r="D297">
        <v>173</v>
      </c>
      <c r="E297">
        <v>738.5</v>
      </c>
      <c r="F297">
        <v>10</v>
      </c>
      <c r="G297">
        <v>84</v>
      </c>
      <c r="J297">
        <v>1</v>
      </c>
      <c r="K297">
        <v>57.25</v>
      </c>
    </row>
    <row r="298" spans="1:11" x14ac:dyDescent="0.25">
      <c r="A298" t="s">
        <v>1108</v>
      </c>
      <c r="B298" t="s">
        <v>39</v>
      </c>
      <c r="C298" t="s">
        <v>295</v>
      </c>
      <c r="D298">
        <v>56</v>
      </c>
      <c r="E298">
        <v>313.75</v>
      </c>
      <c r="F298">
        <v>7</v>
      </c>
      <c r="G298">
        <v>49.5</v>
      </c>
    </row>
    <row r="299" spans="1:11" x14ac:dyDescent="0.25">
      <c r="A299" t="s">
        <v>1108</v>
      </c>
      <c r="B299" t="s">
        <v>40</v>
      </c>
      <c r="C299" t="s">
        <v>269</v>
      </c>
      <c r="D299">
        <v>110</v>
      </c>
      <c r="E299">
        <v>654.5</v>
      </c>
      <c r="F299">
        <v>7</v>
      </c>
      <c r="G299">
        <v>111.75</v>
      </c>
      <c r="H299">
        <v>1</v>
      </c>
      <c r="I299">
        <v>73.25</v>
      </c>
      <c r="J299">
        <v>3</v>
      </c>
      <c r="K299">
        <v>35</v>
      </c>
    </row>
    <row r="300" spans="1:11" x14ac:dyDescent="0.25">
      <c r="A300" t="s">
        <v>1108</v>
      </c>
      <c r="B300" t="s">
        <v>41</v>
      </c>
      <c r="C300" t="s">
        <v>270</v>
      </c>
      <c r="D300">
        <v>53</v>
      </c>
      <c r="E300">
        <v>261.5</v>
      </c>
      <c r="F300">
        <v>1</v>
      </c>
      <c r="G300">
        <v>5.5</v>
      </c>
    </row>
    <row r="301" spans="1:11" x14ac:dyDescent="0.25">
      <c r="A301" t="s">
        <v>1108</v>
      </c>
      <c r="B301" t="s">
        <v>42</v>
      </c>
      <c r="C301" t="s">
        <v>272</v>
      </c>
      <c r="D301">
        <v>121</v>
      </c>
      <c r="E301">
        <v>721.75</v>
      </c>
      <c r="F301">
        <v>1</v>
      </c>
      <c r="G301">
        <v>33</v>
      </c>
    </row>
    <row r="302" spans="1:11" x14ac:dyDescent="0.25">
      <c r="A302" t="s">
        <v>1108</v>
      </c>
      <c r="B302" t="s">
        <v>43</v>
      </c>
      <c r="C302" t="s">
        <v>388</v>
      </c>
      <c r="D302">
        <v>365</v>
      </c>
      <c r="E302">
        <v>2189</v>
      </c>
      <c r="F302">
        <v>11</v>
      </c>
      <c r="G302">
        <v>118.5</v>
      </c>
      <c r="J302">
        <v>1</v>
      </c>
      <c r="K302">
        <v>4</v>
      </c>
    </row>
    <row r="303" spans="1:11" x14ac:dyDescent="0.25">
      <c r="A303" t="s">
        <v>1108</v>
      </c>
      <c r="B303" t="s">
        <v>117</v>
      </c>
      <c r="C303" t="s">
        <v>296</v>
      </c>
      <c r="D303">
        <v>879</v>
      </c>
      <c r="E303">
        <v>4383.5</v>
      </c>
      <c r="F303">
        <v>35</v>
      </c>
      <c r="G303">
        <v>318.5</v>
      </c>
      <c r="H303">
        <v>1</v>
      </c>
      <c r="I303">
        <v>25</v>
      </c>
      <c r="J303">
        <v>1</v>
      </c>
    </row>
    <row r="304" spans="1:11" x14ac:dyDescent="0.25">
      <c r="A304" t="s">
        <v>1108</v>
      </c>
      <c r="B304" t="s">
        <v>44</v>
      </c>
      <c r="C304" t="s">
        <v>273</v>
      </c>
      <c r="D304">
        <v>348</v>
      </c>
      <c r="E304">
        <v>2388.75</v>
      </c>
      <c r="F304">
        <v>14</v>
      </c>
      <c r="G304">
        <v>500.25</v>
      </c>
      <c r="J304">
        <v>2</v>
      </c>
      <c r="K304">
        <v>108.75</v>
      </c>
    </row>
    <row r="305" spans="1:11" x14ac:dyDescent="0.25">
      <c r="A305" t="s">
        <v>1108</v>
      </c>
      <c r="B305" t="s">
        <v>45</v>
      </c>
      <c r="C305" t="s">
        <v>274</v>
      </c>
      <c r="D305">
        <v>88</v>
      </c>
      <c r="E305">
        <v>492</v>
      </c>
      <c r="F305">
        <v>3</v>
      </c>
      <c r="G305">
        <v>41.5</v>
      </c>
    </row>
    <row r="306" spans="1:11" x14ac:dyDescent="0.25">
      <c r="A306" t="s">
        <v>1108</v>
      </c>
      <c r="B306" t="s">
        <v>1211</v>
      </c>
      <c r="C306" t="s">
        <v>275</v>
      </c>
      <c r="D306">
        <v>126</v>
      </c>
      <c r="E306">
        <v>829</v>
      </c>
      <c r="F306">
        <v>6</v>
      </c>
      <c r="G306">
        <v>40</v>
      </c>
    </row>
    <row r="307" spans="1:11" x14ac:dyDescent="0.25">
      <c r="A307" t="s">
        <v>1108</v>
      </c>
      <c r="B307" t="s">
        <v>1128</v>
      </c>
      <c r="C307" t="s">
        <v>276</v>
      </c>
      <c r="D307">
        <v>116</v>
      </c>
      <c r="E307">
        <v>902</v>
      </c>
      <c r="F307">
        <v>9</v>
      </c>
      <c r="G307">
        <v>198.5</v>
      </c>
    </row>
    <row r="308" spans="1:11" x14ac:dyDescent="0.25">
      <c r="A308" t="s">
        <v>1108</v>
      </c>
      <c r="B308" t="s">
        <v>48</v>
      </c>
      <c r="C308" t="s">
        <v>271</v>
      </c>
      <c r="D308">
        <v>33</v>
      </c>
      <c r="E308">
        <v>186.75</v>
      </c>
      <c r="F308">
        <v>1</v>
      </c>
      <c r="G308">
        <v>12.25</v>
      </c>
    </row>
    <row r="309" spans="1:11" x14ac:dyDescent="0.25">
      <c r="A309" t="s">
        <v>1108</v>
      </c>
      <c r="B309" t="s">
        <v>49</v>
      </c>
      <c r="C309" t="s">
        <v>277</v>
      </c>
      <c r="D309">
        <v>251</v>
      </c>
      <c r="E309">
        <v>1773.5</v>
      </c>
      <c r="F309">
        <v>8</v>
      </c>
      <c r="G309">
        <v>169.25</v>
      </c>
      <c r="H309">
        <v>1</v>
      </c>
      <c r="I309">
        <v>19.25</v>
      </c>
      <c r="J309">
        <v>1</v>
      </c>
      <c r="K309">
        <v>78</v>
      </c>
    </row>
    <row r="310" spans="1:11" x14ac:dyDescent="0.25">
      <c r="A310" t="s">
        <v>1108</v>
      </c>
      <c r="B310" t="s">
        <v>50</v>
      </c>
      <c r="C310" t="s">
        <v>294</v>
      </c>
      <c r="D310">
        <v>423</v>
      </c>
      <c r="E310">
        <v>1918.25</v>
      </c>
      <c r="F310">
        <v>8</v>
      </c>
      <c r="G310">
        <v>61.75</v>
      </c>
    </row>
    <row r="311" spans="1:11" x14ac:dyDescent="0.25">
      <c r="A311" t="s">
        <v>1108</v>
      </c>
      <c r="B311" t="s">
        <v>51</v>
      </c>
      <c r="C311" t="s">
        <v>278</v>
      </c>
      <c r="D311">
        <v>23</v>
      </c>
      <c r="E311">
        <v>129.75</v>
      </c>
      <c r="F311">
        <v>1</v>
      </c>
      <c r="G311">
        <v>11.75</v>
      </c>
    </row>
    <row r="312" spans="1:11" x14ac:dyDescent="0.25">
      <c r="A312" t="s">
        <v>1108</v>
      </c>
      <c r="B312" t="s">
        <v>52</v>
      </c>
      <c r="C312" t="s">
        <v>279</v>
      </c>
      <c r="D312">
        <v>226</v>
      </c>
      <c r="E312">
        <v>1168.25</v>
      </c>
      <c r="F312">
        <v>3</v>
      </c>
      <c r="G312">
        <v>20.5</v>
      </c>
    </row>
    <row r="313" spans="1:11" x14ac:dyDescent="0.25">
      <c r="A313" t="s">
        <v>1108</v>
      </c>
      <c r="B313" t="s">
        <v>53</v>
      </c>
      <c r="C313" t="s">
        <v>289</v>
      </c>
      <c r="D313">
        <v>194</v>
      </c>
      <c r="E313">
        <v>1054.5</v>
      </c>
      <c r="F313">
        <v>4</v>
      </c>
      <c r="G313">
        <v>52.75</v>
      </c>
    </row>
    <row r="314" spans="1:11" x14ac:dyDescent="0.25">
      <c r="A314" t="s">
        <v>1108</v>
      </c>
      <c r="B314" t="s">
        <v>54</v>
      </c>
      <c r="C314" t="s">
        <v>280</v>
      </c>
      <c r="D314">
        <v>146</v>
      </c>
      <c r="E314">
        <v>737.5</v>
      </c>
      <c r="F314">
        <v>14</v>
      </c>
      <c r="G314">
        <v>142.75</v>
      </c>
    </row>
    <row r="315" spans="1:11" x14ac:dyDescent="0.25">
      <c r="A315" t="s">
        <v>1108</v>
      </c>
      <c r="B315" t="s">
        <v>55</v>
      </c>
      <c r="C315" t="s">
        <v>281</v>
      </c>
      <c r="D315">
        <v>64</v>
      </c>
      <c r="E315">
        <v>426.25</v>
      </c>
      <c r="F315">
        <v>7</v>
      </c>
      <c r="G315">
        <v>73.5</v>
      </c>
    </row>
    <row r="316" spans="1:11" x14ac:dyDescent="0.25">
      <c r="A316" t="s">
        <v>1108</v>
      </c>
      <c r="B316" t="s">
        <v>56</v>
      </c>
      <c r="C316" t="s">
        <v>282</v>
      </c>
      <c r="D316">
        <v>243</v>
      </c>
      <c r="E316">
        <v>1766</v>
      </c>
      <c r="F316">
        <v>14</v>
      </c>
      <c r="G316">
        <v>268.5</v>
      </c>
    </row>
    <row r="317" spans="1:11" x14ac:dyDescent="0.25">
      <c r="A317" t="s">
        <v>1108</v>
      </c>
      <c r="B317" t="s">
        <v>57</v>
      </c>
      <c r="C317" t="s">
        <v>283</v>
      </c>
      <c r="D317">
        <v>365</v>
      </c>
      <c r="E317">
        <v>2863.75</v>
      </c>
      <c r="F317">
        <v>13</v>
      </c>
      <c r="G317">
        <v>181</v>
      </c>
    </row>
    <row r="318" spans="1:11" x14ac:dyDescent="0.25">
      <c r="A318" t="s">
        <v>1108</v>
      </c>
      <c r="B318" t="s">
        <v>58</v>
      </c>
      <c r="C318" t="s">
        <v>284</v>
      </c>
      <c r="D318">
        <v>92</v>
      </c>
      <c r="E318">
        <v>504.5</v>
      </c>
      <c r="F318">
        <v>3</v>
      </c>
      <c r="G318">
        <v>83.5</v>
      </c>
      <c r="H318">
        <v>1</v>
      </c>
      <c r="I318">
        <v>67</v>
      </c>
    </row>
    <row r="319" spans="1:11" x14ac:dyDescent="0.25">
      <c r="A319" t="s">
        <v>1108</v>
      </c>
      <c r="B319" t="s">
        <v>59</v>
      </c>
      <c r="C319" t="s">
        <v>290</v>
      </c>
      <c r="D319">
        <v>122</v>
      </c>
      <c r="E319">
        <v>571.25</v>
      </c>
      <c r="F319">
        <v>7</v>
      </c>
      <c r="G319">
        <v>68.5</v>
      </c>
    </row>
    <row r="320" spans="1:11" x14ac:dyDescent="0.25">
      <c r="A320" t="s">
        <v>1108</v>
      </c>
      <c r="B320" t="s">
        <v>60</v>
      </c>
      <c r="C320" t="s">
        <v>291</v>
      </c>
      <c r="D320">
        <v>195</v>
      </c>
      <c r="E320">
        <v>974.5</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35">
    <tabColor theme="3" tint="0.39997558519241921"/>
    <pageSetUpPr fitToPage="1"/>
  </sheetPr>
  <dimension ref="A1:O50"/>
  <sheetViews>
    <sheetView showGridLines="0" zoomScaleNormal="100" workbookViewId="0">
      <pane ySplit="2" topLeftCell="A3" activePane="bottomLeft" state="frozen"/>
      <selection pane="bottomLeft"/>
    </sheetView>
  </sheetViews>
  <sheetFormatPr defaultRowHeight="15" x14ac:dyDescent="0.25"/>
  <cols>
    <col min="1" max="1" width="16.5703125" customWidth="1"/>
    <col min="2" max="2" width="23.28515625" customWidth="1"/>
    <col min="3" max="3" width="11.5703125" customWidth="1"/>
    <col min="4" max="4" width="10.85546875" customWidth="1"/>
    <col min="5" max="6" width="11.5703125" customWidth="1"/>
    <col min="7" max="10" width="9.7109375" customWidth="1"/>
    <col min="11" max="11" width="10.28515625" customWidth="1"/>
    <col min="12" max="12" width="9.7109375" customWidth="1"/>
    <col min="13" max="13" width="11.28515625" bestFit="1" customWidth="1"/>
    <col min="14" max="14" width="14.28515625" customWidth="1"/>
    <col min="15" max="15" width="13.5703125" customWidth="1"/>
  </cols>
  <sheetData>
    <row r="1" spans="1:15" ht="15.75" x14ac:dyDescent="0.25">
      <c r="A1" s="522" t="s">
        <v>560</v>
      </c>
    </row>
    <row r="2" spans="1:15" x14ac:dyDescent="0.25">
      <c r="A2" s="507" t="s">
        <v>511</v>
      </c>
    </row>
    <row r="3" spans="1:15" x14ac:dyDescent="0.25">
      <c r="A3" s="25"/>
    </row>
    <row r="4" spans="1:15" ht="15.75" customHeight="1" x14ac:dyDescent="0.25">
      <c r="A4" s="531" t="s">
        <v>572</v>
      </c>
      <c r="B4" s="531"/>
      <c r="C4" s="531"/>
      <c r="D4" s="531"/>
      <c r="E4" s="531"/>
      <c r="F4" s="531"/>
      <c r="G4" s="531"/>
      <c r="H4" s="531"/>
      <c r="I4" s="531"/>
      <c r="J4" s="531"/>
      <c r="K4" s="531"/>
    </row>
    <row r="5" spans="1:15" ht="15.75" x14ac:dyDescent="0.25">
      <c r="A5" t="s">
        <v>328</v>
      </c>
      <c r="B5" t="s">
        <v>715</v>
      </c>
      <c r="C5" s="508"/>
      <c r="D5" s="508"/>
      <c r="E5" s="508"/>
      <c r="F5" s="508"/>
      <c r="G5" s="508"/>
      <c r="H5" s="508"/>
      <c r="I5" s="508"/>
      <c r="J5" s="508"/>
      <c r="K5" s="508"/>
    </row>
    <row r="6" spans="1:15" ht="15.75" x14ac:dyDescent="0.25">
      <c r="A6" t="s">
        <v>329</v>
      </c>
      <c r="B6" t="s">
        <v>331</v>
      </c>
      <c r="C6" s="508"/>
      <c r="D6" s="508"/>
      <c r="E6" s="508"/>
      <c r="F6" s="508"/>
      <c r="G6" s="508"/>
      <c r="H6" s="508"/>
      <c r="I6" s="508"/>
      <c r="J6" s="508"/>
      <c r="K6" s="508"/>
    </row>
    <row r="7" spans="1:15" ht="15.75" x14ac:dyDescent="0.25">
      <c r="A7" t="s">
        <v>330</v>
      </c>
      <c r="B7" t="s">
        <v>332</v>
      </c>
      <c r="C7" s="508"/>
      <c r="D7" s="508"/>
      <c r="E7" s="508"/>
      <c r="F7" s="508"/>
      <c r="G7" s="508"/>
      <c r="H7" s="508"/>
      <c r="I7" s="508"/>
      <c r="J7" s="508"/>
      <c r="K7" s="508"/>
    </row>
    <row r="8" spans="1:15" ht="15.75" x14ac:dyDescent="0.25">
      <c r="C8" s="508"/>
      <c r="D8" s="508"/>
      <c r="E8" s="508"/>
      <c r="F8" s="508"/>
      <c r="G8" s="508"/>
      <c r="H8" s="508"/>
      <c r="I8" s="508"/>
      <c r="J8" s="508"/>
      <c r="K8" s="508"/>
    </row>
    <row r="9" spans="1:15" x14ac:dyDescent="0.25">
      <c r="A9" s="317" t="s">
        <v>1</v>
      </c>
      <c r="B9" s="317" t="str">
        <f>auditsoutcomeLApivot!B1</f>
        <v>2023-24</v>
      </c>
    </row>
    <row r="10" spans="1:15" ht="30.75" customHeight="1" x14ac:dyDescent="0.25">
      <c r="B10" s="12"/>
      <c r="C10" s="1041" t="s">
        <v>565</v>
      </c>
      <c r="D10" s="1041"/>
      <c r="E10" s="1041" t="s">
        <v>566</v>
      </c>
      <c r="F10" s="1041"/>
      <c r="G10" s="1041" t="s">
        <v>152</v>
      </c>
      <c r="H10" s="1041"/>
      <c r="I10" s="1041" t="s">
        <v>153</v>
      </c>
      <c r="J10" s="1041"/>
      <c r="K10" s="1041" t="s">
        <v>154</v>
      </c>
      <c r="L10" s="1041"/>
      <c r="M10" s="12"/>
      <c r="N10" s="12"/>
      <c r="O10" s="12"/>
    </row>
    <row r="11" spans="1:15" ht="39" x14ac:dyDescent="0.25">
      <c r="A11" s="534" t="s">
        <v>458</v>
      </c>
      <c r="B11" s="242" t="s">
        <v>116</v>
      </c>
      <c r="C11" s="616" t="s">
        <v>6</v>
      </c>
      <c r="D11" s="616" t="s">
        <v>156</v>
      </c>
      <c r="E11" s="616" t="s">
        <v>6</v>
      </c>
      <c r="F11" s="616" t="s">
        <v>156</v>
      </c>
      <c r="G11" s="617" t="s">
        <v>152</v>
      </c>
      <c r="H11" s="209" t="s">
        <v>161</v>
      </c>
      <c r="I11" s="616" t="s">
        <v>6</v>
      </c>
      <c r="J11" s="616" t="s">
        <v>156</v>
      </c>
      <c r="K11" s="616" t="s">
        <v>6</v>
      </c>
      <c r="L11" s="618" t="s">
        <v>156</v>
      </c>
      <c r="M11" s="558" t="s">
        <v>567</v>
      </c>
      <c r="N11" s="326" t="s">
        <v>565</v>
      </c>
      <c r="O11" s="559" t="s">
        <v>566</v>
      </c>
    </row>
    <row r="12" spans="1:15" ht="16.5" customHeight="1" x14ac:dyDescent="0.25">
      <c r="A12" s="396" t="s">
        <v>285</v>
      </c>
      <c r="B12" s="548" t="s">
        <v>31</v>
      </c>
      <c r="C12" s="283">
        <f>auditsoutcomeLApivot!B4</f>
        <v>343</v>
      </c>
      <c r="D12" s="283">
        <f>auditsoutcomeLApivot!C4</f>
        <v>2507.25</v>
      </c>
      <c r="E12" s="283">
        <f>auditsoutcomeLApivot!D4</f>
        <v>5</v>
      </c>
      <c r="F12" s="283">
        <f>auditsoutcomeLApivot!E4</f>
        <v>108.25</v>
      </c>
      <c r="G12" s="284">
        <f>E12+C12</f>
        <v>348</v>
      </c>
      <c r="H12" s="284">
        <f>F12+D12</f>
        <v>2615.5</v>
      </c>
      <c r="I12" s="50">
        <f>auditsoutcomeLApivot!F4</f>
        <v>0</v>
      </c>
      <c r="J12" s="50">
        <f>auditsoutcomeLApivot!G4</f>
        <v>0</v>
      </c>
      <c r="K12" s="50">
        <f>auditsoutcomeLApivot!H4</f>
        <v>0</v>
      </c>
      <c r="L12" s="490">
        <f>auditsoutcomeLApivot!I4</f>
        <v>0</v>
      </c>
      <c r="M12" s="786">
        <f>IFERROR(C12/G12*100, "")</f>
        <v>98.563218390804593</v>
      </c>
      <c r="N12" s="782">
        <f>IFERROR(IF($A$10="2019-20", "", D12/C12), "-")</f>
        <v>7.3097667638483967</v>
      </c>
      <c r="O12" s="782">
        <f>IFERROR(IF($A$10="2019-20", "", F12/E12), "-")</f>
        <v>21.65</v>
      </c>
    </row>
    <row r="13" spans="1:15" x14ac:dyDescent="0.25">
      <c r="A13" s="396" t="s">
        <v>286</v>
      </c>
      <c r="B13" s="548" t="s">
        <v>32</v>
      </c>
      <c r="C13" s="283">
        <f>auditsoutcomeLApivot!B5</f>
        <v>323</v>
      </c>
      <c r="D13" s="283">
        <f>auditsoutcomeLApivot!C5</f>
        <v>2267</v>
      </c>
      <c r="E13" s="283">
        <f>auditsoutcomeLApivot!D5</f>
        <v>10</v>
      </c>
      <c r="F13" s="283">
        <f>auditsoutcomeLApivot!E5</f>
        <v>183</v>
      </c>
      <c r="G13" s="284">
        <f t="shared" ref="G13:G43" si="0">E13+C13</f>
        <v>333</v>
      </c>
      <c r="H13" s="284">
        <f t="shared" ref="H13:H43" si="1">F13+D13</f>
        <v>2450</v>
      </c>
      <c r="I13" s="50">
        <f>auditsoutcomeLApivot!F5</f>
        <v>0</v>
      </c>
      <c r="J13" s="50">
        <f>auditsoutcomeLApivot!G5</f>
        <v>0</v>
      </c>
      <c r="K13" s="50">
        <f>auditsoutcomeLApivot!H5</f>
        <v>0</v>
      </c>
      <c r="L13" s="50">
        <f>auditsoutcomeLApivot!I5</f>
        <v>0</v>
      </c>
      <c r="M13" s="787">
        <f t="shared" ref="M13:M43" si="2">IFERROR(C13/G13*100, "")</f>
        <v>96.996996996996998</v>
      </c>
      <c r="N13" s="782">
        <f t="shared" ref="N13:N44" si="3">IFERROR(IF($A$10="2019-20", "", D13/C13), "-")</f>
        <v>7.0185758513931891</v>
      </c>
      <c r="O13" s="782">
        <f t="shared" ref="O13:O44" si="4">IFERROR(IF($A$10="2019-20", "", F13/E13), "-")</f>
        <v>18.3</v>
      </c>
    </row>
    <row r="14" spans="1:15" x14ac:dyDescent="0.25">
      <c r="A14" s="396" t="s">
        <v>292</v>
      </c>
      <c r="B14" s="548" t="s">
        <v>33</v>
      </c>
      <c r="C14" s="283">
        <f>auditsoutcomeLApivot!B6</f>
        <v>101</v>
      </c>
      <c r="D14" s="283">
        <f>auditsoutcomeLApivot!C6</f>
        <v>520.5</v>
      </c>
      <c r="E14" s="283">
        <f>auditsoutcomeLApivot!D6</f>
        <v>2</v>
      </c>
      <c r="F14" s="283">
        <f>auditsoutcomeLApivot!E6</f>
        <v>23.75</v>
      </c>
      <c r="G14" s="284">
        <f t="shared" si="0"/>
        <v>103</v>
      </c>
      <c r="H14" s="284">
        <f t="shared" si="1"/>
        <v>544.25</v>
      </c>
      <c r="I14" s="50">
        <f>auditsoutcomeLApivot!F6</f>
        <v>0</v>
      </c>
      <c r="J14" s="50">
        <f>auditsoutcomeLApivot!G6</f>
        <v>0</v>
      </c>
      <c r="K14" s="50">
        <f>auditsoutcomeLApivot!H6</f>
        <v>0</v>
      </c>
      <c r="L14" s="50">
        <f>auditsoutcomeLApivot!I6</f>
        <v>0</v>
      </c>
      <c r="M14" s="787">
        <f t="shared" si="2"/>
        <v>98.05825242718447</v>
      </c>
      <c r="N14" s="782">
        <f t="shared" si="3"/>
        <v>5.1534653465346532</v>
      </c>
      <c r="O14" s="782">
        <f t="shared" si="4"/>
        <v>11.875</v>
      </c>
    </row>
    <row r="15" spans="1:15" x14ac:dyDescent="0.25">
      <c r="A15" s="396" t="s">
        <v>287</v>
      </c>
      <c r="B15" s="548" t="s">
        <v>34</v>
      </c>
      <c r="C15" s="283">
        <f>auditsoutcomeLApivot!B7</f>
        <v>457</v>
      </c>
      <c r="D15" s="283">
        <f>auditsoutcomeLApivot!C7</f>
        <v>2465.75</v>
      </c>
      <c r="E15" s="283">
        <f>auditsoutcomeLApivot!D7</f>
        <v>24</v>
      </c>
      <c r="F15" s="283">
        <f>auditsoutcomeLApivot!E7</f>
        <v>236.5</v>
      </c>
      <c r="G15" s="284">
        <f t="shared" si="0"/>
        <v>481</v>
      </c>
      <c r="H15" s="284">
        <f t="shared" si="1"/>
        <v>2702.25</v>
      </c>
      <c r="I15" s="50">
        <f>auditsoutcomeLApivot!F7</f>
        <v>0</v>
      </c>
      <c r="J15" s="50">
        <f>auditsoutcomeLApivot!G7</f>
        <v>0</v>
      </c>
      <c r="K15" s="50">
        <f>auditsoutcomeLApivot!H7</f>
        <v>0</v>
      </c>
      <c r="L15" s="50">
        <f>auditsoutcomeLApivot!I7</f>
        <v>0</v>
      </c>
      <c r="M15" s="787">
        <f t="shared" si="2"/>
        <v>95.010395010395015</v>
      </c>
      <c r="N15" s="782">
        <f t="shared" si="3"/>
        <v>5.3955142231947484</v>
      </c>
      <c r="O15" s="782">
        <f t="shared" si="4"/>
        <v>9.8541666666666661</v>
      </c>
    </row>
    <row r="16" spans="1:15" x14ac:dyDescent="0.25">
      <c r="A16" s="396" t="s">
        <v>288</v>
      </c>
      <c r="B16" s="548" t="s">
        <v>243</v>
      </c>
      <c r="C16" s="283">
        <f>auditsoutcomeLApivot!B8</f>
        <v>595</v>
      </c>
      <c r="D16" s="283">
        <f>auditsoutcomeLApivot!C8</f>
        <v>3046.75</v>
      </c>
      <c r="E16" s="283">
        <f>auditsoutcomeLApivot!D8</f>
        <v>53</v>
      </c>
      <c r="F16" s="283">
        <f>auditsoutcomeLApivot!E8</f>
        <v>553.5</v>
      </c>
      <c r="G16" s="284">
        <f t="shared" si="0"/>
        <v>648</v>
      </c>
      <c r="H16" s="284">
        <f t="shared" si="1"/>
        <v>3600.25</v>
      </c>
      <c r="I16" s="50">
        <f>auditsoutcomeLApivot!F8</f>
        <v>1</v>
      </c>
      <c r="J16" s="50">
        <f>auditsoutcomeLApivot!G8</f>
        <v>30.25</v>
      </c>
      <c r="K16" s="50">
        <f>auditsoutcomeLApivot!H8</f>
        <v>1</v>
      </c>
      <c r="L16" s="50">
        <f>auditsoutcomeLApivot!I8</f>
        <v>0</v>
      </c>
      <c r="M16" s="787">
        <f t="shared" si="2"/>
        <v>91.820987654320987</v>
      </c>
      <c r="N16" s="782">
        <f t="shared" si="3"/>
        <v>5.1205882352941172</v>
      </c>
      <c r="O16" s="782">
        <f t="shared" si="4"/>
        <v>10.443396226415095</v>
      </c>
    </row>
    <row r="17" spans="1:15" x14ac:dyDescent="0.25">
      <c r="A17" s="396" t="s">
        <v>266</v>
      </c>
      <c r="B17" s="548" t="s">
        <v>35</v>
      </c>
      <c r="C17" s="283">
        <f>auditsoutcomeLApivot!B9</f>
        <v>24</v>
      </c>
      <c r="D17" s="283">
        <f>auditsoutcomeLApivot!C9</f>
        <v>154.75</v>
      </c>
      <c r="E17" s="283">
        <f>auditsoutcomeLApivot!D9</f>
        <v>1</v>
      </c>
      <c r="F17" s="283">
        <f>auditsoutcomeLApivot!E9</f>
        <v>4.75</v>
      </c>
      <c r="G17" s="284">
        <f t="shared" si="0"/>
        <v>25</v>
      </c>
      <c r="H17" s="284">
        <f t="shared" si="1"/>
        <v>159.5</v>
      </c>
      <c r="I17" s="50">
        <f>auditsoutcomeLApivot!F9</f>
        <v>0</v>
      </c>
      <c r="J17" s="50">
        <f>auditsoutcomeLApivot!G9</f>
        <v>0</v>
      </c>
      <c r="K17" s="50">
        <f>auditsoutcomeLApivot!H9</f>
        <v>0</v>
      </c>
      <c r="L17" s="50">
        <f>auditsoutcomeLApivot!I9</f>
        <v>0</v>
      </c>
      <c r="M17" s="787">
        <f t="shared" si="2"/>
        <v>96</v>
      </c>
      <c r="N17" s="782">
        <f t="shared" si="3"/>
        <v>6.447916666666667</v>
      </c>
      <c r="O17" s="782">
        <f t="shared" si="4"/>
        <v>4.75</v>
      </c>
    </row>
    <row r="18" spans="1:15" x14ac:dyDescent="0.25">
      <c r="A18" s="396" t="s">
        <v>267</v>
      </c>
      <c r="B18" s="548" t="s">
        <v>36</v>
      </c>
      <c r="C18" s="283">
        <f>auditsoutcomeLApivot!B10</f>
        <v>387</v>
      </c>
      <c r="D18" s="283">
        <f>auditsoutcomeLApivot!C10</f>
        <v>2392.25</v>
      </c>
      <c r="E18" s="283">
        <f>auditsoutcomeLApivot!D10</f>
        <v>2</v>
      </c>
      <c r="F18" s="283">
        <f>auditsoutcomeLApivot!E10</f>
        <v>24.75</v>
      </c>
      <c r="G18" s="284">
        <f t="shared" si="0"/>
        <v>389</v>
      </c>
      <c r="H18" s="284">
        <f t="shared" si="1"/>
        <v>2417</v>
      </c>
      <c r="I18" s="50">
        <f>auditsoutcomeLApivot!F10</f>
        <v>0</v>
      </c>
      <c r="J18" s="50">
        <f>auditsoutcomeLApivot!G10</f>
        <v>0</v>
      </c>
      <c r="K18" s="50">
        <f>auditsoutcomeLApivot!H10</f>
        <v>2</v>
      </c>
      <c r="L18" s="50">
        <f>auditsoutcomeLApivot!I10</f>
        <v>7.25</v>
      </c>
      <c r="M18" s="787">
        <f t="shared" si="2"/>
        <v>99.485861182519272</v>
      </c>
      <c r="N18" s="782">
        <f t="shared" si="3"/>
        <v>6.1815245478036172</v>
      </c>
      <c r="O18" s="782">
        <f t="shared" si="4"/>
        <v>12.375</v>
      </c>
    </row>
    <row r="19" spans="1:15" x14ac:dyDescent="0.25">
      <c r="A19" s="396" t="s">
        <v>293</v>
      </c>
      <c r="B19" s="548" t="s">
        <v>37</v>
      </c>
      <c r="C19" s="283">
        <f>auditsoutcomeLApivot!B11</f>
        <v>320</v>
      </c>
      <c r="D19" s="283">
        <f>auditsoutcomeLApivot!C11</f>
        <v>1517</v>
      </c>
      <c r="E19" s="283">
        <f>auditsoutcomeLApivot!D11</f>
        <v>8</v>
      </c>
      <c r="F19" s="283">
        <f>auditsoutcomeLApivot!E11</f>
        <v>49.5</v>
      </c>
      <c r="G19" s="284">
        <f t="shared" si="0"/>
        <v>328</v>
      </c>
      <c r="H19" s="284">
        <f t="shared" si="1"/>
        <v>1566.5</v>
      </c>
      <c r="I19" s="50">
        <f>auditsoutcomeLApivot!F11</f>
        <v>0</v>
      </c>
      <c r="J19" s="50">
        <f>auditsoutcomeLApivot!G11</f>
        <v>0</v>
      </c>
      <c r="K19" s="50">
        <f>auditsoutcomeLApivot!H11</f>
        <v>0</v>
      </c>
      <c r="L19" s="50">
        <f>auditsoutcomeLApivot!I11</f>
        <v>0</v>
      </c>
      <c r="M19" s="787">
        <f t="shared" si="2"/>
        <v>97.560975609756099</v>
      </c>
      <c r="N19" s="782">
        <f t="shared" si="3"/>
        <v>4.7406249999999996</v>
      </c>
      <c r="O19" s="782">
        <f t="shared" si="4"/>
        <v>6.1875</v>
      </c>
    </row>
    <row r="20" spans="1:15" x14ac:dyDescent="0.25">
      <c r="A20" s="396" t="s">
        <v>268</v>
      </c>
      <c r="B20" s="548" t="s">
        <v>38</v>
      </c>
      <c r="C20" s="283">
        <f>auditsoutcomeLApivot!B12</f>
        <v>173</v>
      </c>
      <c r="D20" s="283">
        <f>auditsoutcomeLApivot!C12</f>
        <v>738.5</v>
      </c>
      <c r="E20" s="283">
        <f>auditsoutcomeLApivot!D12</f>
        <v>10</v>
      </c>
      <c r="F20" s="283">
        <f>auditsoutcomeLApivot!E12</f>
        <v>84</v>
      </c>
      <c r="G20" s="284">
        <f t="shared" si="0"/>
        <v>183</v>
      </c>
      <c r="H20" s="284">
        <f t="shared" si="1"/>
        <v>822.5</v>
      </c>
      <c r="I20" s="50">
        <f>auditsoutcomeLApivot!F12</f>
        <v>0</v>
      </c>
      <c r="J20" s="50">
        <f>auditsoutcomeLApivot!G12</f>
        <v>0</v>
      </c>
      <c r="K20" s="50">
        <f>auditsoutcomeLApivot!H12</f>
        <v>1</v>
      </c>
      <c r="L20" s="50">
        <f>auditsoutcomeLApivot!I12</f>
        <v>57.25</v>
      </c>
      <c r="M20" s="787">
        <f t="shared" si="2"/>
        <v>94.535519125683066</v>
      </c>
      <c r="N20" s="782">
        <f t="shared" si="3"/>
        <v>4.2687861271676297</v>
      </c>
      <c r="O20" s="782">
        <f t="shared" si="4"/>
        <v>8.4</v>
      </c>
    </row>
    <row r="21" spans="1:15" x14ac:dyDescent="0.25">
      <c r="A21" s="396" t="s">
        <v>295</v>
      </c>
      <c r="B21" s="548" t="s">
        <v>39</v>
      </c>
      <c r="C21" s="283">
        <f>auditsoutcomeLApivot!B13</f>
        <v>56</v>
      </c>
      <c r="D21" s="283">
        <f>auditsoutcomeLApivot!C13</f>
        <v>313.75</v>
      </c>
      <c r="E21" s="283">
        <f>auditsoutcomeLApivot!D13</f>
        <v>7</v>
      </c>
      <c r="F21" s="283">
        <f>auditsoutcomeLApivot!E13</f>
        <v>49.5</v>
      </c>
      <c r="G21" s="284">
        <f t="shared" si="0"/>
        <v>63</v>
      </c>
      <c r="H21" s="284">
        <f t="shared" si="1"/>
        <v>363.25</v>
      </c>
      <c r="I21" s="50">
        <f>auditsoutcomeLApivot!F13</f>
        <v>0</v>
      </c>
      <c r="J21" s="50">
        <f>auditsoutcomeLApivot!G13</f>
        <v>0</v>
      </c>
      <c r="K21" s="50">
        <f>auditsoutcomeLApivot!H13</f>
        <v>0</v>
      </c>
      <c r="L21" s="50">
        <f>auditsoutcomeLApivot!I13</f>
        <v>0</v>
      </c>
      <c r="M21" s="787">
        <f t="shared" si="2"/>
        <v>88.888888888888886</v>
      </c>
      <c r="N21" s="782">
        <f t="shared" si="3"/>
        <v>5.6026785714285712</v>
      </c>
      <c r="O21" s="782">
        <f t="shared" si="4"/>
        <v>7.0714285714285712</v>
      </c>
    </row>
    <row r="22" spans="1:15" x14ac:dyDescent="0.25">
      <c r="A22" s="396" t="s">
        <v>269</v>
      </c>
      <c r="B22" s="548" t="s">
        <v>40</v>
      </c>
      <c r="C22" s="283">
        <f>auditsoutcomeLApivot!B14</f>
        <v>110</v>
      </c>
      <c r="D22" s="283">
        <f>auditsoutcomeLApivot!C14</f>
        <v>654.5</v>
      </c>
      <c r="E22" s="283">
        <f>auditsoutcomeLApivot!D14</f>
        <v>7</v>
      </c>
      <c r="F22" s="283">
        <f>auditsoutcomeLApivot!E14</f>
        <v>111.75</v>
      </c>
      <c r="G22" s="284">
        <f t="shared" si="0"/>
        <v>117</v>
      </c>
      <c r="H22" s="284">
        <f t="shared" si="1"/>
        <v>766.25</v>
      </c>
      <c r="I22" s="50">
        <f>auditsoutcomeLApivot!F14</f>
        <v>1</v>
      </c>
      <c r="J22" s="50">
        <f>auditsoutcomeLApivot!G14</f>
        <v>73.25</v>
      </c>
      <c r="K22" s="50">
        <f>auditsoutcomeLApivot!H14</f>
        <v>3</v>
      </c>
      <c r="L22" s="50">
        <f>auditsoutcomeLApivot!I14</f>
        <v>35</v>
      </c>
      <c r="M22" s="787">
        <f t="shared" si="2"/>
        <v>94.01709401709401</v>
      </c>
      <c r="N22" s="782">
        <f t="shared" si="3"/>
        <v>5.95</v>
      </c>
      <c r="O22" s="782">
        <f t="shared" si="4"/>
        <v>15.964285714285714</v>
      </c>
    </row>
    <row r="23" spans="1:15" x14ac:dyDescent="0.25">
      <c r="A23" s="396" t="s">
        <v>270</v>
      </c>
      <c r="B23" s="548" t="s">
        <v>41</v>
      </c>
      <c r="C23" s="283">
        <f>auditsoutcomeLApivot!B15</f>
        <v>53</v>
      </c>
      <c r="D23" s="283">
        <f>auditsoutcomeLApivot!C15</f>
        <v>261.5</v>
      </c>
      <c r="E23" s="283">
        <f>auditsoutcomeLApivot!D15</f>
        <v>1</v>
      </c>
      <c r="F23" s="283">
        <f>auditsoutcomeLApivot!E15</f>
        <v>5.5</v>
      </c>
      <c r="G23" s="284">
        <f t="shared" si="0"/>
        <v>54</v>
      </c>
      <c r="H23" s="284">
        <f t="shared" si="1"/>
        <v>267</v>
      </c>
      <c r="I23" s="50">
        <f>auditsoutcomeLApivot!F15</f>
        <v>0</v>
      </c>
      <c r="J23" s="50">
        <f>auditsoutcomeLApivot!G15</f>
        <v>0</v>
      </c>
      <c r="K23" s="50">
        <f>auditsoutcomeLApivot!H15</f>
        <v>0</v>
      </c>
      <c r="L23" s="50">
        <f>auditsoutcomeLApivot!I15</f>
        <v>0</v>
      </c>
      <c r="M23" s="787">
        <f t="shared" si="2"/>
        <v>98.148148148148152</v>
      </c>
      <c r="N23" s="782">
        <f t="shared" si="3"/>
        <v>4.9339622641509431</v>
      </c>
      <c r="O23" s="782">
        <f t="shared" si="4"/>
        <v>5.5</v>
      </c>
    </row>
    <row r="24" spans="1:15" x14ac:dyDescent="0.25">
      <c r="A24" s="396" t="s">
        <v>272</v>
      </c>
      <c r="B24" s="548" t="s">
        <v>42</v>
      </c>
      <c r="C24" s="283">
        <f>auditsoutcomeLApivot!B16</f>
        <v>121</v>
      </c>
      <c r="D24" s="283">
        <f>auditsoutcomeLApivot!C16</f>
        <v>721.75</v>
      </c>
      <c r="E24" s="283">
        <f>auditsoutcomeLApivot!D16</f>
        <v>1</v>
      </c>
      <c r="F24" s="283">
        <f>auditsoutcomeLApivot!E16</f>
        <v>33</v>
      </c>
      <c r="G24" s="284">
        <f t="shared" si="0"/>
        <v>122</v>
      </c>
      <c r="H24" s="284">
        <f t="shared" si="1"/>
        <v>754.75</v>
      </c>
      <c r="I24" s="50">
        <f>auditsoutcomeLApivot!F16</f>
        <v>0</v>
      </c>
      <c r="J24" s="50">
        <f>auditsoutcomeLApivot!G16</f>
        <v>0</v>
      </c>
      <c r="K24" s="50">
        <f>auditsoutcomeLApivot!H16</f>
        <v>0</v>
      </c>
      <c r="L24" s="50">
        <f>auditsoutcomeLApivot!I16</f>
        <v>0</v>
      </c>
      <c r="M24" s="787">
        <f t="shared" si="2"/>
        <v>99.180327868852459</v>
      </c>
      <c r="N24" s="782">
        <f t="shared" si="3"/>
        <v>5.964876033057851</v>
      </c>
      <c r="O24" s="782">
        <f t="shared" si="4"/>
        <v>33</v>
      </c>
    </row>
    <row r="25" spans="1:15" x14ac:dyDescent="0.25">
      <c r="A25" s="396" t="s">
        <v>388</v>
      </c>
      <c r="B25" s="548" t="s">
        <v>43</v>
      </c>
      <c r="C25" s="283">
        <f>auditsoutcomeLApivot!B17</f>
        <v>365</v>
      </c>
      <c r="D25" s="283">
        <f>auditsoutcomeLApivot!C17</f>
        <v>2189</v>
      </c>
      <c r="E25" s="283">
        <f>auditsoutcomeLApivot!D17</f>
        <v>11</v>
      </c>
      <c r="F25" s="283">
        <f>auditsoutcomeLApivot!E17</f>
        <v>118.5</v>
      </c>
      <c r="G25" s="284">
        <f t="shared" si="0"/>
        <v>376</v>
      </c>
      <c r="H25" s="284">
        <f t="shared" si="1"/>
        <v>2307.5</v>
      </c>
      <c r="I25" s="50">
        <f>auditsoutcomeLApivot!F17</f>
        <v>0</v>
      </c>
      <c r="J25" s="50">
        <f>auditsoutcomeLApivot!G17</f>
        <v>0</v>
      </c>
      <c r="K25" s="50">
        <f>auditsoutcomeLApivot!H17</f>
        <v>1</v>
      </c>
      <c r="L25" s="50">
        <f>auditsoutcomeLApivot!I17</f>
        <v>4</v>
      </c>
      <c r="M25" s="787">
        <f t="shared" si="2"/>
        <v>97.074468085106375</v>
      </c>
      <c r="N25" s="782">
        <f t="shared" si="3"/>
        <v>5.9972602739726026</v>
      </c>
      <c r="O25" s="782">
        <f t="shared" si="4"/>
        <v>10.772727272727273</v>
      </c>
    </row>
    <row r="26" spans="1:15" x14ac:dyDescent="0.25">
      <c r="A26" s="396" t="s">
        <v>296</v>
      </c>
      <c r="B26" s="548" t="s">
        <v>117</v>
      </c>
      <c r="C26" s="283">
        <f>auditsoutcomeLApivot!B18</f>
        <v>879</v>
      </c>
      <c r="D26" s="283">
        <f>auditsoutcomeLApivot!C18</f>
        <v>4383.5</v>
      </c>
      <c r="E26" s="283">
        <f>auditsoutcomeLApivot!D18</f>
        <v>35</v>
      </c>
      <c r="F26" s="283">
        <f>auditsoutcomeLApivot!E18</f>
        <v>318.5</v>
      </c>
      <c r="G26" s="284">
        <f t="shared" si="0"/>
        <v>914</v>
      </c>
      <c r="H26" s="284">
        <f t="shared" si="1"/>
        <v>4702</v>
      </c>
      <c r="I26" s="50">
        <f>auditsoutcomeLApivot!F18</f>
        <v>1</v>
      </c>
      <c r="J26" s="50">
        <f>auditsoutcomeLApivot!G18</f>
        <v>25</v>
      </c>
      <c r="K26" s="50">
        <f>auditsoutcomeLApivot!H18</f>
        <v>1</v>
      </c>
      <c r="L26" s="50">
        <f>auditsoutcomeLApivot!I18</f>
        <v>0</v>
      </c>
      <c r="M26" s="787">
        <f t="shared" si="2"/>
        <v>96.170678336980302</v>
      </c>
      <c r="N26" s="782">
        <f t="shared" si="3"/>
        <v>4.986916951080774</v>
      </c>
      <c r="O26" s="782">
        <f t="shared" si="4"/>
        <v>9.1</v>
      </c>
    </row>
    <row r="27" spans="1:15" x14ac:dyDescent="0.25">
      <c r="A27" s="396" t="s">
        <v>273</v>
      </c>
      <c r="B27" s="548" t="s">
        <v>44</v>
      </c>
      <c r="C27" s="283">
        <f>auditsoutcomeLApivot!B19</f>
        <v>348</v>
      </c>
      <c r="D27" s="283">
        <f>auditsoutcomeLApivot!C19</f>
        <v>2388.75</v>
      </c>
      <c r="E27" s="283">
        <f>auditsoutcomeLApivot!D19</f>
        <v>14</v>
      </c>
      <c r="F27" s="283">
        <f>auditsoutcomeLApivot!E19</f>
        <v>500.25</v>
      </c>
      <c r="G27" s="284">
        <f t="shared" si="0"/>
        <v>362</v>
      </c>
      <c r="H27" s="284">
        <f t="shared" si="1"/>
        <v>2889</v>
      </c>
      <c r="I27" s="50">
        <f>auditsoutcomeLApivot!F19</f>
        <v>0</v>
      </c>
      <c r="J27" s="50">
        <f>auditsoutcomeLApivot!G19</f>
        <v>0</v>
      </c>
      <c r="K27" s="50">
        <f>auditsoutcomeLApivot!H19</f>
        <v>2</v>
      </c>
      <c r="L27" s="50">
        <f>auditsoutcomeLApivot!I19</f>
        <v>108.75</v>
      </c>
      <c r="M27" s="787">
        <f t="shared" si="2"/>
        <v>96.132596685082873</v>
      </c>
      <c r="N27" s="782">
        <f t="shared" si="3"/>
        <v>6.8642241379310347</v>
      </c>
      <c r="O27" s="782">
        <f t="shared" si="4"/>
        <v>35.732142857142854</v>
      </c>
    </row>
    <row r="28" spans="1:15" x14ac:dyDescent="0.25">
      <c r="A28" s="396" t="s">
        <v>274</v>
      </c>
      <c r="B28" s="548" t="s">
        <v>45</v>
      </c>
      <c r="C28" s="283">
        <f>auditsoutcomeLApivot!B20</f>
        <v>88</v>
      </c>
      <c r="D28" s="283">
        <f>auditsoutcomeLApivot!C20</f>
        <v>492</v>
      </c>
      <c r="E28" s="283">
        <f>auditsoutcomeLApivot!D20</f>
        <v>3</v>
      </c>
      <c r="F28" s="283">
        <f>auditsoutcomeLApivot!E20</f>
        <v>41.5</v>
      </c>
      <c r="G28" s="284">
        <f t="shared" si="0"/>
        <v>91</v>
      </c>
      <c r="H28" s="284">
        <f t="shared" si="1"/>
        <v>533.5</v>
      </c>
      <c r="I28" s="50">
        <f>auditsoutcomeLApivot!F20</f>
        <v>0</v>
      </c>
      <c r="J28" s="50">
        <f>auditsoutcomeLApivot!G20</f>
        <v>0</v>
      </c>
      <c r="K28" s="50">
        <f>auditsoutcomeLApivot!H20</f>
        <v>0</v>
      </c>
      <c r="L28" s="50">
        <f>auditsoutcomeLApivot!I20</f>
        <v>0</v>
      </c>
      <c r="M28" s="787">
        <f t="shared" si="2"/>
        <v>96.703296703296701</v>
      </c>
      <c r="N28" s="782">
        <f t="shared" si="3"/>
        <v>5.5909090909090908</v>
      </c>
      <c r="O28" s="782">
        <f t="shared" si="4"/>
        <v>13.833333333333334</v>
      </c>
    </row>
    <row r="29" spans="1:15" x14ac:dyDescent="0.25">
      <c r="A29" s="396" t="s">
        <v>275</v>
      </c>
      <c r="B29" s="548" t="s">
        <v>46</v>
      </c>
      <c r="C29" s="283">
        <f>auditsoutcomeLApivot!B21</f>
        <v>126</v>
      </c>
      <c r="D29" s="283">
        <f>auditsoutcomeLApivot!C21</f>
        <v>829</v>
      </c>
      <c r="E29" s="283">
        <f>auditsoutcomeLApivot!D21</f>
        <v>6</v>
      </c>
      <c r="F29" s="283">
        <f>auditsoutcomeLApivot!E21</f>
        <v>40</v>
      </c>
      <c r="G29" s="284">
        <f t="shared" si="0"/>
        <v>132</v>
      </c>
      <c r="H29" s="284">
        <f t="shared" si="1"/>
        <v>869</v>
      </c>
      <c r="I29" s="50">
        <f>auditsoutcomeLApivot!F21</f>
        <v>0</v>
      </c>
      <c r="J29" s="50">
        <f>auditsoutcomeLApivot!G21</f>
        <v>0</v>
      </c>
      <c r="K29" s="50">
        <f>auditsoutcomeLApivot!H21</f>
        <v>0</v>
      </c>
      <c r="L29" s="50">
        <f>auditsoutcomeLApivot!I21</f>
        <v>0</v>
      </c>
      <c r="M29" s="787">
        <f t="shared" si="2"/>
        <v>95.454545454545453</v>
      </c>
      <c r="N29" s="782">
        <f t="shared" si="3"/>
        <v>6.5793650793650791</v>
      </c>
      <c r="O29" s="782">
        <f t="shared" si="4"/>
        <v>6.666666666666667</v>
      </c>
    </row>
    <row r="30" spans="1:15" x14ac:dyDescent="0.25">
      <c r="A30" s="396" t="s">
        <v>276</v>
      </c>
      <c r="B30" s="548" t="s">
        <v>47</v>
      </c>
      <c r="C30" s="283">
        <f>auditsoutcomeLApivot!B22</f>
        <v>116</v>
      </c>
      <c r="D30" s="283">
        <f>auditsoutcomeLApivot!C22</f>
        <v>902</v>
      </c>
      <c r="E30" s="283">
        <f>auditsoutcomeLApivot!D22</f>
        <v>9</v>
      </c>
      <c r="F30" s="283">
        <f>auditsoutcomeLApivot!E22</f>
        <v>198.5</v>
      </c>
      <c r="G30" s="284">
        <f t="shared" si="0"/>
        <v>125</v>
      </c>
      <c r="H30" s="284">
        <f t="shared" si="1"/>
        <v>1100.5</v>
      </c>
      <c r="I30" s="50">
        <f>auditsoutcomeLApivot!F22</f>
        <v>0</v>
      </c>
      <c r="J30" s="50">
        <f>auditsoutcomeLApivot!G22</f>
        <v>0</v>
      </c>
      <c r="K30" s="50">
        <f>auditsoutcomeLApivot!H22</f>
        <v>0</v>
      </c>
      <c r="L30" s="50">
        <f>auditsoutcomeLApivot!I22</f>
        <v>0</v>
      </c>
      <c r="M30" s="787">
        <f t="shared" si="2"/>
        <v>92.800000000000011</v>
      </c>
      <c r="N30" s="782">
        <f t="shared" si="3"/>
        <v>7.7758620689655169</v>
      </c>
      <c r="O30" s="782">
        <f t="shared" si="4"/>
        <v>22.055555555555557</v>
      </c>
    </row>
    <row r="31" spans="1:15" x14ac:dyDescent="0.25">
      <c r="A31" s="396" t="s">
        <v>271</v>
      </c>
      <c r="B31" s="548" t="s">
        <v>48</v>
      </c>
      <c r="C31" s="283">
        <f>auditsoutcomeLApivot!B23</f>
        <v>33</v>
      </c>
      <c r="D31" s="283">
        <f>auditsoutcomeLApivot!C23</f>
        <v>186.75</v>
      </c>
      <c r="E31" s="283">
        <f>auditsoutcomeLApivot!D23</f>
        <v>1</v>
      </c>
      <c r="F31" s="283">
        <f>auditsoutcomeLApivot!E23</f>
        <v>12.25</v>
      </c>
      <c r="G31" s="284">
        <f t="shared" si="0"/>
        <v>34</v>
      </c>
      <c r="H31" s="284">
        <f t="shared" si="1"/>
        <v>199</v>
      </c>
      <c r="I31" s="50">
        <f>auditsoutcomeLApivot!F23</f>
        <v>0</v>
      </c>
      <c r="J31" s="50">
        <f>auditsoutcomeLApivot!G23</f>
        <v>0</v>
      </c>
      <c r="K31" s="50">
        <f>auditsoutcomeLApivot!H23</f>
        <v>0</v>
      </c>
      <c r="L31" s="50">
        <f>auditsoutcomeLApivot!I23</f>
        <v>0</v>
      </c>
      <c r="M31" s="787">
        <f t="shared" si="2"/>
        <v>97.058823529411768</v>
      </c>
      <c r="N31" s="782">
        <f t="shared" si="3"/>
        <v>5.6590909090909092</v>
      </c>
      <c r="O31" s="782">
        <f t="shared" si="4"/>
        <v>12.25</v>
      </c>
    </row>
    <row r="32" spans="1:15" x14ac:dyDescent="0.25">
      <c r="A32" s="396" t="s">
        <v>277</v>
      </c>
      <c r="B32" s="548" t="s">
        <v>49</v>
      </c>
      <c r="C32" s="283">
        <f>auditsoutcomeLApivot!B24</f>
        <v>251</v>
      </c>
      <c r="D32" s="283">
        <f>auditsoutcomeLApivot!C24</f>
        <v>1773.5</v>
      </c>
      <c r="E32" s="283">
        <f>auditsoutcomeLApivot!D24</f>
        <v>8</v>
      </c>
      <c r="F32" s="283">
        <f>auditsoutcomeLApivot!E24</f>
        <v>169.25</v>
      </c>
      <c r="G32" s="284">
        <f t="shared" si="0"/>
        <v>259</v>
      </c>
      <c r="H32" s="284">
        <f t="shared" si="1"/>
        <v>1942.75</v>
      </c>
      <c r="I32" s="50">
        <f>auditsoutcomeLApivot!F24</f>
        <v>1</v>
      </c>
      <c r="J32" s="50">
        <f>auditsoutcomeLApivot!G24</f>
        <v>19.25</v>
      </c>
      <c r="K32" s="50">
        <f>auditsoutcomeLApivot!H24</f>
        <v>1</v>
      </c>
      <c r="L32" s="50">
        <f>auditsoutcomeLApivot!I24</f>
        <v>78</v>
      </c>
      <c r="M32" s="787">
        <f t="shared" si="2"/>
        <v>96.91119691119691</v>
      </c>
      <c r="N32" s="782">
        <f t="shared" si="3"/>
        <v>7.0657370517928291</v>
      </c>
      <c r="O32" s="782">
        <f t="shared" si="4"/>
        <v>21.15625</v>
      </c>
    </row>
    <row r="33" spans="1:15" x14ac:dyDescent="0.25">
      <c r="A33" s="396" t="s">
        <v>294</v>
      </c>
      <c r="B33" s="548" t="s">
        <v>50</v>
      </c>
      <c r="C33" s="283">
        <f>auditsoutcomeLApivot!B25</f>
        <v>423</v>
      </c>
      <c r="D33" s="283">
        <f>auditsoutcomeLApivot!C25</f>
        <v>1918.25</v>
      </c>
      <c r="E33" s="283">
        <f>auditsoutcomeLApivot!D25</f>
        <v>8</v>
      </c>
      <c r="F33" s="283">
        <f>auditsoutcomeLApivot!E25</f>
        <v>61.75</v>
      </c>
      <c r="G33" s="284">
        <f t="shared" si="0"/>
        <v>431</v>
      </c>
      <c r="H33" s="284">
        <f t="shared" si="1"/>
        <v>1980</v>
      </c>
      <c r="I33" s="50">
        <f>auditsoutcomeLApivot!F25</f>
        <v>0</v>
      </c>
      <c r="J33" s="50">
        <f>auditsoutcomeLApivot!G25</f>
        <v>0</v>
      </c>
      <c r="K33" s="50">
        <f>auditsoutcomeLApivot!H25</f>
        <v>0</v>
      </c>
      <c r="L33" s="50">
        <f>auditsoutcomeLApivot!I25</f>
        <v>0</v>
      </c>
      <c r="M33" s="787">
        <f t="shared" si="2"/>
        <v>98.143851508120648</v>
      </c>
      <c r="N33" s="782">
        <f t="shared" si="3"/>
        <v>4.5348699763593379</v>
      </c>
      <c r="O33" s="782">
        <f t="shared" si="4"/>
        <v>7.71875</v>
      </c>
    </row>
    <row r="34" spans="1:15" x14ac:dyDescent="0.25">
      <c r="A34" s="396" t="s">
        <v>278</v>
      </c>
      <c r="B34" s="548" t="s">
        <v>51</v>
      </c>
      <c r="C34" s="283">
        <f>auditsoutcomeLApivot!B26</f>
        <v>23</v>
      </c>
      <c r="D34" s="283">
        <f>auditsoutcomeLApivot!C26</f>
        <v>129.75</v>
      </c>
      <c r="E34" s="283">
        <f>auditsoutcomeLApivot!D26</f>
        <v>1</v>
      </c>
      <c r="F34" s="283">
        <f>auditsoutcomeLApivot!E26</f>
        <v>11.75</v>
      </c>
      <c r="G34" s="284">
        <f t="shared" si="0"/>
        <v>24</v>
      </c>
      <c r="H34" s="284">
        <f t="shared" si="1"/>
        <v>141.5</v>
      </c>
      <c r="I34" s="50">
        <f>auditsoutcomeLApivot!F26</f>
        <v>0</v>
      </c>
      <c r="J34" s="50">
        <f>auditsoutcomeLApivot!G26</f>
        <v>0</v>
      </c>
      <c r="K34" s="50">
        <f>auditsoutcomeLApivot!H26</f>
        <v>0</v>
      </c>
      <c r="L34" s="50">
        <f>auditsoutcomeLApivot!I26</f>
        <v>0</v>
      </c>
      <c r="M34" s="787">
        <f t="shared" si="2"/>
        <v>95.833333333333343</v>
      </c>
      <c r="N34" s="782">
        <f t="shared" si="3"/>
        <v>5.6413043478260869</v>
      </c>
      <c r="O34" s="782">
        <f t="shared" si="4"/>
        <v>11.75</v>
      </c>
    </row>
    <row r="35" spans="1:15" x14ac:dyDescent="0.25">
      <c r="A35" s="396" t="s">
        <v>279</v>
      </c>
      <c r="B35" s="548" t="s">
        <v>52</v>
      </c>
      <c r="C35" s="283">
        <f>auditsoutcomeLApivot!B27</f>
        <v>226</v>
      </c>
      <c r="D35" s="283">
        <f>auditsoutcomeLApivot!C27</f>
        <v>1168.25</v>
      </c>
      <c r="E35" s="283">
        <f>auditsoutcomeLApivot!D27</f>
        <v>3</v>
      </c>
      <c r="F35" s="283">
        <f>auditsoutcomeLApivot!E27</f>
        <v>20.5</v>
      </c>
      <c r="G35" s="284">
        <f t="shared" si="0"/>
        <v>229</v>
      </c>
      <c r="H35" s="284">
        <f t="shared" si="1"/>
        <v>1188.75</v>
      </c>
      <c r="I35" s="50">
        <f>auditsoutcomeLApivot!F27</f>
        <v>0</v>
      </c>
      <c r="J35" s="50">
        <f>auditsoutcomeLApivot!G27</f>
        <v>0</v>
      </c>
      <c r="K35" s="50">
        <f>auditsoutcomeLApivot!H27</f>
        <v>0</v>
      </c>
      <c r="L35" s="50">
        <f>auditsoutcomeLApivot!I27</f>
        <v>0</v>
      </c>
      <c r="M35" s="787">
        <f t="shared" si="2"/>
        <v>98.689956331877724</v>
      </c>
      <c r="N35" s="782">
        <f t="shared" si="3"/>
        <v>5.1692477876106198</v>
      </c>
      <c r="O35" s="782">
        <f t="shared" si="4"/>
        <v>6.833333333333333</v>
      </c>
    </row>
    <row r="36" spans="1:15" x14ac:dyDescent="0.25">
      <c r="A36" s="396" t="s">
        <v>289</v>
      </c>
      <c r="B36" s="548" t="s">
        <v>53</v>
      </c>
      <c r="C36" s="283">
        <f>auditsoutcomeLApivot!B28</f>
        <v>194</v>
      </c>
      <c r="D36" s="283">
        <f>auditsoutcomeLApivot!C28</f>
        <v>1054.5</v>
      </c>
      <c r="E36" s="283">
        <f>auditsoutcomeLApivot!D28</f>
        <v>4</v>
      </c>
      <c r="F36" s="283">
        <f>auditsoutcomeLApivot!E28</f>
        <v>52.75</v>
      </c>
      <c r="G36" s="284">
        <f t="shared" si="0"/>
        <v>198</v>
      </c>
      <c r="H36" s="284">
        <f t="shared" si="1"/>
        <v>1107.25</v>
      </c>
      <c r="I36" s="50">
        <f>auditsoutcomeLApivot!F28</f>
        <v>0</v>
      </c>
      <c r="J36" s="50">
        <f>auditsoutcomeLApivot!G28</f>
        <v>0</v>
      </c>
      <c r="K36" s="50">
        <f>auditsoutcomeLApivot!H28</f>
        <v>0</v>
      </c>
      <c r="L36" s="50">
        <f>auditsoutcomeLApivot!I28</f>
        <v>0</v>
      </c>
      <c r="M36" s="787">
        <f t="shared" si="2"/>
        <v>97.979797979797979</v>
      </c>
      <c r="N36" s="782">
        <f t="shared" si="3"/>
        <v>5.4355670103092786</v>
      </c>
      <c r="O36" s="782">
        <f t="shared" si="4"/>
        <v>13.1875</v>
      </c>
    </row>
    <row r="37" spans="1:15" x14ac:dyDescent="0.25">
      <c r="A37" s="396" t="s">
        <v>280</v>
      </c>
      <c r="B37" s="548" t="s">
        <v>54</v>
      </c>
      <c r="C37" s="283">
        <f>auditsoutcomeLApivot!B29</f>
        <v>146</v>
      </c>
      <c r="D37" s="283">
        <f>auditsoutcomeLApivot!C29</f>
        <v>737.5</v>
      </c>
      <c r="E37" s="283">
        <f>auditsoutcomeLApivot!D29</f>
        <v>14</v>
      </c>
      <c r="F37" s="283">
        <f>auditsoutcomeLApivot!E29</f>
        <v>142.75</v>
      </c>
      <c r="G37" s="284">
        <f t="shared" si="0"/>
        <v>160</v>
      </c>
      <c r="H37" s="284">
        <f t="shared" si="1"/>
        <v>880.25</v>
      </c>
      <c r="I37" s="50">
        <f>auditsoutcomeLApivot!F29</f>
        <v>0</v>
      </c>
      <c r="J37" s="50">
        <f>auditsoutcomeLApivot!G29</f>
        <v>0</v>
      </c>
      <c r="K37" s="50">
        <f>auditsoutcomeLApivot!H29</f>
        <v>0</v>
      </c>
      <c r="L37" s="50">
        <f>auditsoutcomeLApivot!I29</f>
        <v>0</v>
      </c>
      <c r="M37" s="787">
        <f t="shared" si="2"/>
        <v>91.25</v>
      </c>
      <c r="N37" s="782">
        <f t="shared" si="3"/>
        <v>5.0513698630136989</v>
      </c>
      <c r="O37" s="782">
        <f t="shared" si="4"/>
        <v>10.196428571428571</v>
      </c>
    </row>
    <row r="38" spans="1:15" x14ac:dyDescent="0.25">
      <c r="A38" s="396" t="s">
        <v>281</v>
      </c>
      <c r="B38" s="548" t="s">
        <v>55</v>
      </c>
      <c r="C38" s="283">
        <f>auditsoutcomeLApivot!B30</f>
        <v>64</v>
      </c>
      <c r="D38" s="283">
        <f>auditsoutcomeLApivot!C30</f>
        <v>426.25</v>
      </c>
      <c r="E38" s="283">
        <f>auditsoutcomeLApivot!D30</f>
        <v>7</v>
      </c>
      <c r="F38" s="283">
        <f>auditsoutcomeLApivot!E30</f>
        <v>73.5</v>
      </c>
      <c r="G38" s="284">
        <f t="shared" si="0"/>
        <v>71</v>
      </c>
      <c r="H38" s="284">
        <f t="shared" si="1"/>
        <v>499.75</v>
      </c>
      <c r="I38" s="50">
        <f>auditsoutcomeLApivot!F30</f>
        <v>0</v>
      </c>
      <c r="J38" s="50">
        <f>auditsoutcomeLApivot!G30</f>
        <v>0</v>
      </c>
      <c r="K38" s="50">
        <f>auditsoutcomeLApivot!H30</f>
        <v>0</v>
      </c>
      <c r="L38" s="50">
        <f>auditsoutcomeLApivot!I30</f>
        <v>0</v>
      </c>
      <c r="M38" s="787">
        <f t="shared" si="2"/>
        <v>90.140845070422543</v>
      </c>
      <c r="N38" s="782">
        <f t="shared" si="3"/>
        <v>6.66015625</v>
      </c>
      <c r="O38" s="782">
        <f t="shared" si="4"/>
        <v>10.5</v>
      </c>
    </row>
    <row r="39" spans="1:15" x14ac:dyDescent="0.25">
      <c r="A39" s="396" t="s">
        <v>282</v>
      </c>
      <c r="B39" s="548" t="s">
        <v>56</v>
      </c>
      <c r="C39" s="283">
        <f>auditsoutcomeLApivot!B31</f>
        <v>243</v>
      </c>
      <c r="D39" s="283">
        <f>auditsoutcomeLApivot!C31</f>
        <v>1766</v>
      </c>
      <c r="E39" s="283">
        <f>auditsoutcomeLApivot!D31</f>
        <v>14</v>
      </c>
      <c r="F39" s="283">
        <f>auditsoutcomeLApivot!E31</f>
        <v>268.5</v>
      </c>
      <c r="G39" s="284">
        <f t="shared" si="0"/>
        <v>257</v>
      </c>
      <c r="H39" s="284">
        <f t="shared" si="1"/>
        <v>2034.5</v>
      </c>
      <c r="I39" s="50">
        <f>auditsoutcomeLApivot!F31</f>
        <v>0</v>
      </c>
      <c r="J39" s="50">
        <f>auditsoutcomeLApivot!G31</f>
        <v>0</v>
      </c>
      <c r="K39" s="50">
        <f>auditsoutcomeLApivot!H31</f>
        <v>0</v>
      </c>
      <c r="L39" s="50">
        <f>auditsoutcomeLApivot!I31</f>
        <v>0</v>
      </c>
      <c r="M39" s="787">
        <f t="shared" si="2"/>
        <v>94.552529182879368</v>
      </c>
      <c r="N39" s="782">
        <f t="shared" si="3"/>
        <v>7.2674897119341564</v>
      </c>
      <c r="O39" s="782">
        <f t="shared" si="4"/>
        <v>19.178571428571427</v>
      </c>
    </row>
    <row r="40" spans="1:15" x14ac:dyDescent="0.25">
      <c r="A40" s="396" t="s">
        <v>283</v>
      </c>
      <c r="B40" s="548" t="s">
        <v>57</v>
      </c>
      <c r="C40" s="283">
        <f>auditsoutcomeLApivot!B32</f>
        <v>365</v>
      </c>
      <c r="D40" s="283">
        <f>auditsoutcomeLApivot!C32</f>
        <v>2863.75</v>
      </c>
      <c r="E40" s="283">
        <f>auditsoutcomeLApivot!D32</f>
        <v>13</v>
      </c>
      <c r="F40" s="283">
        <f>auditsoutcomeLApivot!E32</f>
        <v>181</v>
      </c>
      <c r="G40" s="284">
        <f t="shared" si="0"/>
        <v>378</v>
      </c>
      <c r="H40" s="284">
        <f t="shared" si="1"/>
        <v>3044.75</v>
      </c>
      <c r="I40" s="50">
        <f>auditsoutcomeLApivot!F32</f>
        <v>0</v>
      </c>
      <c r="J40" s="50">
        <f>auditsoutcomeLApivot!G32</f>
        <v>0</v>
      </c>
      <c r="K40" s="50">
        <f>auditsoutcomeLApivot!H32</f>
        <v>0</v>
      </c>
      <c r="L40" s="50">
        <f>auditsoutcomeLApivot!I32</f>
        <v>0</v>
      </c>
      <c r="M40" s="787">
        <f t="shared" si="2"/>
        <v>96.560846560846556</v>
      </c>
      <c r="N40" s="782">
        <f t="shared" si="3"/>
        <v>7.845890410958904</v>
      </c>
      <c r="O40" s="782">
        <f t="shared" si="4"/>
        <v>13.923076923076923</v>
      </c>
    </row>
    <row r="41" spans="1:15" x14ac:dyDescent="0.25">
      <c r="A41" s="396" t="s">
        <v>284</v>
      </c>
      <c r="B41" s="548" t="s">
        <v>58</v>
      </c>
      <c r="C41" s="283">
        <f>auditsoutcomeLApivot!B33</f>
        <v>92</v>
      </c>
      <c r="D41" s="283">
        <f>auditsoutcomeLApivot!C33</f>
        <v>504.5</v>
      </c>
      <c r="E41" s="283">
        <f>auditsoutcomeLApivot!D33</f>
        <v>3</v>
      </c>
      <c r="F41" s="283">
        <f>auditsoutcomeLApivot!E33</f>
        <v>83.5</v>
      </c>
      <c r="G41" s="284">
        <f t="shared" si="0"/>
        <v>95</v>
      </c>
      <c r="H41" s="284">
        <f t="shared" si="1"/>
        <v>588</v>
      </c>
      <c r="I41" s="50">
        <f>auditsoutcomeLApivot!F33</f>
        <v>1</v>
      </c>
      <c r="J41" s="50">
        <f>auditsoutcomeLApivot!G33</f>
        <v>67</v>
      </c>
      <c r="K41" s="50">
        <f>auditsoutcomeLApivot!H33</f>
        <v>0</v>
      </c>
      <c r="L41" s="50">
        <f>auditsoutcomeLApivot!I33</f>
        <v>0</v>
      </c>
      <c r="M41" s="787">
        <f t="shared" si="2"/>
        <v>96.84210526315789</v>
      </c>
      <c r="N41" s="782">
        <f t="shared" si="3"/>
        <v>5.4836956521739131</v>
      </c>
      <c r="O41" s="782">
        <f t="shared" si="4"/>
        <v>27.833333333333332</v>
      </c>
    </row>
    <row r="42" spans="1:15" x14ac:dyDescent="0.25">
      <c r="A42" s="396" t="s">
        <v>290</v>
      </c>
      <c r="B42" s="548" t="s">
        <v>59</v>
      </c>
      <c r="C42" s="283">
        <f>auditsoutcomeLApivot!B34</f>
        <v>122</v>
      </c>
      <c r="D42" s="283">
        <f>auditsoutcomeLApivot!C34</f>
        <v>571.25</v>
      </c>
      <c r="E42" s="283">
        <f>auditsoutcomeLApivot!D34</f>
        <v>7</v>
      </c>
      <c r="F42" s="283">
        <f>auditsoutcomeLApivot!E34</f>
        <v>68.5</v>
      </c>
      <c r="G42" s="284">
        <f t="shared" si="0"/>
        <v>129</v>
      </c>
      <c r="H42" s="284">
        <f t="shared" si="1"/>
        <v>639.75</v>
      </c>
      <c r="I42" s="50">
        <f>auditsoutcomeLApivot!F34</f>
        <v>0</v>
      </c>
      <c r="J42" s="50">
        <f>auditsoutcomeLApivot!G34</f>
        <v>0</v>
      </c>
      <c r="K42" s="50">
        <f>auditsoutcomeLApivot!H34</f>
        <v>0</v>
      </c>
      <c r="L42" s="50">
        <f>auditsoutcomeLApivot!I34</f>
        <v>0</v>
      </c>
      <c r="M42" s="787">
        <f t="shared" si="2"/>
        <v>94.573643410852711</v>
      </c>
      <c r="N42" s="782">
        <f t="shared" si="3"/>
        <v>4.682377049180328</v>
      </c>
      <c r="O42" s="782">
        <f t="shared" si="4"/>
        <v>9.7857142857142865</v>
      </c>
    </row>
    <row r="43" spans="1:15" x14ac:dyDescent="0.25">
      <c r="A43" s="396" t="s">
        <v>291</v>
      </c>
      <c r="B43" s="548" t="s">
        <v>60</v>
      </c>
      <c r="C43" s="283">
        <f>auditsoutcomeLApivot!B35</f>
        <v>195</v>
      </c>
      <c r="D43" s="283">
        <f>auditsoutcomeLApivot!C35</f>
        <v>974.5</v>
      </c>
      <c r="E43" s="283">
        <f>auditsoutcomeLApivot!D35</f>
        <v>0</v>
      </c>
      <c r="F43" s="283">
        <f>auditsoutcomeLApivot!E35</f>
        <v>0</v>
      </c>
      <c r="G43" s="284">
        <f t="shared" si="0"/>
        <v>195</v>
      </c>
      <c r="H43" s="284">
        <f t="shared" si="1"/>
        <v>974.5</v>
      </c>
      <c r="I43" s="50">
        <f>auditsoutcomeLApivot!F35</f>
        <v>0</v>
      </c>
      <c r="J43" s="50">
        <f>auditsoutcomeLApivot!G35</f>
        <v>0</v>
      </c>
      <c r="K43" s="50">
        <f>auditsoutcomeLApivot!H35</f>
        <v>0</v>
      </c>
      <c r="L43" s="462">
        <f>auditsoutcomeLApivot!I35</f>
        <v>0</v>
      </c>
      <c r="M43" s="787">
        <f t="shared" si="2"/>
        <v>100</v>
      </c>
      <c r="N43" s="782">
        <f t="shared" si="3"/>
        <v>4.9974358974358974</v>
      </c>
      <c r="O43" s="782" t="str">
        <f t="shared" si="4"/>
        <v>-</v>
      </c>
    </row>
    <row r="44" spans="1:15" ht="24" customHeight="1" thickBot="1" x14ac:dyDescent="0.3">
      <c r="A44" s="261"/>
      <c r="B44" s="261" t="s">
        <v>731</v>
      </c>
      <c r="C44" s="285">
        <f>SUM(C12:C43)</f>
        <v>7362</v>
      </c>
      <c r="D44" s="285">
        <f>SUM(D12:D43)</f>
        <v>42820.25</v>
      </c>
      <c r="E44" s="285">
        <f t="shared" ref="E44:F44" si="5">SUM(E12:E43)</f>
        <v>292</v>
      </c>
      <c r="F44" s="285">
        <f t="shared" si="5"/>
        <v>3831</v>
      </c>
      <c r="G44" s="285">
        <f t="shared" ref="G44:L44" si="6">SUM(G12:G43)</f>
        <v>7654</v>
      </c>
      <c r="H44" s="285">
        <f t="shared" si="6"/>
        <v>46651.25</v>
      </c>
      <c r="I44" s="327">
        <f t="shared" si="6"/>
        <v>5</v>
      </c>
      <c r="J44" s="327">
        <f t="shared" si="6"/>
        <v>214.75</v>
      </c>
      <c r="K44" s="327">
        <f t="shared" si="6"/>
        <v>12</v>
      </c>
      <c r="L44" s="327">
        <f t="shared" si="6"/>
        <v>290.25</v>
      </c>
      <c r="M44" s="788">
        <f>IFERROR(C44/G44*100, "")</f>
        <v>96.185001306506408</v>
      </c>
      <c r="N44" s="784">
        <f t="shared" si="3"/>
        <v>5.8163882097256181</v>
      </c>
      <c r="O44" s="784">
        <f t="shared" si="4"/>
        <v>13.11986301369863</v>
      </c>
    </row>
    <row r="45" spans="1:15" x14ac:dyDescent="0.25">
      <c r="B45" s="262"/>
      <c r="C45" s="286"/>
      <c r="D45" s="286"/>
      <c r="E45" s="286"/>
      <c r="F45" s="286"/>
      <c r="G45" s="284"/>
      <c r="H45" s="284"/>
      <c r="I45" s="262"/>
      <c r="J45" s="98"/>
      <c r="K45" s="262"/>
      <c r="L45" s="262"/>
      <c r="M45" s="287"/>
      <c r="N45" s="263"/>
    </row>
    <row r="46" spans="1:15" x14ac:dyDescent="0.25">
      <c r="A46" s="341" t="s">
        <v>8</v>
      </c>
      <c r="B46" s="343"/>
      <c r="C46" s="343"/>
      <c r="D46" s="343"/>
      <c r="E46" s="343"/>
      <c r="F46" s="343"/>
      <c r="G46" s="343"/>
      <c r="H46" s="343"/>
      <c r="I46" s="343"/>
      <c r="J46" s="343"/>
      <c r="K46" s="343"/>
      <c r="L46" s="343"/>
      <c r="M46" s="343"/>
      <c r="N46" s="343"/>
    </row>
    <row r="47" spans="1:15" x14ac:dyDescent="0.25">
      <c r="A47" s="343" t="s">
        <v>873</v>
      </c>
      <c r="B47" s="343"/>
      <c r="C47" s="343"/>
      <c r="D47" s="343"/>
      <c r="E47" s="343"/>
      <c r="F47" s="343"/>
      <c r="G47" s="343"/>
      <c r="H47" s="343"/>
      <c r="I47" s="343"/>
      <c r="J47" s="343"/>
      <c r="K47" s="343"/>
      <c r="L47" s="343"/>
      <c r="M47" s="343"/>
      <c r="N47" s="343"/>
    </row>
    <row r="48" spans="1:15" ht="15" customHeight="1" x14ac:dyDescent="0.25">
      <c r="A48" s="460" t="s">
        <v>213</v>
      </c>
      <c r="B48" s="460"/>
      <c r="C48" s="460"/>
      <c r="D48" s="460"/>
      <c r="E48" s="460"/>
      <c r="F48" s="460"/>
      <c r="G48" s="460"/>
      <c r="H48" s="460"/>
      <c r="I48" s="460"/>
      <c r="J48" s="460"/>
      <c r="K48" s="460"/>
      <c r="L48" s="460"/>
      <c r="M48" s="460"/>
      <c r="N48" s="460"/>
    </row>
    <row r="49" spans="1:15" ht="30.75" customHeight="1" x14ac:dyDescent="0.25">
      <c r="A49" s="1003" t="s">
        <v>755</v>
      </c>
      <c r="B49" s="1003"/>
      <c r="C49" s="1003"/>
      <c r="D49" s="1003"/>
      <c r="E49" s="1003"/>
      <c r="F49" s="1003"/>
      <c r="G49" s="1003"/>
      <c r="H49" s="1003"/>
      <c r="I49" s="1003"/>
      <c r="J49" s="1003"/>
      <c r="K49" s="1003"/>
      <c r="L49" s="1003"/>
      <c r="M49" s="1003"/>
      <c r="N49" s="1003"/>
      <c r="O49" s="1003"/>
    </row>
    <row r="50" spans="1:15" x14ac:dyDescent="0.25">
      <c r="A50" s="343" t="s">
        <v>756</v>
      </c>
    </row>
  </sheetData>
  <sheetProtection algorithmName="SHA-512" hashValue="pNdJilmNOEOI5Of54haNDsayH8o7JL4lip8tL81BXKDlqm2qq4N5okeap3W7dKkZU4tVhcwadHvKt1/GTBA30g==" saltValue="OhMUY9nPBsMnH3qaHVpPJA==" spinCount="100000" sheet="1" scenarios="1" formatCells="0" sort="0" autoFilter="0" pivotTables="0"/>
  <mergeCells count="6">
    <mergeCell ref="A49:O49"/>
    <mergeCell ref="C10:D10"/>
    <mergeCell ref="E10:F10"/>
    <mergeCell ref="G10:H10"/>
    <mergeCell ref="I10:J10"/>
    <mergeCell ref="K10:L10"/>
  </mergeCells>
  <hyperlinks>
    <hyperlink ref="A2" location="'Table of Contents'!A1" display="Back to Table of Contents" xr:uid="{00000000-0004-0000-AC00-000000000000}"/>
  </hyperlinks>
  <pageMargins left="0.70866141732283472" right="0.70866141732283472" top="0.74803149606299213" bottom="0.74803149606299213" header="0.31496062992125984" footer="0.31496062992125984"/>
  <pageSetup paperSize="9" scale="73" orientation="landscape" r:id="rId1"/>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59999389629810485"/>
  </sheetPr>
  <dimension ref="A1:H6"/>
  <sheetViews>
    <sheetView showGridLines="0" workbookViewId="0">
      <pane ySplit="2" topLeftCell="A3" activePane="bottomLeft" state="frozen"/>
      <selection pane="bottomLeft" sqref="A1:C1"/>
    </sheetView>
  </sheetViews>
  <sheetFormatPr defaultRowHeight="15" x14ac:dyDescent="0.25"/>
  <sheetData>
    <row r="1" spans="1:8" ht="15.75" x14ac:dyDescent="0.25">
      <c r="A1" s="993" t="s">
        <v>523</v>
      </c>
      <c r="B1" s="993"/>
      <c r="C1" s="993"/>
    </row>
    <row r="2" spans="1:8" ht="15.75" x14ac:dyDescent="0.25">
      <c r="A2" s="507" t="s">
        <v>511</v>
      </c>
      <c r="B2" s="449"/>
      <c r="C2" s="449"/>
    </row>
    <row r="4" spans="1:8" ht="15.75" x14ac:dyDescent="0.25">
      <c r="A4" s="994" t="s">
        <v>527</v>
      </c>
      <c r="B4" s="994"/>
      <c r="C4" s="994"/>
      <c r="D4" s="994"/>
      <c r="E4" s="994"/>
      <c r="F4" s="994"/>
      <c r="G4" s="994"/>
      <c r="H4" s="994"/>
    </row>
    <row r="5" spans="1:8" x14ac:dyDescent="0.25">
      <c r="A5" s="571" t="s">
        <v>721</v>
      </c>
    </row>
    <row r="6" spans="1:8" x14ac:dyDescent="0.25">
      <c r="A6" s="571" t="s">
        <v>639</v>
      </c>
    </row>
  </sheetData>
  <sheetProtection algorithmName="SHA-512" hashValue="M3inJl5PTdNpHTKSfHWg0ov4v81GQxezIuCdOyrHVtWGxFPGmtgICbhQ4wux2Vhz3/DB3exKtd0+KO09f50EPA==" saltValue="/mlih5+g3+e7j8RTZz5lYA==" spinCount="100000" sheet="1" scenarios="1" formatCells="0" sort="0" autoFilter="0" pivotTables="0"/>
  <mergeCells count="2">
    <mergeCell ref="A1:C1"/>
    <mergeCell ref="A4:H4"/>
  </mergeCells>
  <hyperlinks>
    <hyperlink ref="A2" location="'Table of Contents'!A1" display="Back to Table of Contents" xr:uid="{00000000-0004-0000-1100-000000000000}"/>
  </hyperlinks>
  <pageMargins left="0.7" right="0.7" top="0.75" bottom="0.75" header="0.3" footer="0.3"/>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12A69-BADA-452E-B9DB-7C99E2C5FC98}">
  <sheetPr>
    <tabColor theme="3" tint="0.39997558519241921"/>
  </sheetPr>
  <dimension ref="B4:E15"/>
  <sheetViews>
    <sheetView workbookViewId="0">
      <selection activeCell="B4" sqref="B4"/>
    </sheetView>
  </sheetViews>
  <sheetFormatPr defaultRowHeight="15" x14ac:dyDescent="0.25"/>
  <cols>
    <col min="2" max="2" width="12.42578125" bestFit="1" customWidth="1"/>
    <col min="3" max="3" width="24" bestFit="1" customWidth="1"/>
    <col min="4" max="4" width="22.5703125" bestFit="1" customWidth="1"/>
    <col min="5" max="5" width="22.42578125" bestFit="1" customWidth="1"/>
  </cols>
  <sheetData>
    <row r="4" spans="2:5" x14ac:dyDescent="0.25">
      <c r="B4" s="394" t="s">
        <v>231</v>
      </c>
      <c r="C4" t="s">
        <v>1204</v>
      </c>
      <c r="D4" t="s">
        <v>1205</v>
      </c>
      <c r="E4" t="s">
        <v>1206</v>
      </c>
    </row>
    <row r="5" spans="2:5" x14ac:dyDescent="0.25">
      <c r="B5" s="395" t="s">
        <v>191</v>
      </c>
      <c r="C5">
        <v>21</v>
      </c>
      <c r="D5">
        <v>15</v>
      </c>
      <c r="E5">
        <v>0</v>
      </c>
    </row>
    <row r="6" spans="2:5" x14ac:dyDescent="0.25">
      <c r="B6" s="395" t="s">
        <v>190</v>
      </c>
      <c r="C6">
        <v>22</v>
      </c>
      <c r="D6">
        <v>17</v>
      </c>
      <c r="E6">
        <v>0</v>
      </c>
    </row>
    <row r="7" spans="2:5" x14ac:dyDescent="0.25">
      <c r="B7" s="395" t="s">
        <v>257</v>
      </c>
      <c r="C7">
        <v>15</v>
      </c>
      <c r="D7">
        <v>17</v>
      </c>
      <c r="E7">
        <v>1</v>
      </c>
    </row>
    <row r="8" spans="2:5" x14ac:dyDescent="0.25">
      <c r="B8" s="395" t="s">
        <v>240</v>
      </c>
      <c r="C8">
        <v>15</v>
      </c>
      <c r="D8">
        <v>26</v>
      </c>
      <c r="E8">
        <v>2</v>
      </c>
    </row>
    <row r="9" spans="2:5" x14ac:dyDescent="0.25">
      <c r="B9" s="395" t="s">
        <v>239</v>
      </c>
      <c r="C9">
        <v>21</v>
      </c>
      <c r="D9">
        <v>21</v>
      </c>
      <c r="E9">
        <v>2</v>
      </c>
    </row>
    <row r="10" spans="2:5" x14ac:dyDescent="0.25">
      <c r="B10" s="395" t="s">
        <v>760</v>
      </c>
      <c r="C10">
        <v>7</v>
      </c>
      <c r="D10">
        <v>2</v>
      </c>
      <c r="E10">
        <v>0</v>
      </c>
    </row>
    <row r="11" spans="2:5" x14ac:dyDescent="0.25">
      <c r="B11" s="395" t="s">
        <v>917</v>
      </c>
      <c r="C11">
        <v>2</v>
      </c>
      <c r="D11">
        <v>1</v>
      </c>
      <c r="E11">
        <v>1</v>
      </c>
    </row>
    <row r="12" spans="2:5" x14ac:dyDescent="0.25">
      <c r="B12" s="395" t="s">
        <v>1010</v>
      </c>
      <c r="C12">
        <v>3</v>
      </c>
      <c r="D12">
        <v>6</v>
      </c>
      <c r="E12">
        <v>0</v>
      </c>
    </row>
    <row r="13" spans="2:5" x14ac:dyDescent="0.25">
      <c r="B13" s="395" t="s">
        <v>1061</v>
      </c>
      <c r="C13">
        <v>6</v>
      </c>
      <c r="D13">
        <v>9</v>
      </c>
      <c r="E13">
        <v>0</v>
      </c>
    </row>
    <row r="14" spans="2:5" x14ac:dyDescent="0.25">
      <c r="B14" s="395" t="s">
        <v>1108</v>
      </c>
      <c r="C14">
        <v>15</v>
      </c>
      <c r="D14">
        <v>13</v>
      </c>
      <c r="E14">
        <v>2</v>
      </c>
    </row>
    <row r="15" spans="2:5" x14ac:dyDescent="0.25">
      <c r="B15" s="395" t="s">
        <v>236</v>
      </c>
      <c r="C15">
        <v>127</v>
      </c>
      <c r="D15">
        <v>127</v>
      </c>
      <c r="E15">
        <v>8</v>
      </c>
    </row>
  </sheetData>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88F0B-E444-4AE5-BC7C-32797FE60FB5}">
  <sheetPr>
    <tabColor theme="3" tint="0.39997558519241921"/>
  </sheetPr>
  <dimension ref="B4:E14"/>
  <sheetViews>
    <sheetView workbookViewId="0">
      <selection activeCell="B4" sqref="B4:E14"/>
    </sheetView>
  </sheetViews>
  <sheetFormatPr defaultRowHeight="15" x14ac:dyDescent="0.25"/>
  <cols>
    <col min="2" max="2" width="7.42578125" bestFit="1" customWidth="1"/>
    <col min="3" max="3" width="19.85546875" bestFit="1" customWidth="1"/>
    <col min="4" max="4" width="18.42578125" bestFit="1" customWidth="1"/>
    <col min="5" max="5" width="18.28515625" bestFit="1" customWidth="1"/>
  </cols>
  <sheetData>
    <row r="4" spans="2:5" x14ac:dyDescent="0.25">
      <c r="B4" t="s">
        <v>1</v>
      </c>
      <c r="C4" t="s">
        <v>153</v>
      </c>
      <c r="D4" t="s">
        <v>154</v>
      </c>
      <c r="E4" t="s">
        <v>181</v>
      </c>
    </row>
    <row r="5" spans="2:5" x14ac:dyDescent="0.25">
      <c r="B5" t="s">
        <v>191</v>
      </c>
      <c r="C5">
        <v>21</v>
      </c>
      <c r="D5">
        <v>15</v>
      </c>
      <c r="E5">
        <v>0</v>
      </c>
    </row>
    <row r="6" spans="2:5" x14ac:dyDescent="0.25">
      <c r="B6" t="s">
        <v>190</v>
      </c>
      <c r="C6">
        <v>22</v>
      </c>
      <c r="D6">
        <v>17</v>
      </c>
      <c r="E6">
        <v>0</v>
      </c>
    </row>
    <row r="7" spans="2:5" x14ac:dyDescent="0.25">
      <c r="B7" t="s">
        <v>257</v>
      </c>
      <c r="C7">
        <v>15</v>
      </c>
      <c r="D7">
        <v>17</v>
      </c>
      <c r="E7">
        <v>1</v>
      </c>
    </row>
    <row r="8" spans="2:5" x14ac:dyDescent="0.25">
      <c r="B8" t="s">
        <v>240</v>
      </c>
      <c r="C8">
        <v>15</v>
      </c>
      <c r="D8">
        <v>26</v>
      </c>
      <c r="E8">
        <v>2</v>
      </c>
    </row>
    <row r="9" spans="2:5" x14ac:dyDescent="0.25">
      <c r="B9" t="s">
        <v>239</v>
      </c>
      <c r="C9">
        <v>21</v>
      </c>
      <c r="D9">
        <v>21</v>
      </c>
      <c r="E9">
        <v>2</v>
      </c>
    </row>
    <row r="10" spans="2:5" x14ac:dyDescent="0.25">
      <c r="B10" t="s">
        <v>760</v>
      </c>
      <c r="C10">
        <v>7</v>
      </c>
      <c r="D10">
        <v>2</v>
      </c>
      <c r="E10">
        <v>0</v>
      </c>
    </row>
    <row r="11" spans="2:5" x14ac:dyDescent="0.25">
      <c r="B11" t="s">
        <v>917</v>
      </c>
      <c r="C11">
        <v>2</v>
      </c>
      <c r="D11">
        <v>1</v>
      </c>
      <c r="E11">
        <v>1</v>
      </c>
    </row>
    <row r="12" spans="2:5" x14ac:dyDescent="0.25">
      <c r="B12" t="s">
        <v>1010</v>
      </c>
      <c r="C12">
        <v>3</v>
      </c>
      <c r="D12">
        <v>6</v>
      </c>
      <c r="E12">
        <v>0</v>
      </c>
    </row>
    <row r="13" spans="2:5" x14ac:dyDescent="0.25">
      <c r="B13" t="s">
        <v>1061</v>
      </c>
      <c r="C13">
        <v>6</v>
      </c>
      <c r="D13">
        <v>9</v>
      </c>
      <c r="E13">
        <v>0</v>
      </c>
    </row>
    <row r="14" spans="2:5" x14ac:dyDescent="0.25">
      <c r="B14" t="s">
        <v>1108</v>
      </c>
      <c r="C14">
        <v>15</v>
      </c>
      <c r="D14">
        <v>13</v>
      </c>
      <c r="E14">
        <v>2</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abColor theme="3" tint="0.39997558519241921"/>
    <pageSetUpPr fitToPage="1"/>
  </sheetPr>
  <dimension ref="A1:O46"/>
  <sheetViews>
    <sheetView showGridLines="0" workbookViewId="0">
      <pane ySplit="2" topLeftCell="A3" activePane="bottomLeft" state="frozen"/>
      <selection pane="bottomLeft"/>
    </sheetView>
  </sheetViews>
  <sheetFormatPr defaultRowHeight="15" x14ac:dyDescent="0.25"/>
  <cols>
    <col min="1" max="1" width="20.42578125" customWidth="1"/>
    <col min="2" max="2" width="19.42578125" customWidth="1"/>
    <col min="3" max="3" width="18.140625" customWidth="1"/>
    <col min="4" max="4" width="17.7109375" customWidth="1"/>
    <col min="5" max="5" width="10.140625" customWidth="1"/>
    <col min="6" max="6" width="6.140625" bestFit="1" customWidth="1"/>
    <col min="7" max="8" width="5.5703125" bestFit="1" customWidth="1"/>
  </cols>
  <sheetData>
    <row r="1" spans="1:14" ht="15.75" x14ac:dyDescent="0.25">
      <c r="A1" s="522" t="s">
        <v>560</v>
      </c>
    </row>
    <row r="2" spans="1:14" x14ac:dyDescent="0.25">
      <c r="A2" s="507" t="s">
        <v>511</v>
      </c>
    </row>
    <row r="3" spans="1:14" x14ac:dyDescent="0.25">
      <c r="A3" s="25"/>
    </row>
    <row r="4" spans="1:14" ht="15.75" x14ac:dyDescent="0.25">
      <c r="A4" s="447" t="s">
        <v>570</v>
      </c>
      <c r="B4" s="447"/>
      <c r="C4" s="447"/>
      <c r="D4" s="447"/>
      <c r="E4" s="447"/>
      <c r="F4" s="447"/>
      <c r="G4" s="447"/>
      <c r="H4" s="447"/>
      <c r="I4" s="447"/>
      <c r="J4" s="447"/>
      <c r="K4" s="447"/>
      <c r="L4" s="447"/>
      <c r="M4" s="447"/>
      <c r="N4" s="447"/>
    </row>
    <row r="5" spans="1:14" ht="15.75" x14ac:dyDescent="0.25">
      <c r="A5" t="s">
        <v>328</v>
      </c>
      <c r="B5" t="s">
        <v>716</v>
      </c>
      <c r="C5" s="508"/>
      <c r="D5" s="508"/>
      <c r="E5" s="508"/>
      <c r="F5" s="508"/>
      <c r="G5" s="508"/>
      <c r="H5" s="508"/>
      <c r="I5" s="508"/>
      <c r="J5" s="508"/>
    </row>
    <row r="6" spans="1:14" ht="15.75" x14ac:dyDescent="0.25">
      <c r="A6" t="s">
        <v>329</v>
      </c>
      <c r="B6" t="s">
        <v>331</v>
      </c>
      <c r="C6" s="508"/>
      <c r="D6" s="508"/>
      <c r="E6" s="508"/>
      <c r="F6" s="508"/>
      <c r="G6" s="508"/>
      <c r="H6" s="508"/>
      <c r="I6" s="508"/>
      <c r="J6" s="508"/>
    </row>
    <row r="7" spans="1:14" ht="15.75" x14ac:dyDescent="0.25">
      <c r="A7" t="s">
        <v>330</v>
      </c>
      <c r="B7" t="s">
        <v>332</v>
      </c>
      <c r="C7" s="508"/>
      <c r="D7" s="508"/>
      <c r="E7" s="508"/>
      <c r="F7" s="508"/>
      <c r="G7" s="508"/>
      <c r="H7" s="508"/>
      <c r="I7" s="508"/>
      <c r="J7" s="508"/>
      <c r="K7" s="25"/>
      <c r="L7" s="25"/>
      <c r="M7" s="25"/>
      <c r="N7" s="25"/>
    </row>
    <row r="8" spans="1:14" x14ac:dyDescent="0.25">
      <c r="B8" s="590"/>
      <c r="C8" s="590"/>
      <c r="D8" s="590"/>
    </row>
    <row r="9" spans="1:14" x14ac:dyDescent="0.25">
      <c r="A9" s="534" t="s">
        <v>1</v>
      </c>
      <c r="B9" s="661" t="s">
        <v>1207</v>
      </c>
      <c r="C9" s="661" t="s">
        <v>182</v>
      </c>
      <c r="D9" s="661" t="s">
        <v>1208</v>
      </c>
    </row>
    <row r="10" spans="1:14" x14ac:dyDescent="0.25">
      <c r="A10" s="317" t="s">
        <v>191</v>
      </c>
      <c r="B10" s="614">
        <f>GETPIVOTDATA("Sum of Enforcement Notice",NoticesPivot!$B$4,"Year",A10)</f>
        <v>21</v>
      </c>
      <c r="C10" s="614">
        <f>GETPIVOTDATA("Sum of Prohibition Notice",NoticesPivot!$B$4,"Year",A10)</f>
        <v>15</v>
      </c>
      <c r="D10" s="614">
        <f>GETPIVOTDATA("Sum of Alterations Notice",NoticesPivot!$B$4,"Year",A10)</f>
        <v>0</v>
      </c>
    </row>
    <row r="11" spans="1:14" x14ac:dyDescent="0.25">
      <c r="A11" s="317" t="s">
        <v>190</v>
      </c>
      <c r="B11" s="614">
        <f>GETPIVOTDATA("Sum of Enforcement Notice",NoticesPivot!$B$4,"Year",A11)</f>
        <v>22</v>
      </c>
      <c r="C11" s="614">
        <f>GETPIVOTDATA("Sum of Prohibition Notice",NoticesPivot!$B$4,"Year",A11)</f>
        <v>17</v>
      </c>
      <c r="D11" s="614">
        <f>GETPIVOTDATA("Sum of Alterations Notice",NoticesPivot!$B$4,"Year",A11)</f>
        <v>0</v>
      </c>
    </row>
    <row r="12" spans="1:14" x14ac:dyDescent="0.25">
      <c r="A12" s="317" t="s">
        <v>257</v>
      </c>
      <c r="B12" s="614">
        <f>GETPIVOTDATA("Sum of Enforcement Notice",NoticesPivot!$B$4,"Year",A12)</f>
        <v>15</v>
      </c>
      <c r="C12" s="614">
        <f>GETPIVOTDATA("Sum of Prohibition Notice",NoticesPivot!$B$4,"Year",A12)</f>
        <v>17</v>
      </c>
      <c r="D12" s="614">
        <f>GETPIVOTDATA("Sum of Alterations Notice",NoticesPivot!$B$4,"Year",A12)</f>
        <v>1</v>
      </c>
    </row>
    <row r="13" spans="1:14" x14ac:dyDescent="0.25">
      <c r="A13" s="317" t="s">
        <v>240</v>
      </c>
      <c r="B13" s="614">
        <f>GETPIVOTDATA("Sum of Enforcement Notice",NoticesPivot!$B$4,"Year",A13)</f>
        <v>15</v>
      </c>
      <c r="C13" s="614">
        <f>GETPIVOTDATA("Sum of Prohibition Notice",NoticesPivot!$B$4,"Year",A13)</f>
        <v>26</v>
      </c>
      <c r="D13" s="614">
        <f>GETPIVOTDATA("Sum of Alterations Notice",NoticesPivot!$B$4,"Year",A13)</f>
        <v>2</v>
      </c>
    </row>
    <row r="14" spans="1:14" x14ac:dyDescent="0.25">
      <c r="A14" s="317" t="s">
        <v>239</v>
      </c>
      <c r="B14" s="614">
        <f>GETPIVOTDATA("Sum of Enforcement Notice",NoticesPivot!$B$4,"Year",A14)</f>
        <v>21</v>
      </c>
      <c r="C14" s="614">
        <f>GETPIVOTDATA("Sum of Prohibition Notice",NoticesPivot!$B$4,"Year",A14)</f>
        <v>21</v>
      </c>
      <c r="D14" s="614">
        <f>GETPIVOTDATA("Sum of Alterations Notice",NoticesPivot!$B$4,"Year",A14)</f>
        <v>2</v>
      </c>
    </row>
    <row r="15" spans="1:14" x14ac:dyDescent="0.25">
      <c r="A15" s="317" t="s">
        <v>760</v>
      </c>
      <c r="B15" s="614">
        <f>GETPIVOTDATA("Sum of Enforcement Notice",NoticesPivot!$B$4,"Year",A15)</f>
        <v>7</v>
      </c>
      <c r="C15" s="614">
        <f>GETPIVOTDATA("Sum of Prohibition Notice",NoticesPivot!$B$4,"Year",A15)</f>
        <v>2</v>
      </c>
      <c r="D15" s="614">
        <f>GETPIVOTDATA("Sum of Alterations Notice",NoticesPivot!$B$4,"Year",A15)</f>
        <v>0</v>
      </c>
    </row>
    <row r="16" spans="1:14" x14ac:dyDescent="0.25">
      <c r="A16" s="317" t="s">
        <v>917</v>
      </c>
      <c r="B16" s="614">
        <f>GETPIVOTDATA("Sum of Enforcement Notice",NoticesPivot!$B$4,"Year",A16)</f>
        <v>2</v>
      </c>
      <c r="C16" s="614">
        <f>GETPIVOTDATA("Sum of Prohibition Notice",NoticesPivot!$B$4,"Year",A16)</f>
        <v>1</v>
      </c>
      <c r="D16" s="614">
        <f>GETPIVOTDATA("Sum of Alterations Notice",NoticesPivot!$B$4,"Year",A16)</f>
        <v>1</v>
      </c>
    </row>
    <row r="17" spans="1:15" x14ac:dyDescent="0.25">
      <c r="A17" s="317" t="s">
        <v>1010</v>
      </c>
      <c r="B17" s="614">
        <f>GETPIVOTDATA("Sum of Enforcement Notice",NoticesPivot!$B$4,"Year",A17)</f>
        <v>3</v>
      </c>
      <c r="C17" s="614">
        <f>GETPIVOTDATA("Sum of Prohibition Notice",NoticesPivot!$B$4,"Year",A17)</f>
        <v>6</v>
      </c>
      <c r="D17" s="614">
        <f>GETPIVOTDATA("Sum of Alterations Notice",NoticesPivot!$B$4,"Year",A17)</f>
        <v>0</v>
      </c>
    </row>
    <row r="18" spans="1:15" x14ac:dyDescent="0.25">
      <c r="A18" s="317" t="s">
        <v>1061</v>
      </c>
      <c r="B18" s="614">
        <f>GETPIVOTDATA("Sum of Enforcement Notice",NoticesPivot!$B$4,"Year",A18)</f>
        <v>6</v>
      </c>
      <c r="C18" s="614">
        <f>GETPIVOTDATA("Sum of Prohibition Notice",NoticesPivot!$B$4,"Year",A18)</f>
        <v>9</v>
      </c>
      <c r="D18" s="614">
        <f>GETPIVOTDATA("Sum of Alterations Notice",NoticesPivot!$B$4,"Year",A18)</f>
        <v>0</v>
      </c>
    </row>
    <row r="19" spans="1:15" ht="15.75" thickBot="1" x14ac:dyDescent="0.3">
      <c r="A19" s="921" t="s">
        <v>1108</v>
      </c>
      <c r="B19" s="619">
        <f>GETPIVOTDATA("Sum of Enforcement Notice",NoticesPivot!$B$4,"Year",A19)</f>
        <v>15</v>
      </c>
      <c r="C19" s="619">
        <f>GETPIVOTDATA("Sum of Prohibition Notice",NoticesPivot!$B$4,"Year",A19)</f>
        <v>13</v>
      </c>
      <c r="D19" s="619">
        <f>GETPIVOTDATA("Sum of Alterations Notice",NoticesPivot!$B$4,"Year",A19)</f>
        <v>2</v>
      </c>
      <c r="E19" s="373"/>
      <c r="O19" s="428"/>
    </row>
    <row r="20" spans="1:15" x14ac:dyDescent="0.25">
      <c r="A20" s="372"/>
      <c r="B20" s="373"/>
      <c r="C20" s="373"/>
      <c r="D20" s="373"/>
      <c r="E20" s="373"/>
      <c r="O20" s="428"/>
    </row>
    <row r="21" spans="1:15" x14ac:dyDescent="0.25">
      <c r="A21" s="339" t="s">
        <v>8</v>
      </c>
      <c r="B21" s="25"/>
      <c r="C21" s="25"/>
      <c r="D21" s="25"/>
      <c r="O21" s="428"/>
    </row>
    <row r="22" spans="1:15" ht="46.5" customHeight="1" x14ac:dyDescent="0.25">
      <c r="A22" s="1026" t="s">
        <v>571</v>
      </c>
      <c r="B22" s="1026"/>
      <c r="C22" s="1026"/>
      <c r="D22" s="1026"/>
      <c r="E22" s="1026"/>
      <c r="O22" s="428"/>
    </row>
    <row r="23" spans="1:15" ht="44.45" customHeight="1" x14ac:dyDescent="0.25">
      <c r="A23" s="996" t="s">
        <v>226</v>
      </c>
      <c r="B23" s="996"/>
      <c r="C23" s="996"/>
      <c r="D23" s="996"/>
      <c r="E23" s="996"/>
      <c r="O23" s="428"/>
    </row>
    <row r="24" spans="1:15" ht="15.75" x14ac:dyDescent="0.25">
      <c r="A24" s="362"/>
      <c r="C24" s="226"/>
      <c r="D24" s="324"/>
      <c r="E24" s="324"/>
      <c r="O24" s="428"/>
    </row>
    <row r="25" spans="1:15" x14ac:dyDescent="0.25">
      <c r="O25" s="428"/>
    </row>
    <row r="26" spans="1:15" x14ac:dyDescent="0.25">
      <c r="O26" s="428"/>
    </row>
    <row r="27" spans="1:15" x14ac:dyDescent="0.25">
      <c r="O27" s="428"/>
    </row>
    <row r="28" spans="1:15" x14ac:dyDescent="0.25">
      <c r="O28" s="428"/>
    </row>
    <row r="29" spans="1:15" x14ac:dyDescent="0.25">
      <c r="O29" s="428"/>
    </row>
    <row r="30" spans="1:15" x14ac:dyDescent="0.25">
      <c r="O30" s="428"/>
    </row>
    <row r="31" spans="1:15" x14ac:dyDescent="0.25">
      <c r="O31" s="428"/>
    </row>
    <row r="32" spans="1:15" x14ac:dyDescent="0.25">
      <c r="O32" s="428"/>
    </row>
    <row r="33" spans="15:15" x14ac:dyDescent="0.25">
      <c r="O33" s="428"/>
    </row>
    <row r="34" spans="15:15" x14ac:dyDescent="0.25">
      <c r="O34" s="428"/>
    </row>
    <row r="35" spans="15:15" x14ac:dyDescent="0.25">
      <c r="O35" s="428"/>
    </row>
    <row r="36" spans="15:15" x14ac:dyDescent="0.25">
      <c r="O36" s="428"/>
    </row>
    <row r="37" spans="15:15" x14ac:dyDescent="0.25">
      <c r="O37" s="428"/>
    </row>
    <row r="38" spans="15:15" x14ac:dyDescent="0.25">
      <c r="O38" s="428"/>
    </row>
    <row r="39" spans="15:15" x14ac:dyDescent="0.25">
      <c r="O39" s="428"/>
    </row>
    <row r="40" spans="15:15" x14ac:dyDescent="0.25">
      <c r="O40" s="428"/>
    </row>
    <row r="41" spans="15:15" x14ac:dyDescent="0.25">
      <c r="O41" s="428"/>
    </row>
    <row r="42" spans="15:15" x14ac:dyDescent="0.25">
      <c r="O42" s="428"/>
    </row>
    <row r="43" spans="15:15" x14ac:dyDescent="0.25">
      <c r="O43" s="428"/>
    </row>
    <row r="44" spans="15:15" x14ac:dyDescent="0.25">
      <c r="O44" s="428"/>
    </row>
    <row r="45" spans="15:15" x14ac:dyDescent="0.25">
      <c r="O45" s="428"/>
    </row>
    <row r="46" spans="15:15" x14ac:dyDescent="0.25">
      <c r="O46" s="428"/>
    </row>
  </sheetData>
  <sheetProtection algorithmName="SHA-512" hashValue="k2A4qmx6+bQNbsls2QqdkoIPunO7GfpoJZpykKxJmac9a9kWu9EKgkmqxvRA7H2/L2IKpP8oxmbObAyCM8AFIA==" saltValue="7jMo7JjHPj1TbNjZBoKuIw==" spinCount="100000" sheet="1" scenarios="1" formatCells="0" sort="0" autoFilter="0" pivotTables="0"/>
  <mergeCells count="2">
    <mergeCell ref="A23:E23"/>
    <mergeCell ref="A22:E22"/>
  </mergeCells>
  <hyperlinks>
    <hyperlink ref="A2" location="'Table of Contents'!A1" display="Back to Table of Contents" xr:uid="{00000000-0004-0000-AE00-000000000000}"/>
  </hyperlinks>
  <pageMargins left="0.70866141732283472" right="0.70866141732283472" top="0.74803149606299213" bottom="0.74803149606299213" header="0.31496062992125984" footer="0.31496062992125984"/>
  <pageSetup paperSize="9" scale="81"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theme="3" tint="0.39997558519241921"/>
  </sheetPr>
  <dimension ref="A1:G19"/>
  <sheetViews>
    <sheetView workbookViewId="0">
      <selection activeCell="E10" sqref="E10"/>
    </sheetView>
  </sheetViews>
  <sheetFormatPr defaultRowHeight="15" x14ac:dyDescent="0.25"/>
  <cols>
    <col min="1" max="1" width="12.5703125" bestFit="1" customWidth="1"/>
    <col min="2" max="2" width="9.7109375" bestFit="1" customWidth="1"/>
    <col min="3" max="3" width="8" bestFit="1" customWidth="1"/>
    <col min="4" max="4" width="9" bestFit="1" customWidth="1"/>
    <col min="5" max="5" width="8.42578125" bestFit="1" customWidth="1"/>
    <col min="6" max="6" width="9.5703125" bestFit="1" customWidth="1"/>
    <col min="7" max="7" width="16.85546875" bestFit="1" customWidth="1"/>
  </cols>
  <sheetData>
    <row r="1" spans="1:7" x14ac:dyDescent="0.25">
      <c r="A1" s="394" t="s">
        <v>1</v>
      </c>
      <c r="B1" t="s">
        <v>1108</v>
      </c>
    </row>
    <row r="3" spans="1:7" x14ac:dyDescent="0.25">
      <c r="A3" s="394" t="s">
        <v>231</v>
      </c>
      <c r="B3" t="s">
        <v>427</v>
      </c>
      <c r="C3" t="s">
        <v>428</v>
      </c>
      <c r="D3" t="s">
        <v>425</v>
      </c>
      <c r="E3" t="s">
        <v>426</v>
      </c>
      <c r="F3" t="s">
        <v>429</v>
      </c>
      <c r="G3" t="s">
        <v>960</v>
      </c>
    </row>
    <row r="4" spans="1:7" x14ac:dyDescent="0.25">
      <c r="A4" s="395" t="s">
        <v>389</v>
      </c>
      <c r="B4">
        <v>14</v>
      </c>
      <c r="C4">
        <v>25</v>
      </c>
      <c r="D4">
        <v>216</v>
      </c>
      <c r="E4">
        <v>23</v>
      </c>
      <c r="F4">
        <v>4</v>
      </c>
      <c r="G4">
        <v>5</v>
      </c>
    </row>
    <row r="5" spans="1:7" x14ac:dyDescent="0.25">
      <c r="A5" s="395" t="s">
        <v>390</v>
      </c>
      <c r="B5">
        <v>130</v>
      </c>
      <c r="C5">
        <v>722</v>
      </c>
      <c r="D5">
        <v>549</v>
      </c>
      <c r="E5">
        <v>192</v>
      </c>
      <c r="F5">
        <v>12</v>
      </c>
      <c r="G5">
        <v>5</v>
      </c>
    </row>
    <row r="6" spans="1:7" x14ac:dyDescent="0.25">
      <c r="A6" s="395" t="s">
        <v>391</v>
      </c>
      <c r="B6">
        <v>69</v>
      </c>
      <c r="C6">
        <v>119</v>
      </c>
      <c r="D6">
        <v>1519</v>
      </c>
      <c r="E6">
        <v>101</v>
      </c>
      <c r="F6">
        <v>2</v>
      </c>
      <c r="G6">
        <v>17</v>
      </c>
    </row>
    <row r="7" spans="1:7" x14ac:dyDescent="0.25">
      <c r="A7" s="395" t="s">
        <v>392</v>
      </c>
      <c r="B7">
        <v>2</v>
      </c>
      <c r="C7">
        <v>5</v>
      </c>
      <c r="D7">
        <v>24</v>
      </c>
      <c r="E7">
        <v>17</v>
      </c>
      <c r="F7">
        <v>2</v>
      </c>
      <c r="G7">
        <v>1</v>
      </c>
    </row>
    <row r="8" spans="1:7" x14ac:dyDescent="0.25">
      <c r="A8" s="395" t="s">
        <v>393</v>
      </c>
      <c r="B8">
        <v>2</v>
      </c>
      <c r="C8">
        <v>186</v>
      </c>
      <c r="D8">
        <v>705</v>
      </c>
      <c r="E8">
        <v>189</v>
      </c>
      <c r="F8">
        <v>16</v>
      </c>
      <c r="G8">
        <v>12</v>
      </c>
    </row>
    <row r="9" spans="1:7" x14ac:dyDescent="0.25">
      <c r="A9" s="395" t="s">
        <v>394</v>
      </c>
      <c r="B9">
        <v>15</v>
      </c>
      <c r="C9">
        <v>503</v>
      </c>
      <c r="D9">
        <v>649</v>
      </c>
      <c r="E9">
        <v>75</v>
      </c>
      <c r="F9">
        <v>0</v>
      </c>
      <c r="G9">
        <v>14</v>
      </c>
    </row>
    <row r="10" spans="1:7" x14ac:dyDescent="0.25">
      <c r="A10" s="395" t="s">
        <v>395</v>
      </c>
      <c r="B10">
        <v>0</v>
      </c>
      <c r="C10">
        <v>3</v>
      </c>
      <c r="D10">
        <v>6</v>
      </c>
      <c r="E10">
        <v>2</v>
      </c>
      <c r="F10">
        <v>0</v>
      </c>
    </row>
    <row r="11" spans="1:7" x14ac:dyDescent="0.25">
      <c r="A11" s="395" t="s">
        <v>396</v>
      </c>
      <c r="B11">
        <v>0</v>
      </c>
      <c r="C11">
        <v>0</v>
      </c>
      <c r="D11">
        <v>18</v>
      </c>
      <c r="E11">
        <v>7</v>
      </c>
      <c r="F11">
        <v>0</v>
      </c>
    </row>
    <row r="12" spans="1:7" x14ac:dyDescent="0.25">
      <c r="A12" s="395" t="s">
        <v>397</v>
      </c>
      <c r="B12">
        <v>12</v>
      </c>
      <c r="C12">
        <v>37</v>
      </c>
      <c r="D12">
        <v>95</v>
      </c>
      <c r="E12">
        <v>54</v>
      </c>
      <c r="F12">
        <v>4</v>
      </c>
      <c r="G12">
        <v>3</v>
      </c>
    </row>
    <row r="13" spans="1:7" x14ac:dyDescent="0.25">
      <c r="A13" s="395" t="s">
        <v>398</v>
      </c>
      <c r="B13">
        <v>18</v>
      </c>
      <c r="C13">
        <v>26</v>
      </c>
      <c r="D13">
        <v>93</v>
      </c>
      <c r="E13">
        <v>18</v>
      </c>
      <c r="F13">
        <v>1</v>
      </c>
      <c r="G13">
        <v>3</v>
      </c>
    </row>
    <row r="14" spans="1:7" x14ac:dyDescent="0.25">
      <c r="A14" s="395" t="s">
        <v>399</v>
      </c>
      <c r="B14">
        <v>37</v>
      </c>
      <c r="C14">
        <v>69</v>
      </c>
      <c r="D14">
        <v>136</v>
      </c>
      <c r="E14">
        <v>51</v>
      </c>
      <c r="F14">
        <v>3</v>
      </c>
      <c r="G14">
        <v>5</v>
      </c>
    </row>
    <row r="15" spans="1:7" x14ac:dyDescent="0.25">
      <c r="A15" s="395" t="s">
        <v>400</v>
      </c>
      <c r="B15">
        <v>10</v>
      </c>
      <c r="C15">
        <v>13</v>
      </c>
      <c r="D15">
        <v>119</v>
      </c>
      <c r="E15">
        <v>26</v>
      </c>
      <c r="F15">
        <v>0</v>
      </c>
      <c r="G15">
        <v>4</v>
      </c>
    </row>
    <row r="16" spans="1:7" x14ac:dyDescent="0.25">
      <c r="A16" s="395" t="s">
        <v>401</v>
      </c>
      <c r="B16">
        <v>1</v>
      </c>
      <c r="C16">
        <v>71</v>
      </c>
      <c r="D16">
        <v>120</v>
      </c>
      <c r="E16">
        <v>28</v>
      </c>
      <c r="F16">
        <v>0</v>
      </c>
      <c r="G16">
        <v>2</v>
      </c>
    </row>
    <row r="17" spans="1:7" x14ac:dyDescent="0.25">
      <c r="A17" s="395" t="s">
        <v>402</v>
      </c>
      <c r="B17">
        <v>8</v>
      </c>
      <c r="C17">
        <v>39</v>
      </c>
      <c r="D17">
        <v>111</v>
      </c>
      <c r="E17">
        <v>85</v>
      </c>
      <c r="F17">
        <v>6</v>
      </c>
    </row>
    <row r="18" spans="1:7" x14ac:dyDescent="0.25">
      <c r="A18" s="395" t="s">
        <v>403</v>
      </c>
      <c r="B18">
        <v>0</v>
      </c>
      <c r="C18">
        <v>49</v>
      </c>
      <c r="D18">
        <v>48</v>
      </c>
      <c r="E18">
        <v>56</v>
      </c>
      <c r="F18">
        <v>12</v>
      </c>
      <c r="G18">
        <v>4</v>
      </c>
    </row>
    <row r="19" spans="1:7" x14ac:dyDescent="0.25">
      <c r="A19" s="395" t="s">
        <v>236</v>
      </c>
      <c r="B19">
        <v>318</v>
      </c>
      <c r="C19">
        <v>1867</v>
      </c>
      <c r="D19">
        <v>4408</v>
      </c>
      <c r="E19">
        <v>924</v>
      </c>
      <c r="F19">
        <v>62</v>
      </c>
      <c r="G19">
        <v>75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tabColor theme="3" tint="0.39997558519241921"/>
  </sheetPr>
  <dimension ref="A1:J151"/>
  <sheetViews>
    <sheetView workbookViewId="0">
      <selection activeCell="C82" sqref="C82"/>
    </sheetView>
  </sheetViews>
  <sheetFormatPr defaultRowHeight="15" x14ac:dyDescent="0.25"/>
  <cols>
    <col min="1" max="1" width="7.42578125" bestFit="1" customWidth="1"/>
    <col min="2" max="2" width="7" bestFit="1" customWidth="1"/>
    <col min="3" max="3" width="27.42578125" bestFit="1" customWidth="1"/>
    <col min="4" max="4" width="5.140625" bestFit="1" customWidth="1"/>
    <col min="5" max="5" width="3.85546875" bestFit="1" customWidth="1"/>
    <col min="6" max="6" width="4.85546875" bestFit="1" customWidth="1"/>
    <col min="7" max="7" width="4.42578125" bestFit="1" customWidth="1"/>
    <col min="8" max="8" width="5.5703125" bestFit="1" customWidth="1"/>
    <col min="9" max="9" width="12.42578125" bestFit="1" customWidth="1"/>
    <col min="10" max="10" width="7.42578125" bestFit="1" customWidth="1"/>
  </cols>
  <sheetData>
    <row r="1" spans="1:10" x14ac:dyDescent="0.25">
      <c r="A1" t="s">
        <v>1</v>
      </c>
      <c r="B1" t="s">
        <v>956</v>
      </c>
      <c r="C1" t="s">
        <v>957</v>
      </c>
      <c r="D1" t="s">
        <v>958</v>
      </c>
      <c r="E1" t="s">
        <v>397</v>
      </c>
      <c r="F1" t="s">
        <v>398</v>
      </c>
      <c r="G1" t="s">
        <v>394</v>
      </c>
      <c r="H1" t="s">
        <v>959</v>
      </c>
      <c r="I1" t="s">
        <v>783</v>
      </c>
      <c r="J1" t="s">
        <v>26</v>
      </c>
    </row>
    <row r="2" spans="1:10" x14ac:dyDescent="0.25">
      <c r="A2" t="s">
        <v>191</v>
      </c>
      <c r="B2" t="s">
        <v>394</v>
      </c>
      <c r="C2" t="s">
        <v>137</v>
      </c>
      <c r="D2">
        <v>7</v>
      </c>
      <c r="E2">
        <v>86</v>
      </c>
      <c r="F2">
        <v>137</v>
      </c>
      <c r="G2">
        <v>20</v>
      </c>
      <c r="H2">
        <v>1</v>
      </c>
      <c r="J2">
        <v>251</v>
      </c>
    </row>
    <row r="3" spans="1:10" x14ac:dyDescent="0.25">
      <c r="A3" t="s">
        <v>190</v>
      </c>
      <c r="B3" t="s">
        <v>389</v>
      </c>
      <c r="C3" t="s">
        <v>133</v>
      </c>
      <c r="D3">
        <v>9</v>
      </c>
      <c r="E3">
        <v>24</v>
      </c>
      <c r="F3">
        <v>255</v>
      </c>
      <c r="G3">
        <v>118</v>
      </c>
      <c r="H3">
        <v>45</v>
      </c>
      <c r="J3">
        <v>451</v>
      </c>
    </row>
    <row r="4" spans="1:10" x14ac:dyDescent="0.25">
      <c r="A4" t="s">
        <v>190</v>
      </c>
      <c r="B4" t="s">
        <v>395</v>
      </c>
      <c r="C4" t="s">
        <v>138</v>
      </c>
      <c r="D4">
        <v>0</v>
      </c>
      <c r="E4">
        <v>0</v>
      </c>
      <c r="F4">
        <v>21</v>
      </c>
      <c r="G4">
        <v>15</v>
      </c>
      <c r="H4">
        <v>0</v>
      </c>
      <c r="J4">
        <v>36</v>
      </c>
    </row>
    <row r="5" spans="1:10" x14ac:dyDescent="0.25">
      <c r="A5" t="s">
        <v>257</v>
      </c>
      <c r="B5" t="s">
        <v>390</v>
      </c>
      <c r="C5" t="s">
        <v>134</v>
      </c>
      <c r="D5">
        <v>67</v>
      </c>
      <c r="E5">
        <v>638</v>
      </c>
      <c r="F5">
        <v>783</v>
      </c>
      <c r="G5">
        <v>219</v>
      </c>
      <c r="H5">
        <v>12</v>
      </c>
      <c r="J5">
        <v>1719</v>
      </c>
    </row>
    <row r="6" spans="1:10" x14ac:dyDescent="0.25">
      <c r="A6" t="s">
        <v>240</v>
      </c>
      <c r="B6" t="s">
        <v>390</v>
      </c>
      <c r="C6" t="s">
        <v>134</v>
      </c>
      <c r="D6">
        <v>72</v>
      </c>
      <c r="E6">
        <v>580</v>
      </c>
      <c r="F6">
        <v>791</v>
      </c>
      <c r="G6">
        <v>201</v>
      </c>
      <c r="H6">
        <v>9</v>
      </c>
      <c r="J6">
        <v>1653</v>
      </c>
    </row>
    <row r="7" spans="1:10" x14ac:dyDescent="0.25">
      <c r="A7" t="s">
        <v>240</v>
      </c>
      <c r="B7" t="s">
        <v>394</v>
      </c>
      <c r="C7" t="s">
        <v>137</v>
      </c>
      <c r="D7">
        <v>1</v>
      </c>
      <c r="E7">
        <v>81</v>
      </c>
      <c r="F7">
        <v>273</v>
      </c>
      <c r="G7">
        <v>53</v>
      </c>
      <c r="H7">
        <v>0</v>
      </c>
      <c r="J7">
        <v>408</v>
      </c>
    </row>
    <row r="8" spans="1:10" x14ac:dyDescent="0.25">
      <c r="A8" t="s">
        <v>760</v>
      </c>
      <c r="B8" t="s">
        <v>389</v>
      </c>
      <c r="C8" t="s">
        <v>133</v>
      </c>
      <c r="D8">
        <v>11</v>
      </c>
      <c r="E8">
        <v>19</v>
      </c>
      <c r="F8">
        <v>239</v>
      </c>
      <c r="G8">
        <v>27</v>
      </c>
      <c r="H8">
        <v>2</v>
      </c>
      <c r="J8">
        <v>298</v>
      </c>
    </row>
    <row r="9" spans="1:10" x14ac:dyDescent="0.25">
      <c r="A9" t="s">
        <v>760</v>
      </c>
      <c r="B9" t="s">
        <v>399</v>
      </c>
      <c r="C9" t="s">
        <v>142</v>
      </c>
      <c r="D9">
        <v>61</v>
      </c>
      <c r="E9">
        <v>72</v>
      </c>
      <c r="F9">
        <v>179</v>
      </c>
      <c r="G9">
        <v>46</v>
      </c>
      <c r="H9">
        <v>0</v>
      </c>
    </row>
    <row r="10" spans="1:10" x14ac:dyDescent="0.25">
      <c r="A10" t="s">
        <v>1010</v>
      </c>
      <c r="B10" t="s">
        <v>395</v>
      </c>
      <c r="C10" t="s">
        <v>138</v>
      </c>
      <c r="D10">
        <v>0</v>
      </c>
      <c r="E10">
        <v>3</v>
      </c>
      <c r="F10">
        <v>6</v>
      </c>
      <c r="G10">
        <v>1</v>
      </c>
      <c r="H10">
        <v>0</v>
      </c>
      <c r="I10">
        <v>0</v>
      </c>
    </row>
    <row r="11" spans="1:10" x14ac:dyDescent="0.25">
      <c r="A11" t="s">
        <v>1010</v>
      </c>
      <c r="B11" t="s">
        <v>397</v>
      </c>
      <c r="C11" t="s">
        <v>140</v>
      </c>
      <c r="D11">
        <v>3</v>
      </c>
      <c r="E11">
        <v>18</v>
      </c>
      <c r="F11">
        <v>65</v>
      </c>
      <c r="G11">
        <v>40</v>
      </c>
      <c r="H11">
        <v>3</v>
      </c>
      <c r="I11">
        <v>3</v>
      </c>
      <c r="J11">
        <v>129</v>
      </c>
    </row>
    <row r="12" spans="1:10" x14ac:dyDescent="0.25">
      <c r="A12" t="s">
        <v>1010</v>
      </c>
      <c r="B12" t="s">
        <v>400</v>
      </c>
      <c r="C12" t="s">
        <v>143</v>
      </c>
      <c r="D12">
        <v>6</v>
      </c>
      <c r="E12">
        <v>10</v>
      </c>
      <c r="F12">
        <v>123</v>
      </c>
      <c r="G12">
        <v>33</v>
      </c>
      <c r="H12">
        <v>1</v>
      </c>
      <c r="I12">
        <v>3</v>
      </c>
      <c r="J12">
        <v>173</v>
      </c>
    </row>
    <row r="13" spans="1:10" x14ac:dyDescent="0.25">
      <c r="A13" t="s">
        <v>1061</v>
      </c>
      <c r="B13" t="s">
        <v>389</v>
      </c>
      <c r="C13" t="s">
        <v>133</v>
      </c>
      <c r="D13">
        <v>17</v>
      </c>
      <c r="E13">
        <v>24</v>
      </c>
      <c r="F13">
        <v>224</v>
      </c>
      <c r="G13">
        <v>16</v>
      </c>
      <c r="H13">
        <v>4</v>
      </c>
      <c r="I13">
        <v>3</v>
      </c>
      <c r="J13">
        <v>285</v>
      </c>
    </row>
    <row r="14" spans="1:10" x14ac:dyDescent="0.25">
      <c r="A14" t="s">
        <v>1061</v>
      </c>
      <c r="B14" t="s">
        <v>398</v>
      </c>
      <c r="C14" t="s">
        <v>141</v>
      </c>
      <c r="D14">
        <v>25</v>
      </c>
      <c r="E14">
        <v>40</v>
      </c>
      <c r="F14">
        <v>116</v>
      </c>
      <c r="G14">
        <v>34</v>
      </c>
      <c r="H14">
        <v>1</v>
      </c>
      <c r="I14">
        <v>3</v>
      </c>
      <c r="J14">
        <v>216</v>
      </c>
    </row>
    <row r="15" spans="1:10" x14ac:dyDescent="0.25">
      <c r="A15" t="s">
        <v>1108</v>
      </c>
      <c r="B15" t="s">
        <v>398</v>
      </c>
      <c r="C15" t="s">
        <v>141</v>
      </c>
      <c r="D15">
        <v>18</v>
      </c>
      <c r="E15">
        <v>26</v>
      </c>
      <c r="F15">
        <v>93</v>
      </c>
      <c r="G15">
        <v>18</v>
      </c>
      <c r="H15">
        <v>1</v>
      </c>
      <c r="I15">
        <v>3</v>
      </c>
      <c r="J15">
        <v>156</v>
      </c>
    </row>
    <row r="16" spans="1:10" x14ac:dyDescent="0.25">
      <c r="A16" t="s">
        <v>1108</v>
      </c>
      <c r="B16" t="s">
        <v>400</v>
      </c>
      <c r="C16" t="s">
        <v>143</v>
      </c>
      <c r="D16">
        <v>10</v>
      </c>
      <c r="E16">
        <v>13</v>
      </c>
      <c r="F16">
        <v>119</v>
      </c>
      <c r="G16">
        <v>26</v>
      </c>
      <c r="H16">
        <v>0</v>
      </c>
      <c r="I16">
        <v>4</v>
      </c>
    </row>
    <row r="17" spans="1:10" x14ac:dyDescent="0.25">
      <c r="A17" t="s">
        <v>1108</v>
      </c>
      <c r="B17" t="s">
        <v>403</v>
      </c>
      <c r="C17" t="s">
        <v>943</v>
      </c>
      <c r="D17">
        <v>0</v>
      </c>
      <c r="E17">
        <v>49</v>
      </c>
      <c r="F17">
        <v>48</v>
      </c>
      <c r="G17">
        <v>56</v>
      </c>
      <c r="H17">
        <v>12</v>
      </c>
      <c r="I17">
        <v>4</v>
      </c>
    </row>
    <row r="18" spans="1:10" x14ac:dyDescent="0.25">
      <c r="A18" t="s">
        <v>191</v>
      </c>
      <c r="B18" t="s">
        <v>391</v>
      </c>
      <c r="C18" t="s">
        <v>150</v>
      </c>
      <c r="D18">
        <v>45</v>
      </c>
      <c r="E18">
        <v>247</v>
      </c>
      <c r="F18">
        <v>1599</v>
      </c>
      <c r="G18">
        <v>55</v>
      </c>
      <c r="H18">
        <v>1</v>
      </c>
      <c r="J18">
        <v>1947</v>
      </c>
    </row>
    <row r="19" spans="1:10" x14ac:dyDescent="0.25">
      <c r="A19" t="s">
        <v>191</v>
      </c>
      <c r="B19" t="s">
        <v>396</v>
      </c>
      <c r="C19" t="s">
        <v>139</v>
      </c>
      <c r="D19">
        <v>2</v>
      </c>
      <c r="E19">
        <v>2</v>
      </c>
      <c r="F19">
        <v>27</v>
      </c>
      <c r="G19">
        <v>37</v>
      </c>
      <c r="H19">
        <v>0</v>
      </c>
      <c r="J19">
        <v>68</v>
      </c>
    </row>
    <row r="20" spans="1:10" x14ac:dyDescent="0.25">
      <c r="A20" t="s">
        <v>191</v>
      </c>
      <c r="B20" t="s">
        <v>400</v>
      </c>
      <c r="C20" t="s">
        <v>143</v>
      </c>
      <c r="D20">
        <v>3</v>
      </c>
      <c r="E20">
        <v>13</v>
      </c>
      <c r="F20">
        <v>170</v>
      </c>
      <c r="G20">
        <v>165</v>
      </c>
      <c r="H20">
        <v>5</v>
      </c>
      <c r="J20">
        <v>356</v>
      </c>
    </row>
    <row r="21" spans="1:10" x14ac:dyDescent="0.25">
      <c r="A21" t="s">
        <v>191</v>
      </c>
      <c r="B21" t="s">
        <v>402</v>
      </c>
      <c r="C21" t="s">
        <v>145</v>
      </c>
      <c r="D21">
        <v>17</v>
      </c>
      <c r="E21">
        <v>49</v>
      </c>
      <c r="F21">
        <v>209</v>
      </c>
      <c r="G21">
        <v>68</v>
      </c>
      <c r="H21">
        <v>1</v>
      </c>
      <c r="J21">
        <v>344</v>
      </c>
    </row>
    <row r="22" spans="1:10" x14ac:dyDescent="0.25">
      <c r="A22" t="s">
        <v>190</v>
      </c>
      <c r="B22" t="s">
        <v>392</v>
      </c>
      <c r="C22" t="s">
        <v>135</v>
      </c>
      <c r="D22">
        <v>1</v>
      </c>
      <c r="E22">
        <v>5</v>
      </c>
      <c r="F22">
        <v>49</v>
      </c>
      <c r="G22">
        <v>43</v>
      </c>
      <c r="H22">
        <v>21</v>
      </c>
      <c r="J22">
        <v>119</v>
      </c>
    </row>
    <row r="23" spans="1:10" x14ac:dyDescent="0.25">
      <c r="A23" t="s">
        <v>190</v>
      </c>
      <c r="B23" t="s">
        <v>394</v>
      </c>
      <c r="C23" t="s">
        <v>137</v>
      </c>
      <c r="D23">
        <v>29</v>
      </c>
      <c r="E23">
        <v>82</v>
      </c>
      <c r="F23">
        <v>198</v>
      </c>
      <c r="G23">
        <v>41</v>
      </c>
      <c r="H23">
        <v>1</v>
      </c>
      <c r="J23">
        <v>351</v>
      </c>
    </row>
    <row r="24" spans="1:10" x14ac:dyDescent="0.25">
      <c r="A24" t="s">
        <v>257</v>
      </c>
      <c r="B24" t="s">
        <v>399</v>
      </c>
      <c r="C24" t="s">
        <v>142</v>
      </c>
      <c r="D24">
        <v>77</v>
      </c>
      <c r="E24">
        <v>46</v>
      </c>
      <c r="F24">
        <v>346</v>
      </c>
      <c r="G24">
        <v>52</v>
      </c>
      <c r="H24">
        <v>2</v>
      </c>
      <c r="J24">
        <v>523</v>
      </c>
    </row>
    <row r="25" spans="1:10" x14ac:dyDescent="0.25">
      <c r="A25" t="s">
        <v>257</v>
      </c>
      <c r="B25" t="s">
        <v>400</v>
      </c>
      <c r="C25" t="s">
        <v>143</v>
      </c>
      <c r="D25">
        <v>6</v>
      </c>
      <c r="E25">
        <v>8</v>
      </c>
      <c r="F25">
        <v>160</v>
      </c>
      <c r="G25">
        <v>59</v>
      </c>
      <c r="H25">
        <v>2</v>
      </c>
      <c r="J25">
        <v>235</v>
      </c>
    </row>
    <row r="26" spans="1:10" x14ac:dyDescent="0.25">
      <c r="A26" t="s">
        <v>240</v>
      </c>
      <c r="B26" t="s">
        <v>401</v>
      </c>
      <c r="C26" t="s">
        <v>144</v>
      </c>
      <c r="D26">
        <v>2</v>
      </c>
      <c r="E26">
        <v>32</v>
      </c>
      <c r="F26">
        <v>150</v>
      </c>
      <c r="G26">
        <v>44</v>
      </c>
      <c r="H26">
        <v>0</v>
      </c>
      <c r="J26">
        <v>228</v>
      </c>
    </row>
    <row r="27" spans="1:10" x14ac:dyDescent="0.25">
      <c r="A27" t="s">
        <v>240</v>
      </c>
      <c r="B27" t="s">
        <v>403</v>
      </c>
      <c r="C27" t="s">
        <v>943</v>
      </c>
      <c r="D27">
        <v>1</v>
      </c>
      <c r="E27">
        <v>19</v>
      </c>
      <c r="F27">
        <v>72</v>
      </c>
      <c r="G27">
        <v>17</v>
      </c>
      <c r="H27">
        <v>4</v>
      </c>
      <c r="J27">
        <v>113</v>
      </c>
    </row>
    <row r="28" spans="1:10" x14ac:dyDescent="0.25">
      <c r="A28" t="s">
        <v>239</v>
      </c>
      <c r="B28" t="s">
        <v>400</v>
      </c>
      <c r="C28" t="s">
        <v>143</v>
      </c>
      <c r="D28">
        <v>2</v>
      </c>
      <c r="E28">
        <v>20</v>
      </c>
      <c r="F28">
        <v>196</v>
      </c>
      <c r="G28">
        <v>59</v>
      </c>
      <c r="H28">
        <v>6</v>
      </c>
      <c r="J28">
        <v>283</v>
      </c>
    </row>
    <row r="29" spans="1:10" x14ac:dyDescent="0.25">
      <c r="A29" t="s">
        <v>239</v>
      </c>
      <c r="B29" t="s">
        <v>402</v>
      </c>
      <c r="C29" t="s">
        <v>145</v>
      </c>
      <c r="D29">
        <v>2</v>
      </c>
      <c r="E29">
        <v>29</v>
      </c>
      <c r="F29">
        <v>170</v>
      </c>
      <c r="G29">
        <v>62</v>
      </c>
      <c r="H29">
        <v>4</v>
      </c>
      <c r="J29">
        <v>267</v>
      </c>
    </row>
    <row r="30" spans="1:10" x14ac:dyDescent="0.25">
      <c r="A30" t="s">
        <v>760</v>
      </c>
      <c r="B30" t="s">
        <v>393</v>
      </c>
      <c r="C30" t="s">
        <v>136</v>
      </c>
      <c r="D30">
        <v>1</v>
      </c>
      <c r="E30">
        <v>131</v>
      </c>
      <c r="F30">
        <v>746</v>
      </c>
      <c r="G30">
        <v>191</v>
      </c>
      <c r="H30">
        <v>12</v>
      </c>
      <c r="J30">
        <v>1081</v>
      </c>
    </row>
    <row r="31" spans="1:10" x14ac:dyDescent="0.25">
      <c r="A31" t="s">
        <v>760</v>
      </c>
      <c r="B31" t="s">
        <v>395</v>
      </c>
      <c r="C31" t="s">
        <v>138</v>
      </c>
      <c r="D31">
        <v>0</v>
      </c>
      <c r="E31">
        <v>5</v>
      </c>
      <c r="F31">
        <v>18</v>
      </c>
      <c r="G31">
        <v>2</v>
      </c>
      <c r="H31">
        <v>0</v>
      </c>
    </row>
    <row r="32" spans="1:10" x14ac:dyDescent="0.25">
      <c r="A32" t="s">
        <v>760</v>
      </c>
      <c r="B32" t="s">
        <v>398</v>
      </c>
      <c r="C32" t="s">
        <v>141</v>
      </c>
      <c r="D32">
        <v>23</v>
      </c>
      <c r="E32">
        <v>30</v>
      </c>
      <c r="F32">
        <v>170</v>
      </c>
      <c r="G32">
        <v>44</v>
      </c>
      <c r="H32">
        <v>4</v>
      </c>
      <c r="J32">
        <v>271</v>
      </c>
    </row>
    <row r="33" spans="1:10" x14ac:dyDescent="0.25">
      <c r="A33" t="s">
        <v>1010</v>
      </c>
      <c r="B33" t="s">
        <v>390</v>
      </c>
      <c r="C33" t="s">
        <v>134</v>
      </c>
      <c r="D33">
        <v>99</v>
      </c>
      <c r="E33">
        <v>623</v>
      </c>
      <c r="F33">
        <v>490</v>
      </c>
      <c r="G33">
        <v>183</v>
      </c>
      <c r="H33">
        <v>9</v>
      </c>
      <c r="I33">
        <v>5</v>
      </c>
      <c r="J33">
        <v>1404</v>
      </c>
    </row>
    <row r="34" spans="1:10" x14ac:dyDescent="0.25">
      <c r="A34" t="s">
        <v>1010</v>
      </c>
      <c r="B34" t="s">
        <v>401</v>
      </c>
      <c r="C34" t="s">
        <v>144</v>
      </c>
      <c r="D34">
        <v>2</v>
      </c>
      <c r="E34">
        <v>27</v>
      </c>
      <c r="F34">
        <v>104</v>
      </c>
      <c r="G34">
        <v>25</v>
      </c>
      <c r="H34">
        <v>2</v>
      </c>
      <c r="I34">
        <v>6</v>
      </c>
      <c r="J34">
        <v>160</v>
      </c>
    </row>
    <row r="35" spans="1:10" x14ac:dyDescent="0.25">
      <c r="A35" t="s">
        <v>1061</v>
      </c>
      <c r="B35" t="s">
        <v>397</v>
      </c>
      <c r="C35" t="s">
        <v>140</v>
      </c>
      <c r="D35">
        <v>3</v>
      </c>
      <c r="E35">
        <v>22</v>
      </c>
      <c r="F35">
        <v>115</v>
      </c>
      <c r="G35">
        <v>51</v>
      </c>
      <c r="H35">
        <v>2</v>
      </c>
      <c r="I35">
        <v>2</v>
      </c>
      <c r="J35">
        <v>193</v>
      </c>
    </row>
    <row r="36" spans="1:10" x14ac:dyDescent="0.25">
      <c r="A36" t="s">
        <v>1061</v>
      </c>
      <c r="B36" t="s">
        <v>403</v>
      </c>
      <c r="C36" t="s">
        <v>943</v>
      </c>
      <c r="D36">
        <v>0</v>
      </c>
      <c r="E36">
        <v>16</v>
      </c>
      <c r="F36">
        <v>50</v>
      </c>
      <c r="G36">
        <v>34</v>
      </c>
      <c r="H36">
        <v>4</v>
      </c>
    </row>
    <row r="37" spans="1:10" x14ac:dyDescent="0.25">
      <c r="A37" t="s">
        <v>1108</v>
      </c>
      <c r="B37" t="s">
        <v>401</v>
      </c>
      <c r="C37" t="s">
        <v>144</v>
      </c>
      <c r="D37">
        <v>1</v>
      </c>
      <c r="E37">
        <v>71</v>
      </c>
      <c r="F37">
        <v>120</v>
      </c>
      <c r="G37">
        <v>28</v>
      </c>
      <c r="H37">
        <v>0</v>
      </c>
      <c r="I37">
        <v>2</v>
      </c>
    </row>
    <row r="38" spans="1:10" x14ac:dyDescent="0.25">
      <c r="A38" t="s">
        <v>191</v>
      </c>
      <c r="B38" t="s">
        <v>397</v>
      </c>
      <c r="C38" t="s">
        <v>140</v>
      </c>
      <c r="D38">
        <v>14</v>
      </c>
      <c r="E38">
        <v>165</v>
      </c>
      <c r="F38">
        <v>331</v>
      </c>
      <c r="G38">
        <v>83</v>
      </c>
      <c r="H38">
        <v>3</v>
      </c>
      <c r="J38">
        <v>596</v>
      </c>
    </row>
    <row r="39" spans="1:10" x14ac:dyDescent="0.25">
      <c r="A39" t="s">
        <v>191</v>
      </c>
      <c r="B39" t="s">
        <v>403</v>
      </c>
      <c r="C39" t="s">
        <v>943</v>
      </c>
      <c r="D39">
        <v>0</v>
      </c>
      <c r="E39">
        <v>10</v>
      </c>
      <c r="F39">
        <v>127</v>
      </c>
      <c r="G39">
        <v>32</v>
      </c>
      <c r="H39">
        <v>5</v>
      </c>
      <c r="J39">
        <v>174</v>
      </c>
    </row>
    <row r="40" spans="1:10" x14ac:dyDescent="0.25">
      <c r="A40" t="s">
        <v>190</v>
      </c>
      <c r="B40" t="s">
        <v>399</v>
      </c>
      <c r="C40" t="s">
        <v>142</v>
      </c>
      <c r="D40">
        <v>36</v>
      </c>
      <c r="E40">
        <v>197</v>
      </c>
      <c r="F40">
        <v>228</v>
      </c>
      <c r="G40">
        <v>172</v>
      </c>
      <c r="H40">
        <v>6</v>
      </c>
      <c r="J40">
        <v>639</v>
      </c>
    </row>
    <row r="41" spans="1:10" x14ac:dyDescent="0.25">
      <c r="A41" t="s">
        <v>190</v>
      </c>
      <c r="B41" t="s">
        <v>403</v>
      </c>
      <c r="C41" t="s">
        <v>943</v>
      </c>
      <c r="D41">
        <v>0</v>
      </c>
      <c r="E41">
        <v>39</v>
      </c>
      <c r="F41">
        <v>128</v>
      </c>
      <c r="G41">
        <v>26</v>
      </c>
      <c r="H41">
        <v>5</v>
      </c>
      <c r="J41">
        <v>198</v>
      </c>
    </row>
    <row r="42" spans="1:10" x14ac:dyDescent="0.25">
      <c r="A42" t="s">
        <v>240</v>
      </c>
      <c r="B42" t="s">
        <v>402</v>
      </c>
      <c r="C42" t="s">
        <v>145</v>
      </c>
      <c r="D42">
        <v>4</v>
      </c>
      <c r="E42">
        <v>18</v>
      </c>
      <c r="F42">
        <v>140</v>
      </c>
      <c r="G42">
        <v>55</v>
      </c>
      <c r="H42">
        <v>3</v>
      </c>
      <c r="J42">
        <v>220</v>
      </c>
    </row>
    <row r="43" spans="1:10" x14ac:dyDescent="0.25">
      <c r="A43" t="s">
        <v>239</v>
      </c>
      <c r="B43" t="s">
        <v>394</v>
      </c>
      <c r="C43" t="s">
        <v>137</v>
      </c>
      <c r="D43">
        <v>4</v>
      </c>
      <c r="E43">
        <v>92</v>
      </c>
      <c r="F43">
        <v>199</v>
      </c>
      <c r="G43">
        <v>28</v>
      </c>
      <c r="H43">
        <v>0</v>
      </c>
      <c r="J43">
        <v>323</v>
      </c>
    </row>
    <row r="44" spans="1:10" x14ac:dyDescent="0.25">
      <c r="A44" t="s">
        <v>239</v>
      </c>
      <c r="B44" t="s">
        <v>396</v>
      </c>
      <c r="C44" t="s">
        <v>139</v>
      </c>
      <c r="D44">
        <v>1</v>
      </c>
      <c r="E44">
        <v>2</v>
      </c>
      <c r="F44">
        <v>43</v>
      </c>
      <c r="G44">
        <v>14</v>
      </c>
      <c r="H44">
        <v>0</v>
      </c>
      <c r="J44">
        <v>60</v>
      </c>
    </row>
    <row r="45" spans="1:10" x14ac:dyDescent="0.25">
      <c r="A45" t="s">
        <v>760</v>
      </c>
      <c r="B45" t="s">
        <v>396</v>
      </c>
      <c r="C45" t="s">
        <v>139</v>
      </c>
      <c r="D45">
        <v>0</v>
      </c>
      <c r="E45">
        <v>3</v>
      </c>
      <c r="F45">
        <v>24</v>
      </c>
      <c r="G45">
        <v>12</v>
      </c>
      <c r="H45">
        <v>0</v>
      </c>
    </row>
    <row r="46" spans="1:10" x14ac:dyDescent="0.25">
      <c r="A46" t="s">
        <v>917</v>
      </c>
      <c r="B46" t="s">
        <v>399</v>
      </c>
      <c r="C46" t="s">
        <v>142</v>
      </c>
      <c r="D46">
        <v>14</v>
      </c>
      <c r="E46">
        <v>48</v>
      </c>
      <c r="F46">
        <v>44</v>
      </c>
      <c r="G46">
        <v>15</v>
      </c>
      <c r="H46">
        <v>1</v>
      </c>
      <c r="I46">
        <v>4</v>
      </c>
      <c r="J46">
        <v>122</v>
      </c>
    </row>
    <row r="47" spans="1:10" x14ac:dyDescent="0.25">
      <c r="A47" t="s">
        <v>917</v>
      </c>
      <c r="B47" t="s">
        <v>401</v>
      </c>
      <c r="C47" t="s">
        <v>144</v>
      </c>
      <c r="D47">
        <v>1</v>
      </c>
      <c r="E47">
        <v>17</v>
      </c>
      <c r="F47">
        <v>45</v>
      </c>
      <c r="G47">
        <v>21</v>
      </c>
      <c r="H47">
        <v>0</v>
      </c>
      <c r="I47">
        <v>2</v>
      </c>
    </row>
    <row r="48" spans="1:10" x14ac:dyDescent="0.25">
      <c r="A48" t="s">
        <v>1010</v>
      </c>
      <c r="B48" t="s">
        <v>391</v>
      </c>
      <c r="C48" t="s">
        <v>150</v>
      </c>
      <c r="D48">
        <v>150</v>
      </c>
      <c r="E48">
        <v>163</v>
      </c>
      <c r="F48">
        <v>1567</v>
      </c>
      <c r="G48">
        <v>87</v>
      </c>
      <c r="H48">
        <v>2</v>
      </c>
      <c r="I48">
        <v>15</v>
      </c>
      <c r="J48">
        <v>1969</v>
      </c>
    </row>
    <row r="49" spans="1:10" x14ac:dyDescent="0.25">
      <c r="A49" t="s">
        <v>1010</v>
      </c>
      <c r="B49" t="s">
        <v>392</v>
      </c>
      <c r="C49" t="s">
        <v>135</v>
      </c>
      <c r="D49">
        <v>2</v>
      </c>
      <c r="E49">
        <v>5</v>
      </c>
      <c r="F49">
        <v>11</v>
      </c>
      <c r="G49">
        <v>6</v>
      </c>
      <c r="H49">
        <v>0</v>
      </c>
      <c r="I49">
        <v>0</v>
      </c>
    </row>
    <row r="50" spans="1:10" x14ac:dyDescent="0.25">
      <c r="A50" t="s">
        <v>1108</v>
      </c>
      <c r="B50" t="s">
        <v>390</v>
      </c>
      <c r="C50" t="s">
        <v>134</v>
      </c>
      <c r="D50">
        <v>130</v>
      </c>
      <c r="E50">
        <v>722</v>
      </c>
      <c r="F50">
        <v>549</v>
      </c>
      <c r="G50">
        <v>192</v>
      </c>
      <c r="H50">
        <v>12</v>
      </c>
      <c r="I50">
        <v>5</v>
      </c>
      <c r="J50">
        <v>1605</v>
      </c>
    </row>
    <row r="51" spans="1:10" x14ac:dyDescent="0.25">
      <c r="A51" t="s">
        <v>1108</v>
      </c>
      <c r="B51" t="s">
        <v>399</v>
      </c>
      <c r="C51" t="s">
        <v>142</v>
      </c>
      <c r="D51">
        <v>37</v>
      </c>
      <c r="E51">
        <v>69</v>
      </c>
      <c r="F51">
        <v>136</v>
      </c>
      <c r="G51">
        <v>51</v>
      </c>
      <c r="H51">
        <v>3</v>
      </c>
      <c r="I51">
        <v>5</v>
      </c>
      <c r="J51">
        <v>296</v>
      </c>
    </row>
    <row r="52" spans="1:10" x14ac:dyDescent="0.25">
      <c r="A52" t="s">
        <v>191</v>
      </c>
      <c r="B52" t="s">
        <v>389</v>
      </c>
      <c r="C52" t="s">
        <v>133</v>
      </c>
      <c r="D52">
        <v>3</v>
      </c>
      <c r="E52">
        <v>14</v>
      </c>
      <c r="F52">
        <v>164</v>
      </c>
      <c r="G52">
        <v>93</v>
      </c>
      <c r="H52">
        <v>60</v>
      </c>
      <c r="J52">
        <v>334</v>
      </c>
    </row>
    <row r="53" spans="1:10" x14ac:dyDescent="0.25">
      <c r="A53" t="s">
        <v>191</v>
      </c>
      <c r="B53" t="s">
        <v>393</v>
      </c>
      <c r="C53" t="s">
        <v>136</v>
      </c>
      <c r="D53">
        <v>1</v>
      </c>
      <c r="E53">
        <v>18</v>
      </c>
      <c r="F53">
        <v>517</v>
      </c>
      <c r="G53">
        <v>487</v>
      </c>
      <c r="H53">
        <v>86</v>
      </c>
      <c r="J53">
        <v>1109</v>
      </c>
    </row>
    <row r="54" spans="1:10" x14ac:dyDescent="0.25">
      <c r="A54" t="s">
        <v>191</v>
      </c>
      <c r="B54" t="s">
        <v>398</v>
      </c>
      <c r="C54" t="s">
        <v>141</v>
      </c>
      <c r="D54">
        <v>8</v>
      </c>
      <c r="E54">
        <v>113</v>
      </c>
      <c r="F54">
        <v>114</v>
      </c>
      <c r="G54">
        <v>23</v>
      </c>
      <c r="H54">
        <v>2</v>
      </c>
      <c r="J54">
        <v>260</v>
      </c>
    </row>
    <row r="55" spans="1:10" x14ac:dyDescent="0.25">
      <c r="A55" t="s">
        <v>190</v>
      </c>
      <c r="B55" t="s">
        <v>397</v>
      </c>
      <c r="C55" t="s">
        <v>140</v>
      </c>
      <c r="D55">
        <v>17</v>
      </c>
      <c r="E55">
        <v>148</v>
      </c>
      <c r="F55">
        <v>250</v>
      </c>
      <c r="G55">
        <v>74</v>
      </c>
      <c r="H55">
        <v>5</v>
      </c>
      <c r="J55">
        <v>494</v>
      </c>
    </row>
    <row r="56" spans="1:10" x14ac:dyDescent="0.25">
      <c r="A56" t="s">
        <v>257</v>
      </c>
      <c r="B56" t="s">
        <v>402</v>
      </c>
      <c r="C56" t="s">
        <v>145</v>
      </c>
      <c r="D56">
        <v>5</v>
      </c>
      <c r="E56">
        <v>25</v>
      </c>
      <c r="F56">
        <v>191</v>
      </c>
      <c r="G56">
        <v>46</v>
      </c>
      <c r="H56">
        <v>8</v>
      </c>
      <c r="J56">
        <v>275</v>
      </c>
    </row>
    <row r="57" spans="1:10" x14ac:dyDescent="0.25">
      <c r="A57" t="s">
        <v>239</v>
      </c>
      <c r="B57" t="s">
        <v>389</v>
      </c>
      <c r="C57" t="s">
        <v>133</v>
      </c>
      <c r="D57">
        <v>7</v>
      </c>
      <c r="E57">
        <v>36</v>
      </c>
      <c r="F57">
        <v>353</v>
      </c>
      <c r="G57">
        <v>70</v>
      </c>
      <c r="H57">
        <v>5</v>
      </c>
      <c r="J57">
        <v>471</v>
      </c>
    </row>
    <row r="58" spans="1:10" x14ac:dyDescent="0.25">
      <c r="A58" t="s">
        <v>239</v>
      </c>
      <c r="B58" t="s">
        <v>391</v>
      </c>
      <c r="C58" t="s">
        <v>150</v>
      </c>
      <c r="D58">
        <v>81</v>
      </c>
      <c r="E58">
        <v>263</v>
      </c>
      <c r="F58">
        <v>1407</v>
      </c>
      <c r="G58">
        <v>109</v>
      </c>
      <c r="H58">
        <v>2</v>
      </c>
      <c r="J58">
        <v>1862</v>
      </c>
    </row>
    <row r="59" spans="1:10" x14ac:dyDescent="0.25">
      <c r="A59" t="s">
        <v>239</v>
      </c>
      <c r="B59" t="s">
        <v>397</v>
      </c>
      <c r="C59" t="s">
        <v>140</v>
      </c>
      <c r="D59">
        <v>6</v>
      </c>
      <c r="E59">
        <v>36</v>
      </c>
      <c r="F59">
        <v>247</v>
      </c>
      <c r="G59">
        <v>84</v>
      </c>
      <c r="H59">
        <v>1</v>
      </c>
      <c r="J59">
        <v>374</v>
      </c>
    </row>
    <row r="60" spans="1:10" x14ac:dyDescent="0.25">
      <c r="A60" t="s">
        <v>239</v>
      </c>
      <c r="B60" t="s">
        <v>398</v>
      </c>
      <c r="C60" t="s">
        <v>141</v>
      </c>
      <c r="D60">
        <v>35</v>
      </c>
      <c r="E60">
        <v>41</v>
      </c>
      <c r="F60">
        <v>325</v>
      </c>
      <c r="G60">
        <v>66</v>
      </c>
      <c r="H60">
        <v>3</v>
      </c>
      <c r="J60">
        <v>470</v>
      </c>
    </row>
    <row r="61" spans="1:10" x14ac:dyDescent="0.25">
      <c r="A61" t="s">
        <v>760</v>
      </c>
      <c r="B61" t="s">
        <v>394</v>
      </c>
      <c r="C61" t="s">
        <v>137</v>
      </c>
      <c r="D61">
        <v>15</v>
      </c>
      <c r="E61">
        <v>92</v>
      </c>
      <c r="F61">
        <v>335</v>
      </c>
      <c r="G61">
        <v>28</v>
      </c>
      <c r="H61">
        <v>0</v>
      </c>
    </row>
    <row r="62" spans="1:10" x14ac:dyDescent="0.25">
      <c r="A62" t="s">
        <v>917</v>
      </c>
      <c r="B62" t="s">
        <v>392</v>
      </c>
      <c r="C62" t="s">
        <v>135</v>
      </c>
      <c r="D62">
        <v>2</v>
      </c>
      <c r="E62">
        <v>10</v>
      </c>
      <c r="F62">
        <v>16</v>
      </c>
      <c r="G62">
        <v>9</v>
      </c>
      <c r="H62">
        <v>2</v>
      </c>
      <c r="J62">
        <v>39</v>
      </c>
    </row>
    <row r="63" spans="1:10" x14ac:dyDescent="0.25">
      <c r="A63" t="s">
        <v>917</v>
      </c>
      <c r="B63" t="s">
        <v>396</v>
      </c>
      <c r="C63" t="s">
        <v>139</v>
      </c>
      <c r="D63">
        <v>0</v>
      </c>
      <c r="E63">
        <v>0</v>
      </c>
      <c r="F63">
        <v>6</v>
      </c>
      <c r="G63">
        <v>0</v>
      </c>
      <c r="H63">
        <v>0</v>
      </c>
    </row>
    <row r="64" spans="1:10" x14ac:dyDescent="0.25">
      <c r="A64" t="s">
        <v>917</v>
      </c>
      <c r="B64" t="s">
        <v>398</v>
      </c>
      <c r="C64" t="s">
        <v>141</v>
      </c>
      <c r="D64">
        <v>3</v>
      </c>
      <c r="E64">
        <v>14</v>
      </c>
      <c r="F64">
        <v>30</v>
      </c>
      <c r="G64">
        <v>18</v>
      </c>
      <c r="H64">
        <v>3</v>
      </c>
      <c r="I64">
        <v>1</v>
      </c>
      <c r="J64">
        <v>68</v>
      </c>
    </row>
    <row r="65" spans="1:10" x14ac:dyDescent="0.25">
      <c r="A65" t="s">
        <v>917</v>
      </c>
      <c r="B65" t="s">
        <v>403</v>
      </c>
      <c r="C65" t="s">
        <v>943</v>
      </c>
      <c r="D65">
        <v>1</v>
      </c>
      <c r="E65">
        <v>3</v>
      </c>
      <c r="F65">
        <v>19</v>
      </c>
      <c r="G65">
        <v>16</v>
      </c>
      <c r="H65">
        <v>8</v>
      </c>
      <c r="I65">
        <v>3</v>
      </c>
      <c r="J65">
        <v>47</v>
      </c>
    </row>
    <row r="66" spans="1:10" x14ac:dyDescent="0.25">
      <c r="A66" t="s">
        <v>1010</v>
      </c>
      <c r="B66" t="s">
        <v>396</v>
      </c>
      <c r="C66" t="s">
        <v>139</v>
      </c>
      <c r="D66">
        <v>1</v>
      </c>
      <c r="E66">
        <v>2</v>
      </c>
      <c r="F66">
        <v>13</v>
      </c>
      <c r="G66">
        <v>5</v>
      </c>
      <c r="H66">
        <v>0</v>
      </c>
      <c r="I66">
        <v>0</v>
      </c>
    </row>
    <row r="67" spans="1:10" x14ac:dyDescent="0.25">
      <c r="A67" t="s">
        <v>1061</v>
      </c>
      <c r="B67" t="s">
        <v>392</v>
      </c>
      <c r="C67" t="s">
        <v>135</v>
      </c>
      <c r="D67">
        <v>7</v>
      </c>
      <c r="E67">
        <v>8</v>
      </c>
      <c r="F67">
        <v>31</v>
      </c>
      <c r="G67">
        <v>13</v>
      </c>
      <c r="H67">
        <v>0</v>
      </c>
      <c r="I67">
        <v>1</v>
      </c>
    </row>
    <row r="68" spans="1:10" x14ac:dyDescent="0.25">
      <c r="A68" t="s">
        <v>1061</v>
      </c>
      <c r="B68" t="s">
        <v>401</v>
      </c>
      <c r="C68" t="s">
        <v>144</v>
      </c>
      <c r="D68">
        <v>0</v>
      </c>
      <c r="E68">
        <v>48</v>
      </c>
      <c r="F68">
        <v>92</v>
      </c>
      <c r="G68">
        <v>30</v>
      </c>
      <c r="H68">
        <v>2</v>
      </c>
    </row>
    <row r="69" spans="1:10" x14ac:dyDescent="0.25">
      <c r="A69" t="s">
        <v>1061</v>
      </c>
      <c r="B69" t="s">
        <v>402</v>
      </c>
      <c r="C69" t="s">
        <v>145</v>
      </c>
      <c r="D69">
        <v>0</v>
      </c>
      <c r="E69">
        <v>22</v>
      </c>
      <c r="F69">
        <v>59</v>
      </c>
      <c r="G69">
        <v>25</v>
      </c>
      <c r="H69">
        <v>3</v>
      </c>
      <c r="I69">
        <v>1</v>
      </c>
    </row>
    <row r="70" spans="1:10" x14ac:dyDescent="0.25">
      <c r="A70" t="s">
        <v>1108</v>
      </c>
      <c r="B70" t="s">
        <v>392</v>
      </c>
      <c r="C70" t="s">
        <v>135</v>
      </c>
      <c r="D70">
        <v>2</v>
      </c>
      <c r="E70">
        <v>5</v>
      </c>
      <c r="F70">
        <v>24</v>
      </c>
      <c r="G70">
        <v>17</v>
      </c>
      <c r="H70">
        <v>2</v>
      </c>
      <c r="I70">
        <v>1</v>
      </c>
      <c r="J70">
        <v>50</v>
      </c>
    </row>
    <row r="71" spans="1:10" x14ac:dyDescent="0.25">
      <c r="A71" t="s">
        <v>191</v>
      </c>
      <c r="B71" t="s">
        <v>392</v>
      </c>
      <c r="C71" t="s">
        <v>135</v>
      </c>
      <c r="D71">
        <v>0</v>
      </c>
      <c r="E71">
        <v>6</v>
      </c>
      <c r="F71">
        <v>37</v>
      </c>
      <c r="G71">
        <v>83</v>
      </c>
      <c r="H71">
        <v>12</v>
      </c>
      <c r="J71">
        <v>138</v>
      </c>
    </row>
    <row r="72" spans="1:10" x14ac:dyDescent="0.25">
      <c r="A72" t="s">
        <v>190</v>
      </c>
      <c r="B72" t="s">
        <v>398</v>
      </c>
      <c r="C72" t="s">
        <v>141</v>
      </c>
      <c r="D72">
        <v>9</v>
      </c>
      <c r="E72">
        <v>53</v>
      </c>
      <c r="F72">
        <v>125</v>
      </c>
      <c r="G72">
        <v>41</v>
      </c>
      <c r="H72">
        <v>0</v>
      </c>
      <c r="J72">
        <v>228</v>
      </c>
    </row>
    <row r="73" spans="1:10" x14ac:dyDescent="0.25">
      <c r="A73" t="s">
        <v>190</v>
      </c>
      <c r="B73" t="s">
        <v>402</v>
      </c>
      <c r="C73" t="s">
        <v>145</v>
      </c>
      <c r="D73">
        <v>15</v>
      </c>
      <c r="E73">
        <v>35</v>
      </c>
      <c r="F73">
        <v>240</v>
      </c>
      <c r="G73">
        <v>84</v>
      </c>
      <c r="H73">
        <v>5</v>
      </c>
      <c r="J73">
        <v>379</v>
      </c>
    </row>
    <row r="74" spans="1:10" x14ac:dyDescent="0.25">
      <c r="A74" t="s">
        <v>257</v>
      </c>
      <c r="B74" t="s">
        <v>392</v>
      </c>
      <c r="C74" t="s">
        <v>135</v>
      </c>
      <c r="D74">
        <v>5</v>
      </c>
      <c r="E74">
        <v>10</v>
      </c>
      <c r="F74">
        <v>83</v>
      </c>
      <c r="G74">
        <v>27</v>
      </c>
      <c r="H74">
        <v>3</v>
      </c>
      <c r="J74">
        <v>128</v>
      </c>
    </row>
    <row r="75" spans="1:10" x14ac:dyDescent="0.25">
      <c r="A75" t="s">
        <v>257</v>
      </c>
      <c r="B75" t="s">
        <v>396</v>
      </c>
      <c r="C75" t="s">
        <v>139</v>
      </c>
      <c r="D75">
        <v>0</v>
      </c>
      <c r="E75">
        <v>1</v>
      </c>
      <c r="F75">
        <v>55</v>
      </c>
      <c r="G75">
        <v>10</v>
      </c>
      <c r="H75">
        <v>0</v>
      </c>
      <c r="J75">
        <v>66</v>
      </c>
    </row>
    <row r="76" spans="1:10" x14ac:dyDescent="0.25">
      <c r="A76" t="s">
        <v>257</v>
      </c>
      <c r="B76" t="s">
        <v>398</v>
      </c>
      <c r="C76" t="s">
        <v>141</v>
      </c>
      <c r="D76">
        <v>19</v>
      </c>
      <c r="E76">
        <v>38</v>
      </c>
      <c r="F76">
        <v>241</v>
      </c>
      <c r="G76">
        <v>55</v>
      </c>
      <c r="H76">
        <v>10</v>
      </c>
      <c r="J76">
        <v>363</v>
      </c>
    </row>
    <row r="77" spans="1:10" x14ac:dyDescent="0.25">
      <c r="A77" t="s">
        <v>240</v>
      </c>
      <c r="B77" t="s">
        <v>393</v>
      </c>
      <c r="C77" t="s">
        <v>136</v>
      </c>
      <c r="D77">
        <v>2</v>
      </c>
      <c r="E77">
        <v>73</v>
      </c>
      <c r="F77">
        <v>819</v>
      </c>
      <c r="G77">
        <v>256</v>
      </c>
      <c r="H77">
        <v>17</v>
      </c>
      <c r="J77">
        <v>1167</v>
      </c>
    </row>
    <row r="78" spans="1:10" x14ac:dyDescent="0.25">
      <c r="A78" t="s">
        <v>240</v>
      </c>
      <c r="B78" t="s">
        <v>396</v>
      </c>
      <c r="C78" t="s">
        <v>139</v>
      </c>
      <c r="D78">
        <v>1</v>
      </c>
      <c r="E78">
        <v>2</v>
      </c>
      <c r="F78">
        <v>42</v>
      </c>
      <c r="G78">
        <v>12</v>
      </c>
      <c r="H78">
        <v>2</v>
      </c>
      <c r="J78">
        <v>59</v>
      </c>
    </row>
    <row r="79" spans="1:10" x14ac:dyDescent="0.25">
      <c r="A79" t="s">
        <v>240</v>
      </c>
      <c r="B79" t="s">
        <v>398</v>
      </c>
      <c r="C79" t="s">
        <v>141</v>
      </c>
      <c r="D79">
        <v>24</v>
      </c>
      <c r="E79">
        <v>35</v>
      </c>
      <c r="F79">
        <v>178</v>
      </c>
      <c r="G79">
        <v>29</v>
      </c>
      <c r="H79">
        <v>2</v>
      </c>
      <c r="J79">
        <v>268</v>
      </c>
    </row>
    <row r="80" spans="1:10" x14ac:dyDescent="0.25">
      <c r="A80" t="s">
        <v>240</v>
      </c>
      <c r="B80" t="s">
        <v>400</v>
      </c>
      <c r="C80" t="s">
        <v>143</v>
      </c>
      <c r="D80">
        <v>4</v>
      </c>
      <c r="E80">
        <v>6</v>
      </c>
      <c r="F80">
        <v>166</v>
      </c>
      <c r="G80">
        <v>62</v>
      </c>
      <c r="H80">
        <v>2</v>
      </c>
      <c r="J80">
        <v>240</v>
      </c>
    </row>
    <row r="81" spans="1:10" x14ac:dyDescent="0.25">
      <c r="A81" t="s">
        <v>239</v>
      </c>
      <c r="B81" t="s">
        <v>399</v>
      </c>
      <c r="C81" t="s">
        <v>142</v>
      </c>
      <c r="D81">
        <v>18</v>
      </c>
      <c r="E81">
        <v>49</v>
      </c>
      <c r="F81">
        <v>267</v>
      </c>
      <c r="G81">
        <v>45</v>
      </c>
      <c r="H81">
        <v>3</v>
      </c>
      <c r="J81">
        <v>382</v>
      </c>
    </row>
    <row r="82" spans="1:10" x14ac:dyDescent="0.25">
      <c r="A82" t="s">
        <v>760</v>
      </c>
      <c r="B82" t="s">
        <v>391</v>
      </c>
      <c r="C82" t="s">
        <v>150</v>
      </c>
      <c r="D82">
        <v>69</v>
      </c>
      <c r="E82">
        <v>218</v>
      </c>
      <c r="F82">
        <v>1510</v>
      </c>
      <c r="G82">
        <v>154</v>
      </c>
      <c r="H82">
        <v>0</v>
      </c>
    </row>
    <row r="83" spans="1:10" x14ac:dyDescent="0.25">
      <c r="A83" t="s">
        <v>760</v>
      </c>
      <c r="B83" t="s">
        <v>401</v>
      </c>
      <c r="C83" t="s">
        <v>144</v>
      </c>
      <c r="D83">
        <v>3</v>
      </c>
      <c r="E83">
        <v>46</v>
      </c>
      <c r="F83">
        <v>137</v>
      </c>
      <c r="G83">
        <v>53</v>
      </c>
      <c r="H83">
        <v>2</v>
      </c>
      <c r="J83">
        <v>241</v>
      </c>
    </row>
    <row r="84" spans="1:10" x14ac:dyDescent="0.25">
      <c r="A84" t="s">
        <v>917</v>
      </c>
      <c r="B84" t="s">
        <v>394</v>
      </c>
      <c r="C84" t="s">
        <v>137</v>
      </c>
      <c r="D84">
        <v>6</v>
      </c>
      <c r="E84">
        <v>24</v>
      </c>
      <c r="F84">
        <v>76</v>
      </c>
      <c r="G84">
        <v>13</v>
      </c>
      <c r="H84">
        <v>0</v>
      </c>
    </row>
    <row r="85" spans="1:10" x14ac:dyDescent="0.25">
      <c r="A85" t="s">
        <v>917</v>
      </c>
      <c r="B85" t="s">
        <v>402</v>
      </c>
      <c r="C85" t="s">
        <v>145</v>
      </c>
      <c r="D85">
        <v>4</v>
      </c>
      <c r="E85">
        <v>9</v>
      </c>
      <c r="F85">
        <v>25</v>
      </c>
      <c r="G85">
        <v>25</v>
      </c>
      <c r="H85">
        <v>0</v>
      </c>
    </row>
    <row r="86" spans="1:10" x14ac:dyDescent="0.25">
      <c r="A86" t="s">
        <v>1061</v>
      </c>
      <c r="B86" t="s">
        <v>393</v>
      </c>
      <c r="C86" t="s">
        <v>136</v>
      </c>
      <c r="D86">
        <v>0</v>
      </c>
      <c r="E86">
        <v>93</v>
      </c>
      <c r="F86">
        <v>606</v>
      </c>
      <c r="G86">
        <v>172</v>
      </c>
      <c r="H86">
        <v>21</v>
      </c>
      <c r="I86">
        <v>6</v>
      </c>
    </row>
    <row r="87" spans="1:10" x14ac:dyDescent="0.25">
      <c r="A87" t="s">
        <v>1108</v>
      </c>
      <c r="B87" t="s">
        <v>391</v>
      </c>
      <c r="C87" t="s">
        <v>150</v>
      </c>
      <c r="D87">
        <v>69</v>
      </c>
      <c r="E87">
        <v>119</v>
      </c>
      <c r="F87">
        <v>1519</v>
      </c>
      <c r="G87">
        <v>101</v>
      </c>
      <c r="H87">
        <v>2</v>
      </c>
      <c r="I87">
        <v>17</v>
      </c>
      <c r="J87">
        <v>1810</v>
      </c>
    </row>
    <row r="88" spans="1:10" x14ac:dyDescent="0.25">
      <c r="A88" t="s">
        <v>1108</v>
      </c>
      <c r="B88" t="s">
        <v>393</v>
      </c>
      <c r="C88" t="s">
        <v>136</v>
      </c>
      <c r="D88">
        <v>2</v>
      </c>
      <c r="E88">
        <v>186</v>
      </c>
      <c r="F88">
        <v>705</v>
      </c>
      <c r="G88">
        <v>189</v>
      </c>
      <c r="H88">
        <v>16</v>
      </c>
      <c r="I88">
        <v>12</v>
      </c>
      <c r="J88">
        <v>1098</v>
      </c>
    </row>
    <row r="89" spans="1:10" x14ac:dyDescent="0.25">
      <c r="A89" t="s">
        <v>1108</v>
      </c>
      <c r="B89" t="s">
        <v>395</v>
      </c>
      <c r="C89" t="s">
        <v>138</v>
      </c>
      <c r="D89">
        <v>0</v>
      </c>
      <c r="E89">
        <v>3</v>
      </c>
      <c r="F89">
        <v>6</v>
      </c>
      <c r="G89">
        <v>2</v>
      </c>
      <c r="H89">
        <v>0</v>
      </c>
    </row>
    <row r="90" spans="1:10" x14ac:dyDescent="0.25">
      <c r="A90" t="s">
        <v>1108</v>
      </c>
      <c r="B90" t="s">
        <v>397</v>
      </c>
      <c r="C90" t="s">
        <v>140</v>
      </c>
      <c r="D90">
        <v>12</v>
      </c>
      <c r="E90">
        <v>37</v>
      </c>
      <c r="F90">
        <v>95</v>
      </c>
      <c r="G90">
        <v>54</v>
      </c>
      <c r="H90">
        <v>4</v>
      </c>
      <c r="I90">
        <v>3</v>
      </c>
      <c r="J90">
        <v>202</v>
      </c>
    </row>
    <row r="91" spans="1:10" x14ac:dyDescent="0.25">
      <c r="A91" t="s">
        <v>191</v>
      </c>
      <c r="B91" t="s">
        <v>399</v>
      </c>
      <c r="C91" t="s">
        <v>142</v>
      </c>
      <c r="D91">
        <v>27</v>
      </c>
      <c r="E91">
        <v>259</v>
      </c>
      <c r="F91">
        <v>173</v>
      </c>
      <c r="G91">
        <v>222</v>
      </c>
      <c r="H91">
        <v>2</v>
      </c>
      <c r="J91">
        <v>683</v>
      </c>
    </row>
    <row r="92" spans="1:10" x14ac:dyDescent="0.25">
      <c r="A92" t="s">
        <v>190</v>
      </c>
      <c r="B92" t="s">
        <v>391</v>
      </c>
      <c r="C92" t="s">
        <v>150</v>
      </c>
      <c r="D92">
        <v>141</v>
      </c>
      <c r="E92">
        <v>272</v>
      </c>
      <c r="F92">
        <v>2548</v>
      </c>
      <c r="G92">
        <v>91</v>
      </c>
      <c r="H92">
        <v>10</v>
      </c>
      <c r="J92">
        <v>3062</v>
      </c>
    </row>
    <row r="93" spans="1:10" x14ac:dyDescent="0.25">
      <c r="A93" t="s">
        <v>257</v>
      </c>
      <c r="B93" t="s">
        <v>401</v>
      </c>
      <c r="C93" t="s">
        <v>144</v>
      </c>
      <c r="D93">
        <v>0</v>
      </c>
      <c r="E93">
        <v>49</v>
      </c>
      <c r="F93">
        <v>225</v>
      </c>
      <c r="G93">
        <v>52</v>
      </c>
      <c r="H93">
        <v>3</v>
      </c>
      <c r="J93">
        <v>329</v>
      </c>
    </row>
    <row r="94" spans="1:10" x14ac:dyDescent="0.25">
      <c r="A94" t="s">
        <v>257</v>
      </c>
      <c r="B94" t="s">
        <v>403</v>
      </c>
      <c r="C94" t="s">
        <v>943</v>
      </c>
      <c r="D94">
        <v>0</v>
      </c>
      <c r="E94">
        <v>38</v>
      </c>
      <c r="F94">
        <v>145</v>
      </c>
      <c r="G94">
        <v>56</v>
      </c>
      <c r="H94">
        <v>4</v>
      </c>
      <c r="J94">
        <v>243</v>
      </c>
    </row>
    <row r="95" spans="1:10" x14ac:dyDescent="0.25">
      <c r="A95" t="s">
        <v>240</v>
      </c>
      <c r="B95" t="s">
        <v>392</v>
      </c>
      <c r="C95" t="s">
        <v>135</v>
      </c>
      <c r="D95">
        <v>6</v>
      </c>
      <c r="E95">
        <v>12</v>
      </c>
      <c r="F95">
        <v>63</v>
      </c>
      <c r="G95">
        <v>21</v>
      </c>
      <c r="H95">
        <v>2</v>
      </c>
      <c r="J95">
        <v>104</v>
      </c>
    </row>
    <row r="96" spans="1:10" x14ac:dyDescent="0.25">
      <c r="A96" t="s">
        <v>240</v>
      </c>
      <c r="B96" t="s">
        <v>397</v>
      </c>
      <c r="C96" t="s">
        <v>140</v>
      </c>
      <c r="D96">
        <v>5</v>
      </c>
      <c r="E96">
        <v>35</v>
      </c>
      <c r="F96">
        <v>219</v>
      </c>
      <c r="G96">
        <v>70</v>
      </c>
      <c r="H96">
        <v>3</v>
      </c>
      <c r="J96">
        <v>332</v>
      </c>
    </row>
    <row r="97" spans="1:10" x14ac:dyDescent="0.25">
      <c r="A97" t="s">
        <v>239</v>
      </c>
      <c r="B97" t="s">
        <v>393</v>
      </c>
      <c r="C97" t="s">
        <v>136</v>
      </c>
      <c r="D97">
        <v>0</v>
      </c>
      <c r="E97">
        <v>70</v>
      </c>
      <c r="F97">
        <v>734</v>
      </c>
      <c r="G97">
        <v>209</v>
      </c>
      <c r="H97">
        <v>17</v>
      </c>
      <c r="J97">
        <v>1030</v>
      </c>
    </row>
    <row r="98" spans="1:10" x14ac:dyDescent="0.25">
      <c r="A98" t="s">
        <v>239</v>
      </c>
      <c r="B98" t="s">
        <v>395</v>
      </c>
      <c r="C98" t="s">
        <v>138</v>
      </c>
      <c r="D98">
        <v>1</v>
      </c>
      <c r="E98">
        <v>2</v>
      </c>
      <c r="F98">
        <v>23</v>
      </c>
      <c r="G98">
        <v>5</v>
      </c>
      <c r="H98">
        <v>0</v>
      </c>
      <c r="J98">
        <v>31</v>
      </c>
    </row>
    <row r="99" spans="1:10" x14ac:dyDescent="0.25">
      <c r="A99" t="s">
        <v>760</v>
      </c>
      <c r="B99" t="s">
        <v>392</v>
      </c>
      <c r="C99" t="s">
        <v>135</v>
      </c>
      <c r="D99">
        <v>6</v>
      </c>
      <c r="E99">
        <v>8</v>
      </c>
      <c r="F99">
        <v>42</v>
      </c>
      <c r="G99">
        <v>13</v>
      </c>
      <c r="H99">
        <v>2</v>
      </c>
      <c r="J99">
        <v>71</v>
      </c>
    </row>
    <row r="100" spans="1:10" x14ac:dyDescent="0.25">
      <c r="A100" t="s">
        <v>760</v>
      </c>
      <c r="B100" t="s">
        <v>403</v>
      </c>
      <c r="C100" t="s">
        <v>943</v>
      </c>
      <c r="D100">
        <v>0</v>
      </c>
      <c r="E100">
        <v>23</v>
      </c>
      <c r="F100">
        <v>51</v>
      </c>
      <c r="G100">
        <v>41</v>
      </c>
      <c r="H100">
        <v>2</v>
      </c>
    </row>
    <row r="101" spans="1:10" x14ac:dyDescent="0.25">
      <c r="A101" t="s">
        <v>917</v>
      </c>
      <c r="B101" t="s">
        <v>389</v>
      </c>
      <c r="C101" t="s">
        <v>133</v>
      </c>
      <c r="D101">
        <v>6</v>
      </c>
      <c r="E101">
        <v>22</v>
      </c>
      <c r="F101">
        <v>174</v>
      </c>
      <c r="G101">
        <v>12</v>
      </c>
      <c r="H101">
        <v>3</v>
      </c>
      <c r="I101">
        <v>1</v>
      </c>
      <c r="J101">
        <v>217</v>
      </c>
    </row>
    <row r="102" spans="1:10" x14ac:dyDescent="0.25">
      <c r="A102" t="s">
        <v>917</v>
      </c>
      <c r="B102" t="s">
        <v>395</v>
      </c>
      <c r="C102" t="s">
        <v>138</v>
      </c>
      <c r="D102">
        <v>1</v>
      </c>
      <c r="E102">
        <v>2</v>
      </c>
      <c r="F102">
        <v>6</v>
      </c>
      <c r="G102">
        <v>1</v>
      </c>
      <c r="H102">
        <v>0</v>
      </c>
    </row>
    <row r="103" spans="1:10" x14ac:dyDescent="0.25">
      <c r="A103" t="s">
        <v>1010</v>
      </c>
      <c r="B103" t="s">
        <v>389</v>
      </c>
      <c r="C103" t="s">
        <v>133</v>
      </c>
      <c r="D103">
        <v>4</v>
      </c>
      <c r="E103">
        <v>23</v>
      </c>
      <c r="F103">
        <v>193</v>
      </c>
      <c r="G103">
        <v>16</v>
      </c>
      <c r="H103">
        <v>1</v>
      </c>
      <c r="I103">
        <v>1</v>
      </c>
      <c r="J103">
        <v>237</v>
      </c>
    </row>
    <row r="104" spans="1:10" x14ac:dyDescent="0.25">
      <c r="A104" t="s">
        <v>1010</v>
      </c>
      <c r="B104" t="s">
        <v>394</v>
      </c>
      <c r="C104" t="s">
        <v>137</v>
      </c>
      <c r="D104">
        <v>7</v>
      </c>
      <c r="E104">
        <v>80</v>
      </c>
      <c r="F104">
        <v>173</v>
      </c>
      <c r="G104">
        <v>28</v>
      </c>
      <c r="H104">
        <v>0</v>
      </c>
      <c r="I104">
        <v>2</v>
      </c>
    </row>
    <row r="105" spans="1:10" x14ac:dyDescent="0.25">
      <c r="A105" t="s">
        <v>1010</v>
      </c>
      <c r="B105" t="s">
        <v>399</v>
      </c>
      <c r="C105" t="s">
        <v>142</v>
      </c>
      <c r="D105">
        <v>26</v>
      </c>
      <c r="E105">
        <v>60</v>
      </c>
      <c r="F105">
        <v>77</v>
      </c>
      <c r="G105">
        <v>24</v>
      </c>
      <c r="H105">
        <v>3</v>
      </c>
      <c r="I105">
        <v>3</v>
      </c>
      <c r="J105">
        <v>190</v>
      </c>
    </row>
    <row r="106" spans="1:10" x14ac:dyDescent="0.25">
      <c r="A106" t="s">
        <v>1010</v>
      </c>
      <c r="B106" t="s">
        <v>403</v>
      </c>
      <c r="C106" t="s">
        <v>943</v>
      </c>
      <c r="D106">
        <v>0</v>
      </c>
      <c r="E106">
        <v>20</v>
      </c>
      <c r="F106">
        <v>45</v>
      </c>
      <c r="G106">
        <v>30</v>
      </c>
      <c r="H106">
        <v>5</v>
      </c>
      <c r="I106">
        <v>0</v>
      </c>
    </row>
    <row r="107" spans="1:10" x14ac:dyDescent="0.25">
      <c r="A107" t="s">
        <v>1061</v>
      </c>
      <c r="B107" t="s">
        <v>396</v>
      </c>
      <c r="C107" t="s">
        <v>139</v>
      </c>
      <c r="D107">
        <v>0</v>
      </c>
      <c r="E107">
        <v>2</v>
      </c>
      <c r="F107">
        <v>10</v>
      </c>
      <c r="G107">
        <v>8</v>
      </c>
      <c r="H107">
        <v>0</v>
      </c>
    </row>
    <row r="108" spans="1:10" x14ac:dyDescent="0.25">
      <c r="A108" t="s">
        <v>1108</v>
      </c>
      <c r="B108" t="s">
        <v>402</v>
      </c>
      <c r="C108" t="s">
        <v>145</v>
      </c>
      <c r="D108">
        <v>8</v>
      </c>
      <c r="E108">
        <v>39</v>
      </c>
      <c r="F108">
        <v>111</v>
      </c>
      <c r="G108">
        <v>85</v>
      </c>
      <c r="H108">
        <v>6</v>
      </c>
      <c r="J108">
        <v>249</v>
      </c>
    </row>
    <row r="109" spans="1:10" x14ac:dyDescent="0.25">
      <c r="A109" t="s">
        <v>191</v>
      </c>
      <c r="B109" t="s">
        <v>390</v>
      </c>
      <c r="C109" t="s">
        <v>134</v>
      </c>
      <c r="D109">
        <v>51</v>
      </c>
      <c r="E109">
        <v>538</v>
      </c>
      <c r="F109">
        <v>711</v>
      </c>
      <c r="G109">
        <v>191</v>
      </c>
      <c r="H109">
        <v>15</v>
      </c>
      <c r="J109">
        <v>1506</v>
      </c>
    </row>
    <row r="110" spans="1:10" x14ac:dyDescent="0.25">
      <c r="A110" t="s">
        <v>191</v>
      </c>
      <c r="B110" t="s">
        <v>401</v>
      </c>
      <c r="C110" t="s">
        <v>144</v>
      </c>
      <c r="D110">
        <v>2</v>
      </c>
      <c r="E110">
        <v>113</v>
      </c>
      <c r="F110">
        <v>243</v>
      </c>
      <c r="G110">
        <v>50</v>
      </c>
      <c r="H110">
        <v>4</v>
      </c>
      <c r="J110">
        <v>412</v>
      </c>
    </row>
    <row r="111" spans="1:10" x14ac:dyDescent="0.25">
      <c r="A111" t="s">
        <v>190</v>
      </c>
      <c r="B111" t="s">
        <v>393</v>
      </c>
      <c r="C111" t="s">
        <v>136</v>
      </c>
      <c r="D111">
        <v>1</v>
      </c>
      <c r="E111">
        <v>53</v>
      </c>
      <c r="F111">
        <v>815</v>
      </c>
      <c r="G111">
        <v>329</v>
      </c>
      <c r="H111">
        <v>65</v>
      </c>
      <c r="J111">
        <v>1263</v>
      </c>
    </row>
    <row r="112" spans="1:10" x14ac:dyDescent="0.25">
      <c r="A112" t="s">
        <v>190</v>
      </c>
      <c r="B112" t="s">
        <v>401</v>
      </c>
      <c r="C112" t="s">
        <v>144</v>
      </c>
      <c r="D112">
        <v>1</v>
      </c>
      <c r="E112">
        <v>170</v>
      </c>
      <c r="F112">
        <v>267</v>
      </c>
      <c r="G112">
        <v>44</v>
      </c>
      <c r="H112">
        <v>3</v>
      </c>
      <c r="J112">
        <v>485</v>
      </c>
    </row>
    <row r="113" spans="1:10" x14ac:dyDescent="0.25">
      <c r="A113" t="s">
        <v>257</v>
      </c>
      <c r="B113" t="s">
        <v>389</v>
      </c>
      <c r="C113" t="s">
        <v>133</v>
      </c>
      <c r="D113">
        <v>8</v>
      </c>
      <c r="E113">
        <v>17</v>
      </c>
      <c r="F113">
        <v>314</v>
      </c>
      <c r="G113">
        <v>51</v>
      </c>
      <c r="H113">
        <v>6</v>
      </c>
      <c r="J113">
        <v>396</v>
      </c>
    </row>
    <row r="114" spans="1:10" x14ac:dyDescent="0.25">
      <c r="A114" t="s">
        <v>257</v>
      </c>
      <c r="B114" t="s">
        <v>391</v>
      </c>
      <c r="C114" t="s">
        <v>150</v>
      </c>
      <c r="D114">
        <v>69</v>
      </c>
      <c r="E114">
        <v>343</v>
      </c>
      <c r="F114">
        <v>2130</v>
      </c>
      <c r="G114">
        <v>106</v>
      </c>
      <c r="H114">
        <v>2</v>
      </c>
      <c r="J114">
        <v>2650</v>
      </c>
    </row>
    <row r="115" spans="1:10" x14ac:dyDescent="0.25">
      <c r="A115" t="s">
        <v>257</v>
      </c>
      <c r="B115" t="s">
        <v>393</v>
      </c>
      <c r="C115" t="s">
        <v>136</v>
      </c>
      <c r="D115">
        <v>0</v>
      </c>
      <c r="E115">
        <v>57</v>
      </c>
      <c r="F115">
        <v>800</v>
      </c>
      <c r="G115">
        <v>248</v>
      </c>
      <c r="H115">
        <v>33</v>
      </c>
      <c r="J115">
        <v>1138</v>
      </c>
    </row>
    <row r="116" spans="1:10" x14ac:dyDescent="0.25">
      <c r="A116" t="s">
        <v>257</v>
      </c>
      <c r="B116" t="s">
        <v>394</v>
      </c>
      <c r="C116" t="s">
        <v>137</v>
      </c>
      <c r="D116">
        <v>7</v>
      </c>
      <c r="E116">
        <v>84</v>
      </c>
      <c r="F116">
        <v>245</v>
      </c>
      <c r="G116">
        <v>35</v>
      </c>
      <c r="H116">
        <v>0</v>
      </c>
      <c r="J116">
        <v>371</v>
      </c>
    </row>
    <row r="117" spans="1:10" x14ac:dyDescent="0.25">
      <c r="A117" t="s">
        <v>240</v>
      </c>
      <c r="B117" t="s">
        <v>389</v>
      </c>
      <c r="C117" t="s">
        <v>133</v>
      </c>
      <c r="D117">
        <v>5</v>
      </c>
      <c r="E117">
        <v>25</v>
      </c>
      <c r="F117">
        <v>262</v>
      </c>
      <c r="G117">
        <v>71</v>
      </c>
      <c r="H117">
        <v>4</v>
      </c>
      <c r="J117">
        <v>367</v>
      </c>
    </row>
    <row r="118" spans="1:10" x14ac:dyDescent="0.25">
      <c r="A118" t="s">
        <v>240</v>
      </c>
      <c r="B118" t="s">
        <v>391</v>
      </c>
      <c r="C118" t="s">
        <v>150</v>
      </c>
      <c r="D118">
        <v>69</v>
      </c>
      <c r="E118">
        <v>246</v>
      </c>
      <c r="F118">
        <v>1559</v>
      </c>
      <c r="G118">
        <v>203</v>
      </c>
      <c r="H118">
        <v>0</v>
      </c>
      <c r="J118">
        <v>2077</v>
      </c>
    </row>
    <row r="119" spans="1:10" x14ac:dyDescent="0.25">
      <c r="A119" t="s">
        <v>240</v>
      </c>
      <c r="B119" t="s">
        <v>399</v>
      </c>
      <c r="C119" t="s">
        <v>142</v>
      </c>
      <c r="D119">
        <v>27</v>
      </c>
      <c r="E119">
        <v>48</v>
      </c>
      <c r="F119">
        <v>231</v>
      </c>
      <c r="G119">
        <v>55</v>
      </c>
      <c r="H119">
        <v>1</v>
      </c>
      <c r="J119">
        <v>362</v>
      </c>
    </row>
    <row r="120" spans="1:10" x14ac:dyDescent="0.25">
      <c r="A120" t="s">
        <v>239</v>
      </c>
      <c r="B120" t="s">
        <v>401</v>
      </c>
      <c r="C120" t="s">
        <v>144</v>
      </c>
      <c r="D120">
        <v>0</v>
      </c>
      <c r="E120">
        <v>42</v>
      </c>
      <c r="F120">
        <v>173</v>
      </c>
      <c r="G120">
        <v>51</v>
      </c>
      <c r="H120">
        <v>1</v>
      </c>
      <c r="J120">
        <v>267</v>
      </c>
    </row>
    <row r="121" spans="1:10" x14ac:dyDescent="0.25">
      <c r="A121" t="s">
        <v>760</v>
      </c>
      <c r="B121" t="s">
        <v>402</v>
      </c>
      <c r="C121" t="s">
        <v>145</v>
      </c>
      <c r="D121">
        <v>4</v>
      </c>
      <c r="E121">
        <v>19</v>
      </c>
      <c r="F121">
        <v>168</v>
      </c>
      <c r="G121">
        <v>90</v>
      </c>
      <c r="H121">
        <v>4</v>
      </c>
      <c r="J121">
        <v>285</v>
      </c>
    </row>
    <row r="122" spans="1:10" x14ac:dyDescent="0.25">
      <c r="A122" t="s">
        <v>917</v>
      </c>
      <c r="B122" t="s">
        <v>390</v>
      </c>
      <c r="C122" t="s">
        <v>134</v>
      </c>
      <c r="D122">
        <v>87</v>
      </c>
      <c r="E122">
        <v>611</v>
      </c>
      <c r="F122">
        <v>462</v>
      </c>
      <c r="G122">
        <v>163</v>
      </c>
      <c r="H122">
        <v>6</v>
      </c>
      <c r="I122">
        <v>12</v>
      </c>
      <c r="J122">
        <v>1329</v>
      </c>
    </row>
    <row r="123" spans="1:10" x14ac:dyDescent="0.25">
      <c r="A123" t="s">
        <v>917</v>
      </c>
      <c r="B123" t="s">
        <v>397</v>
      </c>
      <c r="C123" t="s">
        <v>140</v>
      </c>
      <c r="D123">
        <v>0</v>
      </c>
      <c r="E123">
        <v>10</v>
      </c>
      <c r="F123">
        <v>43</v>
      </c>
      <c r="G123">
        <v>17</v>
      </c>
      <c r="H123">
        <v>1</v>
      </c>
      <c r="I123">
        <v>2</v>
      </c>
    </row>
    <row r="124" spans="1:10" x14ac:dyDescent="0.25">
      <c r="A124" t="s">
        <v>917</v>
      </c>
      <c r="B124" t="s">
        <v>400</v>
      </c>
      <c r="C124" t="s">
        <v>143</v>
      </c>
      <c r="D124">
        <v>2</v>
      </c>
      <c r="E124">
        <v>3</v>
      </c>
      <c r="F124">
        <v>46</v>
      </c>
      <c r="G124">
        <v>12</v>
      </c>
      <c r="H124">
        <v>2</v>
      </c>
      <c r="I124">
        <v>1</v>
      </c>
      <c r="J124">
        <v>65</v>
      </c>
    </row>
    <row r="125" spans="1:10" x14ac:dyDescent="0.25">
      <c r="A125" t="s">
        <v>1010</v>
      </c>
      <c r="B125" t="s">
        <v>402</v>
      </c>
      <c r="C125" t="s">
        <v>145</v>
      </c>
      <c r="D125">
        <v>1</v>
      </c>
      <c r="E125">
        <v>14</v>
      </c>
      <c r="F125">
        <v>72</v>
      </c>
      <c r="G125">
        <v>19</v>
      </c>
      <c r="H125">
        <v>2</v>
      </c>
      <c r="I125">
        <v>2</v>
      </c>
      <c r="J125">
        <v>108</v>
      </c>
    </row>
    <row r="126" spans="1:10" x14ac:dyDescent="0.25">
      <c r="A126" t="s">
        <v>1061</v>
      </c>
      <c r="B126" t="s">
        <v>390</v>
      </c>
      <c r="C126" t="s">
        <v>134</v>
      </c>
      <c r="D126">
        <v>116</v>
      </c>
      <c r="E126">
        <v>734</v>
      </c>
      <c r="F126">
        <v>553</v>
      </c>
      <c r="G126">
        <v>181</v>
      </c>
      <c r="H126">
        <v>18</v>
      </c>
      <c r="I126">
        <v>4</v>
      </c>
      <c r="J126">
        <v>1602</v>
      </c>
    </row>
    <row r="127" spans="1:10" x14ac:dyDescent="0.25">
      <c r="A127" t="s">
        <v>1061</v>
      </c>
      <c r="B127" t="s">
        <v>394</v>
      </c>
      <c r="C127" t="s">
        <v>137</v>
      </c>
      <c r="D127">
        <v>9</v>
      </c>
      <c r="E127">
        <v>203</v>
      </c>
      <c r="F127">
        <v>287</v>
      </c>
      <c r="G127">
        <v>41</v>
      </c>
      <c r="H127">
        <v>0</v>
      </c>
      <c r="I127">
        <v>7</v>
      </c>
    </row>
    <row r="128" spans="1:10" x14ac:dyDescent="0.25">
      <c r="A128" t="s">
        <v>1061</v>
      </c>
      <c r="B128" t="s">
        <v>399</v>
      </c>
      <c r="C128" t="s">
        <v>142</v>
      </c>
      <c r="D128">
        <v>41</v>
      </c>
      <c r="E128">
        <v>67</v>
      </c>
      <c r="F128">
        <v>183</v>
      </c>
      <c r="G128">
        <v>49</v>
      </c>
      <c r="H128">
        <v>1</v>
      </c>
      <c r="I128">
        <v>1</v>
      </c>
      <c r="J128">
        <v>341</v>
      </c>
    </row>
    <row r="129" spans="1:10" x14ac:dyDescent="0.25">
      <c r="A129" t="s">
        <v>1108</v>
      </c>
      <c r="B129" t="s">
        <v>394</v>
      </c>
      <c r="C129" t="s">
        <v>137</v>
      </c>
      <c r="D129">
        <v>15</v>
      </c>
      <c r="E129">
        <v>503</v>
      </c>
      <c r="F129">
        <v>649</v>
      </c>
      <c r="G129">
        <v>75</v>
      </c>
      <c r="H129">
        <v>0</v>
      </c>
      <c r="I129">
        <v>14</v>
      </c>
    </row>
    <row r="130" spans="1:10" x14ac:dyDescent="0.25">
      <c r="A130" t="s">
        <v>1108</v>
      </c>
      <c r="B130" t="s">
        <v>396</v>
      </c>
      <c r="C130" t="s">
        <v>139</v>
      </c>
      <c r="D130">
        <v>0</v>
      </c>
      <c r="E130">
        <v>0</v>
      </c>
      <c r="F130">
        <v>18</v>
      </c>
      <c r="G130">
        <v>7</v>
      </c>
      <c r="H130">
        <v>0</v>
      </c>
    </row>
    <row r="131" spans="1:10" x14ac:dyDescent="0.25">
      <c r="A131" t="s">
        <v>191</v>
      </c>
      <c r="B131" t="s">
        <v>395</v>
      </c>
      <c r="C131" t="s">
        <v>138</v>
      </c>
      <c r="D131">
        <v>0</v>
      </c>
      <c r="E131">
        <v>0</v>
      </c>
      <c r="F131">
        <v>9</v>
      </c>
      <c r="G131">
        <v>18</v>
      </c>
      <c r="H131">
        <v>1</v>
      </c>
      <c r="J131">
        <v>28</v>
      </c>
    </row>
    <row r="132" spans="1:10" x14ac:dyDescent="0.25">
      <c r="A132" t="s">
        <v>190</v>
      </c>
      <c r="B132" t="s">
        <v>390</v>
      </c>
      <c r="C132" t="s">
        <v>134</v>
      </c>
      <c r="D132">
        <v>75</v>
      </c>
      <c r="E132">
        <v>598</v>
      </c>
      <c r="F132">
        <v>822</v>
      </c>
      <c r="G132">
        <v>241</v>
      </c>
      <c r="H132">
        <v>24</v>
      </c>
      <c r="J132">
        <v>1760</v>
      </c>
    </row>
    <row r="133" spans="1:10" x14ac:dyDescent="0.25">
      <c r="A133" t="s">
        <v>190</v>
      </c>
      <c r="B133" t="s">
        <v>396</v>
      </c>
      <c r="C133" t="s">
        <v>139</v>
      </c>
      <c r="D133">
        <v>0</v>
      </c>
      <c r="E133">
        <v>3</v>
      </c>
      <c r="F133">
        <v>22</v>
      </c>
      <c r="G133">
        <v>24</v>
      </c>
      <c r="H133">
        <v>0</v>
      </c>
      <c r="J133">
        <v>49</v>
      </c>
    </row>
    <row r="134" spans="1:10" x14ac:dyDescent="0.25">
      <c r="A134" t="s">
        <v>190</v>
      </c>
      <c r="B134" t="s">
        <v>400</v>
      </c>
      <c r="C134" t="s">
        <v>143</v>
      </c>
      <c r="D134">
        <v>4</v>
      </c>
      <c r="E134">
        <v>8</v>
      </c>
      <c r="F134">
        <v>217</v>
      </c>
      <c r="G134">
        <v>84</v>
      </c>
      <c r="H134">
        <v>7</v>
      </c>
      <c r="J134">
        <v>320</v>
      </c>
    </row>
    <row r="135" spans="1:10" x14ac:dyDescent="0.25">
      <c r="A135" t="s">
        <v>257</v>
      </c>
      <c r="B135" t="s">
        <v>395</v>
      </c>
      <c r="C135" t="s">
        <v>138</v>
      </c>
      <c r="D135">
        <v>1</v>
      </c>
      <c r="E135">
        <v>0</v>
      </c>
      <c r="F135">
        <v>16</v>
      </c>
      <c r="G135">
        <v>3</v>
      </c>
      <c r="H135">
        <v>1</v>
      </c>
      <c r="J135">
        <v>21</v>
      </c>
    </row>
    <row r="136" spans="1:10" x14ac:dyDescent="0.25">
      <c r="A136" t="s">
        <v>257</v>
      </c>
      <c r="B136" t="s">
        <v>397</v>
      </c>
      <c r="C136" t="s">
        <v>140</v>
      </c>
      <c r="D136">
        <v>7</v>
      </c>
      <c r="E136">
        <v>55</v>
      </c>
      <c r="F136">
        <v>327</v>
      </c>
      <c r="G136">
        <v>85</v>
      </c>
      <c r="H136">
        <v>8</v>
      </c>
      <c r="J136">
        <v>482</v>
      </c>
    </row>
    <row r="137" spans="1:10" x14ac:dyDescent="0.25">
      <c r="A137" t="s">
        <v>240</v>
      </c>
      <c r="B137" t="s">
        <v>395</v>
      </c>
      <c r="C137" t="s">
        <v>138</v>
      </c>
      <c r="D137">
        <v>1</v>
      </c>
      <c r="E137">
        <v>0</v>
      </c>
      <c r="F137">
        <v>21</v>
      </c>
      <c r="G137">
        <v>14</v>
      </c>
      <c r="H137">
        <v>1</v>
      </c>
      <c r="J137">
        <v>37</v>
      </c>
    </row>
    <row r="138" spans="1:10" x14ac:dyDescent="0.25">
      <c r="A138" t="s">
        <v>239</v>
      </c>
      <c r="B138" t="s">
        <v>390</v>
      </c>
      <c r="C138" t="s">
        <v>134</v>
      </c>
      <c r="D138">
        <v>92</v>
      </c>
      <c r="E138">
        <v>668</v>
      </c>
      <c r="F138">
        <v>807</v>
      </c>
      <c r="G138">
        <v>201</v>
      </c>
      <c r="H138">
        <v>7</v>
      </c>
      <c r="J138">
        <v>1775</v>
      </c>
    </row>
    <row r="139" spans="1:10" x14ac:dyDescent="0.25">
      <c r="A139" t="s">
        <v>239</v>
      </c>
      <c r="B139" t="s">
        <v>392</v>
      </c>
      <c r="C139" t="s">
        <v>135</v>
      </c>
      <c r="D139">
        <v>5</v>
      </c>
      <c r="E139">
        <v>10</v>
      </c>
      <c r="F139">
        <v>59</v>
      </c>
      <c r="G139">
        <v>12</v>
      </c>
      <c r="H139">
        <v>2</v>
      </c>
      <c r="J139">
        <v>88</v>
      </c>
    </row>
    <row r="140" spans="1:10" x14ac:dyDescent="0.25">
      <c r="A140" t="s">
        <v>239</v>
      </c>
      <c r="B140" t="s">
        <v>403</v>
      </c>
      <c r="C140" t="s">
        <v>943</v>
      </c>
      <c r="D140">
        <v>0</v>
      </c>
      <c r="E140">
        <v>34</v>
      </c>
      <c r="F140">
        <v>121</v>
      </c>
      <c r="G140">
        <v>33</v>
      </c>
      <c r="H140">
        <v>1</v>
      </c>
      <c r="J140">
        <v>189</v>
      </c>
    </row>
    <row r="141" spans="1:10" x14ac:dyDescent="0.25">
      <c r="A141" t="s">
        <v>760</v>
      </c>
      <c r="B141" t="s">
        <v>390</v>
      </c>
      <c r="C141" t="s">
        <v>134</v>
      </c>
      <c r="D141">
        <v>95</v>
      </c>
      <c r="E141">
        <v>634</v>
      </c>
      <c r="F141">
        <v>562</v>
      </c>
      <c r="G141">
        <v>187</v>
      </c>
      <c r="H141">
        <v>8</v>
      </c>
      <c r="J141">
        <v>1486</v>
      </c>
    </row>
    <row r="142" spans="1:10" x14ac:dyDescent="0.25">
      <c r="A142" t="s">
        <v>760</v>
      </c>
      <c r="B142" t="s">
        <v>397</v>
      </c>
      <c r="C142" t="s">
        <v>140</v>
      </c>
      <c r="D142">
        <v>9</v>
      </c>
      <c r="E142">
        <v>38</v>
      </c>
      <c r="F142">
        <v>167</v>
      </c>
      <c r="G142">
        <v>73</v>
      </c>
      <c r="H142">
        <v>2</v>
      </c>
      <c r="J142">
        <v>289</v>
      </c>
    </row>
    <row r="143" spans="1:10" x14ac:dyDescent="0.25">
      <c r="A143" t="s">
        <v>760</v>
      </c>
      <c r="B143" t="s">
        <v>400</v>
      </c>
      <c r="C143" t="s">
        <v>143</v>
      </c>
      <c r="D143">
        <v>2</v>
      </c>
      <c r="E143">
        <v>8</v>
      </c>
      <c r="F143">
        <v>202</v>
      </c>
      <c r="G143">
        <v>66</v>
      </c>
      <c r="H143">
        <v>1</v>
      </c>
      <c r="J143">
        <v>279</v>
      </c>
    </row>
    <row r="144" spans="1:10" x14ac:dyDescent="0.25">
      <c r="A144" t="s">
        <v>917</v>
      </c>
      <c r="B144" t="s">
        <v>391</v>
      </c>
      <c r="C144" t="s">
        <v>150</v>
      </c>
      <c r="D144">
        <v>42</v>
      </c>
      <c r="E144">
        <v>127</v>
      </c>
      <c r="F144">
        <v>582</v>
      </c>
      <c r="G144">
        <v>56</v>
      </c>
      <c r="H144">
        <v>1</v>
      </c>
      <c r="I144">
        <v>7</v>
      </c>
      <c r="J144">
        <v>808</v>
      </c>
    </row>
    <row r="145" spans="1:10" x14ac:dyDescent="0.25">
      <c r="A145" t="s">
        <v>917</v>
      </c>
      <c r="B145" t="s">
        <v>393</v>
      </c>
      <c r="C145" t="s">
        <v>136</v>
      </c>
      <c r="D145">
        <v>1</v>
      </c>
      <c r="E145">
        <v>33</v>
      </c>
      <c r="F145">
        <v>157</v>
      </c>
      <c r="G145">
        <v>39</v>
      </c>
      <c r="H145">
        <v>5</v>
      </c>
      <c r="I145">
        <v>3</v>
      </c>
      <c r="J145">
        <v>235</v>
      </c>
    </row>
    <row r="146" spans="1:10" x14ac:dyDescent="0.25">
      <c r="A146" t="s">
        <v>1010</v>
      </c>
      <c r="B146" t="s">
        <v>393</v>
      </c>
      <c r="C146" t="s">
        <v>136</v>
      </c>
      <c r="D146">
        <v>1</v>
      </c>
      <c r="E146">
        <v>76</v>
      </c>
      <c r="F146">
        <v>378</v>
      </c>
      <c r="G146">
        <v>165</v>
      </c>
      <c r="H146">
        <v>27</v>
      </c>
      <c r="I146">
        <v>9</v>
      </c>
      <c r="J146">
        <v>647</v>
      </c>
    </row>
    <row r="147" spans="1:10" x14ac:dyDescent="0.25">
      <c r="A147" t="s">
        <v>1010</v>
      </c>
      <c r="B147" t="s">
        <v>398</v>
      </c>
      <c r="C147" t="s">
        <v>141</v>
      </c>
      <c r="D147">
        <v>19</v>
      </c>
      <c r="E147">
        <v>21</v>
      </c>
      <c r="F147">
        <v>108</v>
      </c>
      <c r="G147">
        <v>29</v>
      </c>
      <c r="H147">
        <v>0</v>
      </c>
      <c r="I147">
        <v>2</v>
      </c>
    </row>
    <row r="148" spans="1:10" x14ac:dyDescent="0.25">
      <c r="A148" t="s">
        <v>1061</v>
      </c>
      <c r="B148" t="s">
        <v>391</v>
      </c>
      <c r="C148" t="s">
        <v>150</v>
      </c>
      <c r="D148">
        <v>173</v>
      </c>
      <c r="E148">
        <v>101</v>
      </c>
      <c r="F148">
        <v>1493</v>
      </c>
      <c r="G148">
        <v>151</v>
      </c>
      <c r="H148">
        <v>0</v>
      </c>
      <c r="I148">
        <v>40</v>
      </c>
    </row>
    <row r="149" spans="1:10" x14ac:dyDescent="0.25">
      <c r="A149" t="s">
        <v>1061</v>
      </c>
      <c r="B149" t="s">
        <v>395</v>
      </c>
      <c r="C149" t="s">
        <v>138</v>
      </c>
      <c r="D149">
        <v>2</v>
      </c>
      <c r="E149">
        <v>4</v>
      </c>
      <c r="F149">
        <v>15</v>
      </c>
      <c r="G149">
        <v>4</v>
      </c>
      <c r="H149">
        <v>0</v>
      </c>
    </row>
    <row r="150" spans="1:10" x14ac:dyDescent="0.25">
      <c r="A150" t="s">
        <v>1061</v>
      </c>
      <c r="B150" t="s">
        <v>400</v>
      </c>
      <c r="C150" t="s">
        <v>143</v>
      </c>
      <c r="D150">
        <v>7</v>
      </c>
      <c r="E150">
        <v>15</v>
      </c>
      <c r="F150">
        <v>116</v>
      </c>
      <c r="G150">
        <v>26</v>
      </c>
      <c r="H150">
        <v>0</v>
      </c>
      <c r="I150">
        <v>4</v>
      </c>
    </row>
    <row r="151" spans="1:10" x14ac:dyDescent="0.25">
      <c r="A151" t="s">
        <v>1108</v>
      </c>
      <c r="B151" t="s">
        <v>389</v>
      </c>
      <c r="C151" t="s">
        <v>133</v>
      </c>
      <c r="D151">
        <v>14</v>
      </c>
      <c r="E151">
        <v>25</v>
      </c>
      <c r="F151">
        <v>216</v>
      </c>
      <c r="G151">
        <v>23</v>
      </c>
      <c r="H151">
        <v>4</v>
      </c>
      <c r="I151">
        <v>5</v>
      </c>
      <c r="J151">
        <v>282</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tabColor theme="3" tint="0.39997558519241921"/>
  </sheetPr>
  <dimension ref="A1:L54"/>
  <sheetViews>
    <sheetView showGridLines="0" workbookViewId="0">
      <pane ySplit="2" topLeftCell="A3" activePane="bottomLeft" state="frozen"/>
      <selection pane="bottomLeft"/>
    </sheetView>
  </sheetViews>
  <sheetFormatPr defaultRowHeight="15" x14ac:dyDescent="0.25"/>
  <cols>
    <col min="1" max="1" width="30.7109375" bestFit="1" customWidth="1"/>
    <col min="2" max="7" width="13.140625" customWidth="1"/>
  </cols>
  <sheetData>
    <row r="1" spans="1:12" ht="21" customHeight="1" x14ac:dyDescent="0.25">
      <c r="A1" s="522" t="s">
        <v>560</v>
      </c>
    </row>
    <row r="2" spans="1:12" ht="21.6" customHeight="1" x14ac:dyDescent="0.25">
      <c r="A2" s="507" t="s">
        <v>511</v>
      </c>
    </row>
    <row r="3" spans="1:12" x14ac:dyDescent="0.25">
      <c r="A3" s="25"/>
    </row>
    <row r="4" spans="1:12" ht="15.75" x14ac:dyDescent="0.25">
      <c r="A4" s="447" t="s">
        <v>573</v>
      </c>
      <c r="B4" s="447"/>
    </row>
    <row r="5" spans="1:12" x14ac:dyDescent="0.25">
      <c r="A5" t="s">
        <v>328</v>
      </c>
      <c r="B5" t="s">
        <v>717</v>
      </c>
    </row>
    <row r="6" spans="1:12" x14ac:dyDescent="0.25">
      <c r="A6" t="s">
        <v>329</v>
      </c>
      <c r="B6" t="s">
        <v>331</v>
      </c>
    </row>
    <row r="7" spans="1:12" x14ac:dyDescent="0.25">
      <c r="A7" t="s">
        <v>330</v>
      </c>
      <c r="B7" t="s">
        <v>332</v>
      </c>
    </row>
    <row r="9" spans="1:12" x14ac:dyDescent="0.25">
      <c r="A9" s="411" t="s">
        <v>424</v>
      </c>
      <c r="B9" s="412" t="s">
        <v>574</v>
      </c>
      <c r="C9" s="412" t="s">
        <v>575</v>
      </c>
      <c r="D9" s="412" t="s">
        <v>576</v>
      </c>
      <c r="E9" s="412" t="s">
        <v>577</v>
      </c>
      <c r="F9" s="412" t="s">
        <v>578</v>
      </c>
      <c r="G9" s="412" t="s">
        <v>783</v>
      </c>
      <c r="H9" s="413" t="s">
        <v>26</v>
      </c>
    </row>
    <row r="10" spans="1:12" x14ac:dyDescent="0.25">
      <c r="A10" s="414" t="s">
        <v>133</v>
      </c>
      <c r="B10" s="415">
        <f>riskpivot!B4</f>
        <v>14</v>
      </c>
      <c r="C10" s="415">
        <f>riskpivot!C4</f>
        <v>25</v>
      </c>
      <c r="D10" s="415">
        <f>riskpivot!D4</f>
        <v>216</v>
      </c>
      <c r="E10" s="415">
        <f>riskpivot!E4</f>
        <v>23</v>
      </c>
      <c r="F10" s="415">
        <f>riskpivot!F4</f>
        <v>4</v>
      </c>
      <c r="G10" s="415">
        <f>riskpivot!G4</f>
        <v>5</v>
      </c>
      <c r="H10" s="416">
        <f>SUM(B10:G10)</f>
        <v>287</v>
      </c>
      <c r="I10" s="405"/>
      <c r="J10" s="405"/>
      <c r="K10" s="405"/>
      <c r="L10" s="405"/>
    </row>
    <row r="11" spans="1:12" x14ac:dyDescent="0.25">
      <c r="A11" s="414" t="s">
        <v>134</v>
      </c>
      <c r="B11" s="415">
        <f>riskpivot!B5</f>
        <v>130</v>
      </c>
      <c r="C11" s="415">
        <f>riskpivot!C5</f>
        <v>722</v>
      </c>
      <c r="D11" s="415">
        <f>riskpivot!D5</f>
        <v>549</v>
      </c>
      <c r="E11" s="415">
        <f>riskpivot!E5</f>
        <v>192</v>
      </c>
      <c r="F11" s="415">
        <f>riskpivot!F5</f>
        <v>12</v>
      </c>
      <c r="G11" s="415">
        <f>riskpivot!G5</f>
        <v>5</v>
      </c>
      <c r="H11" s="416">
        <f t="shared" ref="H11:H24" si="0">SUM(B11:G11)</f>
        <v>1610</v>
      </c>
      <c r="I11" s="405"/>
      <c r="J11" s="405"/>
      <c r="K11" s="405"/>
      <c r="L11" s="405"/>
    </row>
    <row r="12" spans="1:12" x14ac:dyDescent="0.25">
      <c r="A12" s="414" t="s">
        <v>150</v>
      </c>
      <c r="B12" s="415">
        <f>riskpivot!B6</f>
        <v>69</v>
      </c>
      <c r="C12" s="415">
        <f>riskpivot!C6</f>
        <v>119</v>
      </c>
      <c r="D12" s="415">
        <f>riskpivot!D6</f>
        <v>1519</v>
      </c>
      <c r="E12" s="415">
        <f>riskpivot!E6</f>
        <v>101</v>
      </c>
      <c r="F12" s="415">
        <f>riskpivot!F6</f>
        <v>2</v>
      </c>
      <c r="G12" s="415">
        <f>riskpivot!G6</f>
        <v>17</v>
      </c>
      <c r="H12" s="416">
        <f t="shared" si="0"/>
        <v>1827</v>
      </c>
      <c r="I12" s="405"/>
      <c r="J12" s="405"/>
      <c r="K12" s="405"/>
      <c r="L12" s="405"/>
    </row>
    <row r="13" spans="1:12" x14ac:dyDescent="0.25">
      <c r="A13" s="414" t="s">
        <v>135</v>
      </c>
      <c r="B13" s="415">
        <f>riskpivot!B7</f>
        <v>2</v>
      </c>
      <c r="C13" s="415">
        <f>riskpivot!C7</f>
        <v>5</v>
      </c>
      <c r="D13" s="415">
        <f>riskpivot!D7</f>
        <v>24</v>
      </c>
      <c r="E13" s="415">
        <f>riskpivot!E7</f>
        <v>17</v>
      </c>
      <c r="F13" s="415">
        <f>riskpivot!F7</f>
        <v>2</v>
      </c>
      <c r="G13" s="415">
        <f>riskpivot!G7</f>
        <v>1</v>
      </c>
      <c r="H13" s="416">
        <f t="shared" si="0"/>
        <v>51</v>
      </c>
      <c r="I13" s="405"/>
      <c r="J13" s="405"/>
      <c r="K13" s="405"/>
      <c r="L13" s="405"/>
    </row>
    <row r="14" spans="1:12" x14ac:dyDescent="0.25">
      <c r="A14" s="414" t="s">
        <v>136</v>
      </c>
      <c r="B14" s="415">
        <f>riskpivot!B8</f>
        <v>2</v>
      </c>
      <c r="C14" s="415">
        <f>riskpivot!C8</f>
        <v>186</v>
      </c>
      <c r="D14" s="415">
        <f>riskpivot!D8</f>
        <v>705</v>
      </c>
      <c r="E14" s="415">
        <f>riskpivot!E8</f>
        <v>189</v>
      </c>
      <c r="F14" s="415">
        <f>riskpivot!F8</f>
        <v>16</v>
      </c>
      <c r="G14" s="415">
        <f>riskpivot!G8</f>
        <v>12</v>
      </c>
      <c r="H14" s="416">
        <f t="shared" si="0"/>
        <v>1110</v>
      </c>
      <c r="I14" s="405"/>
      <c r="J14" s="405"/>
      <c r="K14" s="405"/>
      <c r="L14" s="405"/>
    </row>
    <row r="15" spans="1:12" x14ac:dyDescent="0.25">
      <c r="A15" s="414" t="s">
        <v>137</v>
      </c>
      <c r="B15" s="415">
        <f>riskpivot!B9</f>
        <v>15</v>
      </c>
      <c r="C15" s="415">
        <f>riskpivot!C9</f>
        <v>503</v>
      </c>
      <c r="D15" s="415">
        <f>riskpivot!D9</f>
        <v>649</v>
      </c>
      <c r="E15" s="415">
        <f>riskpivot!E9</f>
        <v>75</v>
      </c>
      <c r="F15" s="415">
        <f>riskpivot!F9</f>
        <v>0</v>
      </c>
      <c r="G15" s="415">
        <f>riskpivot!G9</f>
        <v>14</v>
      </c>
      <c r="H15" s="416">
        <f t="shared" si="0"/>
        <v>1256</v>
      </c>
      <c r="I15" s="405"/>
      <c r="J15" s="405"/>
      <c r="K15" s="405"/>
      <c r="L15" s="405"/>
    </row>
    <row r="16" spans="1:12" x14ac:dyDescent="0.25">
      <c r="A16" s="414" t="s">
        <v>138</v>
      </c>
      <c r="B16" s="415">
        <f>riskpivot!B10</f>
        <v>0</v>
      </c>
      <c r="C16" s="415">
        <f>riskpivot!C10</f>
        <v>3</v>
      </c>
      <c r="D16" s="415">
        <f>riskpivot!D10</f>
        <v>6</v>
      </c>
      <c r="E16" s="415">
        <f>riskpivot!E10</f>
        <v>2</v>
      </c>
      <c r="F16" s="415">
        <f>riskpivot!F10</f>
        <v>0</v>
      </c>
      <c r="G16" s="415">
        <f>riskpivot!G10</f>
        <v>0</v>
      </c>
      <c r="H16" s="416">
        <f t="shared" si="0"/>
        <v>11</v>
      </c>
      <c r="I16" s="405"/>
      <c r="J16" s="405"/>
      <c r="K16" s="405"/>
      <c r="L16" s="405"/>
    </row>
    <row r="17" spans="1:12" x14ac:dyDescent="0.25">
      <c r="A17" s="414" t="s">
        <v>139</v>
      </c>
      <c r="B17" s="415">
        <f>riskpivot!B11</f>
        <v>0</v>
      </c>
      <c r="C17" s="415">
        <f>riskpivot!C11</f>
        <v>0</v>
      </c>
      <c r="D17" s="415">
        <f>riskpivot!D11</f>
        <v>18</v>
      </c>
      <c r="E17" s="415">
        <f>riskpivot!E11</f>
        <v>7</v>
      </c>
      <c r="F17" s="415">
        <f>riskpivot!F11</f>
        <v>0</v>
      </c>
      <c r="G17" s="415">
        <f>riskpivot!G11</f>
        <v>0</v>
      </c>
      <c r="H17" s="416">
        <f t="shared" si="0"/>
        <v>25</v>
      </c>
      <c r="I17" s="405"/>
      <c r="J17" s="405"/>
      <c r="K17" s="405"/>
      <c r="L17" s="405"/>
    </row>
    <row r="18" spans="1:12" x14ac:dyDescent="0.25">
      <c r="A18" s="414" t="s">
        <v>140</v>
      </c>
      <c r="B18" s="415">
        <f>riskpivot!B12</f>
        <v>12</v>
      </c>
      <c r="C18" s="415">
        <f>riskpivot!C12</f>
        <v>37</v>
      </c>
      <c r="D18" s="415">
        <f>riskpivot!D12</f>
        <v>95</v>
      </c>
      <c r="E18" s="415">
        <f>riskpivot!E12</f>
        <v>54</v>
      </c>
      <c r="F18" s="415">
        <f>riskpivot!F12</f>
        <v>4</v>
      </c>
      <c r="G18" s="415">
        <f>riskpivot!G12</f>
        <v>3</v>
      </c>
      <c r="H18" s="416">
        <f t="shared" si="0"/>
        <v>205</v>
      </c>
      <c r="I18" s="405"/>
      <c r="J18" s="405"/>
      <c r="K18" s="405"/>
      <c r="L18" s="405"/>
    </row>
    <row r="19" spans="1:12" x14ac:dyDescent="0.25">
      <c r="A19" s="414" t="s">
        <v>141</v>
      </c>
      <c r="B19" s="415">
        <f>riskpivot!B13</f>
        <v>18</v>
      </c>
      <c r="C19" s="415">
        <f>riskpivot!C13</f>
        <v>26</v>
      </c>
      <c r="D19" s="415">
        <f>riskpivot!D13</f>
        <v>93</v>
      </c>
      <c r="E19" s="415">
        <f>riskpivot!E13</f>
        <v>18</v>
      </c>
      <c r="F19" s="415">
        <f>riskpivot!F13</f>
        <v>1</v>
      </c>
      <c r="G19" s="415">
        <f>riskpivot!G13</f>
        <v>3</v>
      </c>
      <c r="H19" s="416">
        <f t="shared" si="0"/>
        <v>159</v>
      </c>
      <c r="I19" s="405"/>
      <c r="J19" s="405"/>
      <c r="K19" s="405"/>
      <c r="L19" s="405"/>
    </row>
    <row r="20" spans="1:12" x14ac:dyDescent="0.25">
      <c r="A20" s="414" t="s">
        <v>142</v>
      </c>
      <c r="B20" s="415">
        <f>riskpivot!B14</f>
        <v>37</v>
      </c>
      <c r="C20" s="415">
        <f>riskpivot!C14</f>
        <v>69</v>
      </c>
      <c r="D20" s="415">
        <f>riskpivot!D14</f>
        <v>136</v>
      </c>
      <c r="E20" s="415">
        <f>riskpivot!E14</f>
        <v>51</v>
      </c>
      <c r="F20" s="415">
        <f>riskpivot!F14</f>
        <v>3</v>
      </c>
      <c r="G20" s="415">
        <f>riskpivot!G14</f>
        <v>5</v>
      </c>
      <c r="H20" s="416">
        <f t="shared" si="0"/>
        <v>301</v>
      </c>
      <c r="I20" s="405"/>
      <c r="J20" s="405"/>
      <c r="K20" s="405"/>
      <c r="L20" s="405"/>
    </row>
    <row r="21" spans="1:12" x14ac:dyDescent="0.25">
      <c r="A21" s="414" t="s">
        <v>143</v>
      </c>
      <c r="B21" s="415">
        <f>riskpivot!B15</f>
        <v>10</v>
      </c>
      <c r="C21" s="415">
        <f>riskpivot!C15</f>
        <v>13</v>
      </c>
      <c r="D21" s="415">
        <f>riskpivot!D15</f>
        <v>119</v>
      </c>
      <c r="E21" s="415">
        <f>riskpivot!E15</f>
        <v>26</v>
      </c>
      <c r="F21" s="415">
        <f>riskpivot!F15</f>
        <v>0</v>
      </c>
      <c r="G21" s="415">
        <f>riskpivot!G15</f>
        <v>4</v>
      </c>
      <c r="H21" s="416">
        <f t="shared" si="0"/>
        <v>172</v>
      </c>
      <c r="I21" s="405"/>
      <c r="J21" s="405"/>
      <c r="K21" s="405"/>
      <c r="L21" s="405"/>
    </row>
    <row r="22" spans="1:12" x14ac:dyDescent="0.25">
      <c r="A22" s="414" t="s">
        <v>144</v>
      </c>
      <c r="B22" s="415">
        <f>riskpivot!B16</f>
        <v>1</v>
      </c>
      <c r="C22" s="415">
        <f>riskpivot!C16</f>
        <v>71</v>
      </c>
      <c r="D22" s="415">
        <f>riskpivot!D16</f>
        <v>120</v>
      </c>
      <c r="E22" s="415">
        <f>riskpivot!E16</f>
        <v>28</v>
      </c>
      <c r="F22" s="415">
        <f>riskpivot!F16</f>
        <v>0</v>
      </c>
      <c r="G22" s="415">
        <f>riskpivot!G16</f>
        <v>2</v>
      </c>
      <c r="H22" s="416">
        <f t="shared" si="0"/>
        <v>222</v>
      </c>
      <c r="I22" s="405"/>
      <c r="J22" s="405"/>
      <c r="K22" s="405"/>
      <c r="L22" s="405"/>
    </row>
    <row r="23" spans="1:12" x14ac:dyDescent="0.25">
      <c r="A23" s="414" t="s">
        <v>145</v>
      </c>
      <c r="B23" s="415">
        <f>riskpivot!B17</f>
        <v>8</v>
      </c>
      <c r="C23" s="415">
        <f>riskpivot!C17</f>
        <v>39</v>
      </c>
      <c r="D23" s="415">
        <f>riskpivot!D17</f>
        <v>111</v>
      </c>
      <c r="E23" s="415">
        <f>riskpivot!E17</f>
        <v>85</v>
      </c>
      <c r="F23" s="415">
        <f>riskpivot!F17</f>
        <v>6</v>
      </c>
      <c r="G23" s="415">
        <f>riskpivot!G17</f>
        <v>0</v>
      </c>
      <c r="H23" s="416">
        <f t="shared" si="0"/>
        <v>249</v>
      </c>
      <c r="I23" s="405"/>
      <c r="J23" s="405"/>
      <c r="K23" s="405"/>
      <c r="L23" s="405"/>
    </row>
    <row r="24" spans="1:12" x14ac:dyDescent="0.25">
      <c r="A24" s="414" t="s">
        <v>146</v>
      </c>
      <c r="B24" s="415">
        <f>riskpivot!B18</f>
        <v>0</v>
      </c>
      <c r="C24" s="415">
        <f>riskpivot!C18</f>
        <v>49</v>
      </c>
      <c r="D24" s="415">
        <f>riskpivot!D18</f>
        <v>48</v>
      </c>
      <c r="E24" s="415">
        <f>riskpivot!E18</f>
        <v>56</v>
      </c>
      <c r="F24" s="415">
        <f>riskpivot!F18</f>
        <v>12</v>
      </c>
      <c r="G24" s="415">
        <f>riskpivot!G18</f>
        <v>4</v>
      </c>
      <c r="H24" s="416">
        <f t="shared" si="0"/>
        <v>169</v>
      </c>
      <c r="I24" s="405"/>
      <c r="J24" s="405"/>
      <c r="K24" s="405"/>
      <c r="L24" s="405"/>
    </row>
    <row r="25" spans="1:12" ht="15.75" thickBot="1" x14ac:dyDescent="0.3">
      <c r="A25" s="264" t="s">
        <v>17</v>
      </c>
      <c r="B25" s="417">
        <f>SUM(B10:B24)</f>
        <v>318</v>
      </c>
      <c r="C25" s="417">
        <f t="shared" ref="C25:H25" si="1">SUM(C10:C24)</f>
        <v>1867</v>
      </c>
      <c r="D25" s="417">
        <f t="shared" si="1"/>
        <v>4408</v>
      </c>
      <c r="E25" s="417">
        <f t="shared" si="1"/>
        <v>924</v>
      </c>
      <c r="F25" s="417">
        <f t="shared" si="1"/>
        <v>62</v>
      </c>
      <c r="G25" s="417">
        <f t="shared" si="1"/>
        <v>75</v>
      </c>
      <c r="H25" s="417">
        <f t="shared" si="1"/>
        <v>7654</v>
      </c>
      <c r="I25" s="405"/>
      <c r="J25" s="405"/>
      <c r="K25" s="405"/>
      <c r="L25" s="405"/>
    </row>
    <row r="27" spans="1:12" x14ac:dyDescent="0.25">
      <c r="A27" s="339" t="s">
        <v>8</v>
      </c>
      <c r="B27" s="369"/>
      <c r="C27" s="369"/>
      <c r="D27" s="369"/>
      <c r="E27" s="369"/>
      <c r="F27" s="369"/>
      <c r="G27" s="369"/>
      <c r="H27" s="418"/>
    </row>
    <row r="28" spans="1:12" ht="32.25" customHeight="1" x14ac:dyDescent="0.25">
      <c r="A28" s="992" t="s">
        <v>757</v>
      </c>
      <c r="B28" s="992"/>
      <c r="C28" s="992"/>
      <c r="D28" s="992"/>
      <c r="E28" s="992"/>
      <c r="F28" s="992"/>
      <c r="G28" s="992"/>
      <c r="H28" s="992"/>
    </row>
    <row r="30" spans="1:12" ht="15.75" x14ac:dyDescent="0.25">
      <c r="A30" s="447" t="s">
        <v>579</v>
      </c>
      <c r="B30" s="447"/>
    </row>
    <row r="31" spans="1:12" x14ac:dyDescent="0.25">
      <c r="A31" t="s">
        <v>328</v>
      </c>
      <c r="B31" t="s">
        <v>718</v>
      </c>
    </row>
    <row r="32" spans="1:12" x14ac:dyDescent="0.25">
      <c r="A32" t="s">
        <v>329</v>
      </c>
      <c r="B32" t="s">
        <v>331</v>
      </c>
    </row>
    <row r="33" spans="1:8" x14ac:dyDescent="0.25">
      <c r="A33" t="s">
        <v>330</v>
      </c>
      <c r="B33" t="s">
        <v>332</v>
      </c>
    </row>
    <row r="35" spans="1:8" x14ac:dyDescent="0.25">
      <c r="A35" s="419" t="s">
        <v>424</v>
      </c>
      <c r="B35" s="412" t="s">
        <v>574</v>
      </c>
      <c r="C35" s="412" t="s">
        <v>575</v>
      </c>
      <c r="D35" s="412" t="s">
        <v>576</v>
      </c>
      <c r="E35" s="412" t="s">
        <v>577</v>
      </c>
      <c r="F35" s="412" t="s">
        <v>578</v>
      </c>
      <c r="G35" s="412" t="s">
        <v>783</v>
      </c>
      <c r="H35" s="79" t="s">
        <v>26</v>
      </c>
    </row>
    <row r="36" spans="1:8" x14ac:dyDescent="0.25">
      <c r="A36" s="420" t="s">
        <v>133</v>
      </c>
      <c r="B36" s="789">
        <f t="shared" ref="B36:G37" si="2">B10/$H10*100</f>
        <v>4.8780487804878048</v>
      </c>
      <c r="C36" s="789">
        <f t="shared" si="2"/>
        <v>8.7108013937282234</v>
      </c>
      <c r="D36" s="789">
        <f t="shared" si="2"/>
        <v>75.261324041811847</v>
      </c>
      <c r="E36" s="789">
        <f t="shared" si="2"/>
        <v>8.0139372822299642</v>
      </c>
      <c r="F36" s="789">
        <f t="shared" si="2"/>
        <v>1.3937282229965158</v>
      </c>
      <c r="G36" s="789">
        <f t="shared" si="2"/>
        <v>1.7421602787456445</v>
      </c>
      <c r="H36" s="790">
        <f t="shared" ref="H36:H51" si="3">SUM(B36:F36)</f>
        <v>98.257839721254356</v>
      </c>
    </row>
    <row r="37" spans="1:8" x14ac:dyDescent="0.25">
      <c r="A37" s="420" t="s">
        <v>134</v>
      </c>
      <c r="B37" s="789">
        <f t="shared" si="2"/>
        <v>8.0745341614906838</v>
      </c>
      <c r="C37" s="789">
        <f t="shared" si="2"/>
        <v>44.844720496894411</v>
      </c>
      <c r="D37" s="789">
        <f t="shared" si="2"/>
        <v>34.099378881987583</v>
      </c>
      <c r="E37" s="789">
        <f t="shared" si="2"/>
        <v>11.925465838509316</v>
      </c>
      <c r="F37" s="789">
        <f t="shared" si="2"/>
        <v>0.74534161490683226</v>
      </c>
      <c r="G37" s="789">
        <f t="shared" si="2"/>
        <v>0.3105590062111801</v>
      </c>
      <c r="H37" s="790">
        <f t="shared" ref="H37:H50" si="4">SUM(B37:F37)</f>
        <v>99.689440993788821</v>
      </c>
    </row>
    <row r="38" spans="1:8" x14ac:dyDescent="0.25">
      <c r="A38" s="420" t="s">
        <v>150</v>
      </c>
      <c r="B38" s="789">
        <f t="shared" ref="B38:G38" si="5">B12/$H12*100</f>
        <v>3.7766830870279149</v>
      </c>
      <c r="C38" s="789">
        <f t="shared" si="5"/>
        <v>6.5134099616858236</v>
      </c>
      <c r="D38" s="789">
        <f t="shared" si="5"/>
        <v>83.141762452107287</v>
      </c>
      <c r="E38" s="789">
        <f t="shared" si="5"/>
        <v>5.5281882868089767</v>
      </c>
      <c r="F38" s="789">
        <f t="shared" si="5"/>
        <v>0.10946907498631638</v>
      </c>
      <c r="G38" s="789">
        <f t="shared" si="5"/>
        <v>0.93048713738368916</v>
      </c>
      <c r="H38" s="790">
        <f t="shared" si="4"/>
        <v>99.069512862616335</v>
      </c>
    </row>
    <row r="39" spans="1:8" x14ac:dyDescent="0.25">
      <c r="A39" s="420" t="s">
        <v>135</v>
      </c>
      <c r="B39" s="789">
        <f t="shared" ref="B39:G39" si="6">B13/$H13*100</f>
        <v>3.9215686274509802</v>
      </c>
      <c r="C39" s="789">
        <f t="shared" si="6"/>
        <v>9.8039215686274517</v>
      </c>
      <c r="D39" s="789">
        <f t="shared" si="6"/>
        <v>47.058823529411761</v>
      </c>
      <c r="E39" s="789">
        <f t="shared" si="6"/>
        <v>33.333333333333329</v>
      </c>
      <c r="F39" s="789">
        <f t="shared" si="6"/>
        <v>3.9215686274509802</v>
      </c>
      <c r="G39" s="789">
        <f t="shared" si="6"/>
        <v>1.9607843137254901</v>
      </c>
      <c r="H39" s="790">
        <f t="shared" si="4"/>
        <v>98.039215686274503</v>
      </c>
    </row>
    <row r="40" spans="1:8" x14ac:dyDescent="0.25">
      <c r="A40" s="420" t="s">
        <v>136</v>
      </c>
      <c r="B40" s="789">
        <f t="shared" ref="B40:G40" si="7">B14/$H14*100</f>
        <v>0.18018018018018017</v>
      </c>
      <c r="C40" s="789">
        <f t="shared" si="7"/>
        <v>16.756756756756758</v>
      </c>
      <c r="D40" s="789">
        <f t="shared" si="7"/>
        <v>63.513513513513509</v>
      </c>
      <c r="E40" s="789">
        <f t="shared" si="7"/>
        <v>17.027027027027028</v>
      </c>
      <c r="F40" s="789">
        <f t="shared" si="7"/>
        <v>1.4414414414414414</v>
      </c>
      <c r="G40" s="789">
        <f t="shared" si="7"/>
        <v>1.0810810810810811</v>
      </c>
      <c r="H40" s="790">
        <f t="shared" si="4"/>
        <v>98.918918918918919</v>
      </c>
    </row>
    <row r="41" spans="1:8" x14ac:dyDescent="0.25">
      <c r="A41" s="420" t="s">
        <v>137</v>
      </c>
      <c r="B41" s="789">
        <f t="shared" ref="B41:G41" si="8">B15/$H15*100</f>
        <v>1.1942675159235669</v>
      </c>
      <c r="C41" s="789">
        <f t="shared" si="8"/>
        <v>40.047770700636946</v>
      </c>
      <c r="D41" s="789">
        <f t="shared" si="8"/>
        <v>51.671974522292999</v>
      </c>
      <c r="E41" s="789">
        <f t="shared" si="8"/>
        <v>5.9713375796178347</v>
      </c>
      <c r="F41" s="789">
        <f t="shared" si="8"/>
        <v>0</v>
      </c>
      <c r="G41" s="789">
        <f t="shared" si="8"/>
        <v>1.1146496815286624</v>
      </c>
      <c r="H41" s="790">
        <f t="shared" si="4"/>
        <v>98.885350318471353</v>
      </c>
    </row>
    <row r="42" spans="1:8" x14ac:dyDescent="0.25">
      <c r="A42" s="420" t="s">
        <v>138</v>
      </c>
      <c r="B42" s="789">
        <f t="shared" ref="B42:G42" si="9">B16/$H16*100</f>
        <v>0</v>
      </c>
      <c r="C42" s="789">
        <f t="shared" si="9"/>
        <v>27.27272727272727</v>
      </c>
      <c r="D42" s="789">
        <f t="shared" si="9"/>
        <v>54.54545454545454</v>
      </c>
      <c r="E42" s="789">
        <f t="shared" si="9"/>
        <v>18.181818181818183</v>
      </c>
      <c r="F42" s="789">
        <f t="shared" si="9"/>
        <v>0</v>
      </c>
      <c r="G42" s="789">
        <f t="shared" si="9"/>
        <v>0</v>
      </c>
      <c r="H42" s="790">
        <f t="shared" si="4"/>
        <v>100</v>
      </c>
    </row>
    <row r="43" spans="1:8" x14ac:dyDescent="0.25">
      <c r="A43" s="420" t="s">
        <v>139</v>
      </c>
      <c r="B43" s="789">
        <f t="shared" ref="B43:G43" si="10">B17/$H17*100</f>
        <v>0</v>
      </c>
      <c r="C43" s="789">
        <f t="shared" si="10"/>
        <v>0</v>
      </c>
      <c r="D43" s="789">
        <f t="shared" si="10"/>
        <v>72</v>
      </c>
      <c r="E43" s="789">
        <f t="shared" si="10"/>
        <v>28.000000000000004</v>
      </c>
      <c r="F43" s="789">
        <f t="shared" si="10"/>
        <v>0</v>
      </c>
      <c r="G43" s="789">
        <f t="shared" si="10"/>
        <v>0</v>
      </c>
      <c r="H43" s="790">
        <f t="shared" si="4"/>
        <v>100</v>
      </c>
    </row>
    <row r="44" spans="1:8" x14ac:dyDescent="0.25">
      <c r="A44" s="420" t="s">
        <v>140</v>
      </c>
      <c r="B44" s="789">
        <f t="shared" ref="B44:G44" si="11">B18/$H18*100</f>
        <v>5.8536585365853666</v>
      </c>
      <c r="C44" s="789">
        <f t="shared" si="11"/>
        <v>18.048780487804876</v>
      </c>
      <c r="D44" s="789">
        <f t="shared" si="11"/>
        <v>46.341463414634148</v>
      </c>
      <c r="E44" s="789">
        <f t="shared" si="11"/>
        <v>26.341463414634148</v>
      </c>
      <c r="F44" s="789">
        <f t="shared" si="11"/>
        <v>1.9512195121951219</v>
      </c>
      <c r="G44" s="789">
        <f t="shared" si="11"/>
        <v>1.4634146341463417</v>
      </c>
      <c r="H44" s="790">
        <f t="shared" si="4"/>
        <v>98.536585365853668</v>
      </c>
    </row>
    <row r="45" spans="1:8" x14ac:dyDescent="0.25">
      <c r="A45" s="420" t="s">
        <v>141</v>
      </c>
      <c r="B45" s="789">
        <f t="shared" ref="B45:G45" si="12">B19/$H19*100</f>
        <v>11.320754716981133</v>
      </c>
      <c r="C45" s="789">
        <f t="shared" si="12"/>
        <v>16.352201257861633</v>
      </c>
      <c r="D45" s="789">
        <f t="shared" si="12"/>
        <v>58.490566037735846</v>
      </c>
      <c r="E45" s="789">
        <f t="shared" si="12"/>
        <v>11.320754716981133</v>
      </c>
      <c r="F45" s="789">
        <f t="shared" si="12"/>
        <v>0.62893081761006298</v>
      </c>
      <c r="G45" s="789">
        <f t="shared" si="12"/>
        <v>1.8867924528301887</v>
      </c>
      <c r="H45" s="790">
        <f t="shared" si="4"/>
        <v>98.113207547169807</v>
      </c>
    </row>
    <row r="46" spans="1:8" x14ac:dyDescent="0.25">
      <c r="A46" s="420" t="s">
        <v>142</v>
      </c>
      <c r="B46" s="789">
        <f t="shared" ref="B46:G46" si="13">B20/$H20*100</f>
        <v>12.29235880398671</v>
      </c>
      <c r="C46" s="789">
        <f t="shared" si="13"/>
        <v>22.923588039867109</v>
      </c>
      <c r="D46" s="789">
        <f t="shared" si="13"/>
        <v>45.182724252491695</v>
      </c>
      <c r="E46" s="789">
        <f t="shared" si="13"/>
        <v>16.943521594684384</v>
      </c>
      <c r="F46" s="789">
        <f t="shared" si="13"/>
        <v>0.99667774086378735</v>
      </c>
      <c r="G46" s="789">
        <f t="shared" si="13"/>
        <v>1.6611295681063125</v>
      </c>
      <c r="H46" s="790">
        <f t="shared" si="4"/>
        <v>98.338870431893682</v>
      </c>
    </row>
    <row r="47" spans="1:8" x14ac:dyDescent="0.25">
      <c r="A47" s="420" t="s">
        <v>143</v>
      </c>
      <c r="B47" s="789">
        <f t="shared" ref="B47:G47" si="14">B21/$H21*100</f>
        <v>5.8139534883720927</v>
      </c>
      <c r="C47" s="789">
        <f t="shared" si="14"/>
        <v>7.5581395348837201</v>
      </c>
      <c r="D47" s="789">
        <f t="shared" si="14"/>
        <v>69.186046511627907</v>
      </c>
      <c r="E47" s="789">
        <f t="shared" si="14"/>
        <v>15.11627906976744</v>
      </c>
      <c r="F47" s="789">
        <f t="shared" si="14"/>
        <v>0</v>
      </c>
      <c r="G47" s="789">
        <f t="shared" si="14"/>
        <v>2.3255813953488373</v>
      </c>
      <c r="H47" s="790">
        <f t="shared" si="4"/>
        <v>97.674418604651166</v>
      </c>
    </row>
    <row r="48" spans="1:8" x14ac:dyDescent="0.25">
      <c r="A48" s="420" t="s">
        <v>144</v>
      </c>
      <c r="B48" s="789">
        <f t="shared" ref="B48:G48" si="15">B22/$H22*100</f>
        <v>0.45045045045045046</v>
      </c>
      <c r="C48" s="789">
        <f t="shared" si="15"/>
        <v>31.981981981981981</v>
      </c>
      <c r="D48" s="789">
        <f t="shared" si="15"/>
        <v>54.054054054054056</v>
      </c>
      <c r="E48" s="789">
        <f t="shared" si="15"/>
        <v>12.612612612612612</v>
      </c>
      <c r="F48" s="789">
        <f t="shared" si="15"/>
        <v>0</v>
      </c>
      <c r="G48" s="789">
        <f t="shared" si="15"/>
        <v>0.90090090090090091</v>
      </c>
      <c r="H48" s="790">
        <f t="shared" si="4"/>
        <v>99.099099099099092</v>
      </c>
    </row>
    <row r="49" spans="1:8" x14ac:dyDescent="0.25">
      <c r="A49" s="420" t="s">
        <v>145</v>
      </c>
      <c r="B49" s="789">
        <f t="shared" ref="B49:G49" si="16">B23/$H23*100</f>
        <v>3.2128514056224895</v>
      </c>
      <c r="C49" s="789">
        <f t="shared" si="16"/>
        <v>15.66265060240964</v>
      </c>
      <c r="D49" s="789">
        <f t="shared" si="16"/>
        <v>44.578313253012048</v>
      </c>
      <c r="E49" s="789">
        <f t="shared" si="16"/>
        <v>34.136546184738961</v>
      </c>
      <c r="F49" s="789">
        <f t="shared" si="16"/>
        <v>2.4096385542168677</v>
      </c>
      <c r="G49" s="789">
        <f t="shared" si="16"/>
        <v>0</v>
      </c>
      <c r="H49" s="790">
        <f t="shared" si="4"/>
        <v>100.00000000000001</v>
      </c>
    </row>
    <row r="50" spans="1:8" x14ac:dyDescent="0.25">
      <c r="A50" s="420" t="s">
        <v>146</v>
      </c>
      <c r="B50" s="789">
        <f t="shared" ref="B50:G50" si="17">B24/$H24*100</f>
        <v>0</v>
      </c>
      <c r="C50" s="789">
        <f t="shared" si="17"/>
        <v>28.994082840236686</v>
      </c>
      <c r="D50" s="789">
        <f t="shared" si="17"/>
        <v>28.402366863905325</v>
      </c>
      <c r="E50" s="789">
        <f t="shared" si="17"/>
        <v>33.136094674556219</v>
      </c>
      <c r="F50" s="789">
        <f t="shared" si="17"/>
        <v>7.1005917159763312</v>
      </c>
      <c r="G50" s="789">
        <f t="shared" si="17"/>
        <v>2.3668639053254439</v>
      </c>
      <c r="H50" s="790">
        <f t="shared" si="4"/>
        <v>97.633136094674569</v>
      </c>
    </row>
    <row r="51" spans="1:8" ht="15.75" thickBot="1" x14ac:dyDescent="0.3">
      <c r="A51" s="421" t="s">
        <v>17</v>
      </c>
      <c r="B51" s="791">
        <f>B25/$H$25*100</f>
        <v>4.1546903579827541</v>
      </c>
      <c r="C51" s="791">
        <f>C25/$H$25*100</f>
        <v>24.392474523125163</v>
      </c>
      <c r="D51" s="791">
        <f>D25/$H$25*100</f>
        <v>57.59080219493076</v>
      </c>
      <c r="E51" s="791">
        <f>E25/$H$25*100</f>
        <v>12.072119153383852</v>
      </c>
      <c r="F51" s="791">
        <f>F25/$H$25*100</f>
        <v>0.81003396916644899</v>
      </c>
      <c r="G51" s="792">
        <f>G25/$H25*100</f>
        <v>0.97987980141102693</v>
      </c>
      <c r="H51" s="793">
        <f t="shared" si="3"/>
        <v>99.020120198588984</v>
      </c>
    </row>
    <row r="53" spans="1:8" x14ac:dyDescent="0.25">
      <c r="A53" s="420" t="s">
        <v>8</v>
      </c>
    </row>
    <row r="54" spans="1:8" ht="30" customHeight="1" x14ac:dyDescent="0.25">
      <c r="A54" s="992" t="s">
        <v>757</v>
      </c>
      <c r="B54" s="992"/>
      <c r="C54" s="992"/>
      <c r="D54" s="992"/>
      <c r="E54" s="992"/>
      <c r="F54" s="992"/>
      <c r="G54" s="992"/>
      <c r="H54" s="992"/>
    </row>
  </sheetData>
  <sheetProtection algorithmName="SHA-512" hashValue="O8jOTQOdpsiMeogLh/pFX33W2DxI3IfiERConMq6WI6fZLSNv08rxpkuy18J8phMdJLNPtVoCDgPEc+Sf00JTw==" saltValue="XvebpGu/rcUDsrzgULdYXw==" spinCount="100000" sheet="1" scenarios="1" formatCells="0" sort="0" autoFilter="0" pivotTables="0"/>
  <mergeCells count="2">
    <mergeCell ref="A28:H28"/>
    <mergeCell ref="A54:H54"/>
  </mergeCells>
  <hyperlinks>
    <hyperlink ref="A2" location="'Table of Contents'!A1" display="Back to Table of Contents" xr:uid="{00000000-0004-0000-B1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theme="3" tint="0.39997558519241921"/>
    <pageSetUpPr fitToPage="1"/>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522" t="s">
        <v>560</v>
      </c>
      <c r="B1" s="522"/>
      <c r="C1" s="522"/>
    </row>
    <row r="2" spans="1:8" ht="15.75" x14ac:dyDescent="0.25">
      <c r="A2" s="507" t="s">
        <v>511</v>
      </c>
      <c r="B2" s="449"/>
      <c r="C2" s="449"/>
    </row>
    <row r="4" spans="1:8" ht="15.75" x14ac:dyDescent="0.25">
      <c r="A4" s="994" t="s">
        <v>580</v>
      </c>
      <c r="B4" s="994"/>
      <c r="C4" s="994"/>
      <c r="D4" s="994"/>
      <c r="E4" s="994"/>
      <c r="F4" s="994"/>
      <c r="G4" s="994"/>
      <c r="H4" s="994"/>
    </row>
    <row r="5" spans="1:8" x14ac:dyDescent="0.25">
      <c r="A5" s="571" t="s">
        <v>721</v>
      </c>
    </row>
    <row r="6" spans="1:8" x14ac:dyDescent="0.25">
      <c r="A6" s="571" t="s">
        <v>669</v>
      </c>
    </row>
  </sheetData>
  <sheetProtection algorithmName="SHA-512" hashValue="kIqkOhTN/ujt+XHVe2n4/Y0yPDV8OgfnQweGmZXzQWZngxYI/bqjlowbdZ5id42XCn+nVqj25o+c6atV37R1uQ==" saltValue="OJ71lzP1HFLC+Xr5akafPQ==" spinCount="100000" sheet="1" scenarios="1" formatCells="0" sort="0" autoFilter="0" pivotTables="0"/>
  <mergeCells count="1">
    <mergeCell ref="A4:H4"/>
  </mergeCells>
  <hyperlinks>
    <hyperlink ref="A2" location="'Table of Contents'!A1" display="Back to Table of Contents" xr:uid="{00000000-0004-0000-B300-000000000000}"/>
  </hyperlinks>
  <pageMargins left="0.70866141732283472" right="0.70866141732283472" top="0.74803149606299213" bottom="0.74803149606299213" header="0.31496062992125984" footer="0.31496062992125984"/>
  <pageSetup paperSize="9" scale="95" orientation="landscape"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tabColor theme="3" tint="0.39997558519241921"/>
    <pageSetUpPr fitToPage="1"/>
  </sheetPr>
  <dimension ref="A1:H6"/>
  <sheetViews>
    <sheetView showGridLines="0" workbookViewId="0">
      <pane ySplit="2" topLeftCell="A3" activePane="bottomLeft" state="frozen"/>
      <selection pane="bottomLeft"/>
    </sheetView>
  </sheetViews>
  <sheetFormatPr defaultRowHeight="15" x14ac:dyDescent="0.25"/>
  <sheetData>
    <row r="1" spans="1:8" ht="15.75" x14ac:dyDescent="0.25">
      <c r="A1" s="522" t="s">
        <v>560</v>
      </c>
      <c r="B1" s="522"/>
      <c r="C1" s="522"/>
    </row>
    <row r="2" spans="1:8" ht="15.75" x14ac:dyDescent="0.25">
      <c r="A2" s="507" t="s">
        <v>511</v>
      </c>
      <c r="B2" s="449"/>
      <c r="C2" s="449"/>
    </row>
    <row r="4" spans="1:8" ht="15.75" x14ac:dyDescent="0.25">
      <c r="A4" s="994" t="s">
        <v>581</v>
      </c>
      <c r="B4" s="994"/>
      <c r="C4" s="994"/>
      <c r="D4" s="994"/>
      <c r="E4" s="994"/>
      <c r="F4" s="994"/>
      <c r="G4" s="994"/>
      <c r="H4" s="994"/>
    </row>
    <row r="5" spans="1:8" x14ac:dyDescent="0.25">
      <c r="A5" s="571" t="s">
        <v>721</v>
      </c>
    </row>
    <row r="6" spans="1:8" x14ac:dyDescent="0.25">
      <c r="A6" s="571" t="s">
        <v>670</v>
      </c>
    </row>
  </sheetData>
  <sheetProtection algorithmName="SHA-512" hashValue="UyW/M52gVrW4TTri9g6juE2HM/mbJXlHc8sTQhCQc/MOOz7WqaA2gU4uHh8Q+LBoYzXn3R/UHxkQAscKmMvptg==" saltValue="8QNMpA4urgjn8A0JEfMnVg==" spinCount="100000" sheet="1" scenarios="1" formatCells="0" sort="0" autoFilter="0" pivotTables="0"/>
  <mergeCells count="1">
    <mergeCell ref="A4:H4"/>
  </mergeCells>
  <hyperlinks>
    <hyperlink ref="A2" location="'Table of Contents'!A1" display="Back to Table of Contents" xr:uid="{00000000-0004-0000-B400-00000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theme="3" tint="0.39997558519241921"/>
  </sheetPr>
  <dimension ref="A1:H6"/>
  <sheetViews>
    <sheetView showGridLines="0" workbookViewId="0"/>
  </sheetViews>
  <sheetFormatPr defaultRowHeight="15" x14ac:dyDescent="0.25"/>
  <sheetData>
    <row r="1" spans="1:8" ht="15.75" x14ac:dyDescent="0.25">
      <c r="A1" s="522" t="s">
        <v>560</v>
      </c>
      <c r="B1" s="522"/>
      <c r="C1" s="522"/>
    </row>
    <row r="2" spans="1:8" ht="15.75" x14ac:dyDescent="0.25">
      <c r="A2" s="507" t="s">
        <v>511</v>
      </c>
      <c r="B2" s="449"/>
      <c r="C2" s="449"/>
    </row>
    <row r="4" spans="1:8" ht="15.75" x14ac:dyDescent="0.25">
      <c r="A4" s="994" t="s">
        <v>874</v>
      </c>
      <c r="B4" s="994"/>
      <c r="C4" s="994"/>
      <c r="D4" s="994"/>
      <c r="E4" s="994"/>
      <c r="F4" s="994"/>
      <c r="G4" s="994"/>
      <c r="H4" s="994"/>
    </row>
    <row r="5" spans="1:8" x14ac:dyDescent="0.25">
      <c r="A5" s="571" t="s">
        <v>721</v>
      </c>
    </row>
    <row r="6" spans="1:8" x14ac:dyDescent="0.25">
      <c r="A6" s="571" t="s">
        <v>875</v>
      </c>
    </row>
  </sheetData>
  <sheetProtection algorithmName="SHA-512" hashValue="sBeVrKz8gBlJChQPxpB1J8hqFCYsZrgb8fYu9zSAuRqrvgqJKiGolQArF+pMg9EjCNCMG0YfaZjp+qyMRHbYZA==" saltValue="plBvSuXjZf3QWv7/eTwPRA==" spinCount="100000" sheet="1" scenarios="1" formatCells="0" sort="0" autoFilter="0" pivotTables="0"/>
  <mergeCells count="1">
    <mergeCell ref="A4:H4"/>
  </mergeCells>
  <hyperlinks>
    <hyperlink ref="A2" location="'Table of Contents'!A1" display="Back to Table of Contents" xr:uid="{00000000-0004-0000-B5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4CC50-461A-48A6-B6F7-F060CB834AC6}">
  <dimension ref="A3:N16"/>
  <sheetViews>
    <sheetView topLeftCell="D1" workbookViewId="0">
      <selection activeCell="E23" sqref="E23"/>
    </sheetView>
  </sheetViews>
  <sheetFormatPr defaultRowHeight="15" x14ac:dyDescent="0.25"/>
  <cols>
    <col min="1" max="1" width="12.5703125" bestFit="1" customWidth="1"/>
    <col min="2" max="2" width="24.85546875" bestFit="1" customWidth="1"/>
    <col min="3" max="3" width="22.42578125" bestFit="1" customWidth="1"/>
    <col min="4" max="4" width="26.140625" bestFit="1" customWidth="1"/>
    <col min="5" max="5" width="15.5703125" bestFit="1" customWidth="1"/>
    <col min="6" max="6" width="29.42578125" bestFit="1" customWidth="1"/>
    <col min="7" max="7" width="30.42578125" bestFit="1" customWidth="1"/>
    <col min="8" max="8" width="12.140625" bestFit="1" customWidth="1"/>
    <col min="9" max="9" width="21.5703125" bestFit="1" customWidth="1"/>
    <col min="10" max="10" width="30" bestFit="1" customWidth="1"/>
    <col min="11" max="12" width="24.140625" bestFit="1" customWidth="1"/>
    <col min="13" max="13" width="53.7109375" bestFit="1" customWidth="1"/>
    <col min="14" max="14" width="29.5703125" bestFit="1" customWidth="1"/>
  </cols>
  <sheetData>
    <row r="3" spans="1:14" x14ac:dyDescent="0.25">
      <c r="A3" s="394" t="s">
        <v>231</v>
      </c>
      <c r="B3" t="s">
        <v>321</v>
      </c>
      <c r="C3" t="s">
        <v>322</v>
      </c>
      <c r="D3" t="s">
        <v>1003</v>
      </c>
      <c r="E3" t="s">
        <v>1118</v>
      </c>
      <c r="F3" t="s">
        <v>1004</v>
      </c>
      <c r="G3" t="s">
        <v>412</v>
      </c>
      <c r="H3" t="s">
        <v>1119</v>
      </c>
      <c r="I3" t="s">
        <v>1006</v>
      </c>
      <c r="J3" t="s">
        <v>1120</v>
      </c>
      <c r="K3" t="s">
        <v>1121</v>
      </c>
      <c r="L3" t="s">
        <v>1122</v>
      </c>
      <c r="M3" t="s">
        <v>1123</v>
      </c>
      <c r="N3" t="s">
        <v>1124</v>
      </c>
    </row>
    <row r="4" spans="1:14" x14ac:dyDescent="0.25">
      <c r="A4" s="395" t="s">
        <v>193</v>
      </c>
      <c r="B4">
        <v>465</v>
      </c>
      <c r="C4">
        <v>28</v>
      </c>
      <c r="D4">
        <v>37</v>
      </c>
      <c r="E4">
        <v>22</v>
      </c>
      <c r="F4">
        <v>15</v>
      </c>
      <c r="G4">
        <v>30</v>
      </c>
      <c r="H4">
        <v>23</v>
      </c>
      <c r="I4">
        <v>620</v>
      </c>
      <c r="K4">
        <v>59</v>
      </c>
      <c r="L4">
        <v>31</v>
      </c>
      <c r="M4">
        <v>805</v>
      </c>
      <c r="N4">
        <v>1515</v>
      </c>
    </row>
    <row r="5" spans="1:14" x14ac:dyDescent="0.25">
      <c r="A5" s="395" t="s">
        <v>192</v>
      </c>
      <c r="B5">
        <v>452</v>
      </c>
      <c r="C5">
        <v>31</v>
      </c>
      <c r="D5">
        <v>21</v>
      </c>
      <c r="F5">
        <v>19</v>
      </c>
      <c r="G5">
        <v>29</v>
      </c>
      <c r="H5">
        <v>25</v>
      </c>
      <c r="I5">
        <v>577</v>
      </c>
      <c r="K5">
        <v>65</v>
      </c>
      <c r="L5">
        <v>31</v>
      </c>
      <c r="M5">
        <v>628</v>
      </c>
      <c r="N5">
        <v>1301</v>
      </c>
    </row>
    <row r="6" spans="1:14" x14ac:dyDescent="0.25">
      <c r="A6" s="395" t="s">
        <v>191</v>
      </c>
      <c r="B6">
        <v>449</v>
      </c>
      <c r="C6">
        <v>14</v>
      </c>
      <c r="D6">
        <v>23</v>
      </c>
      <c r="E6">
        <v>25</v>
      </c>
      <c r="F6">
        <v>16</v>
      </c>
      <c r="G6">
        <v>36</v>
      </c>
      <c r="H6">
        <v>24</v>
      </c>
      <c r="I6">
        <v>587</v>
      </c>
      <c r="K6">
        <v>85</v>
      </c>
      <c r="L6">
        <v>27</v>
      </c>
      <c r="M6">
        <v>875</v>
      </c>
      <c r="N6">
        <v>1574</v>
      </c>
    </row>
    <row r="7" spans="1:14" x14ac:dyDescent="0.25">
      <c r="A7" s="395" t="s">
        <v>190</v>
      </c>
      <c r="B7">
        <v>438</v>
      </c>
      <c r="C7">
        <v>12</v>
      </c>
      <c r="D7">
        <v>14</v>
      </c>
      <c r="E7">
        <v>24</v>
      </c>
      <c r="F7">
        <v>18</v>
      </c>
      <c r="G7">
        <v>39</v>
      </c>
      <c r="H7">
        <v>47</v>
      </c>
      <c r="I7">
        <v>592</v>
      </c>
      <c r="K7">
        <v>65</v>
      </c>
      <c r="L7">
        <v>42</v>
      </c>
      <c r="M7">
        <v>811</v>
      </c>
      <c r="N7">
        <v>1510</v>
      </c>
    </row>
    <row r="8" spans="1:14" x14ac:dyDescent="0.25">
      <c r="A8" s="395" t="s">
        <v>257</v>
      </c>
      <c r="B8">
        <v>418</v>
      </c>
      <c r="C8">
        <v>26</v>
      </c>
      <c r="D8">
        <v>43</v>
      </c>
      <c r="E8">
        <v>26</v>
      </c>
      <c r="F8">
        <v>17</v>
      </c>
      <c r="G8">
        <v>34</v>
      </c>
      <c r="H8">
        <v>68</v>
      </c>
      <c r="I8">
        <v>632</v>
      </c>
      <c r="K8">
        <v>65</v>
      </c>
      <c r="L8">
        <v>62</v>
      </c>
      <c r="M8">
        <v>788</v>
      </c>
      <c r="N8">
        <v>1547</v>
      </c>
    </row>
    <row r="9" spans="1:14" x14ac:dyDescent="0.25">
      <c r="A9" s="395" t="s">
        <v>240</v>
      </c>
      <c r="B9">
        <v>417</v>
      </c>
      <c r="C9">
        <v>25</v>
      </c>
      <c r="D9">
        <v>43</v>
      </c>
      <c r="E9">
        <v>27</v>
      </c>
      <c r="F9">
        <v>20</v>
      </c>
      <c r="G9">
        <v>41</v>
      </c>
      <c r="H9">
        <v>59</v>
      </c>
      <c r="I9">
        <v>632</v>
      </c>
      <c r="J9">
        <v>95</v>
      </c>
      <c r="K9">
        <v>74</v>
      </c>
      <c r="L9">
        <v>64</v>
      </c>
      <c r="M9">
        <v>641</v>
      </c>
      <c r="N9">
        <v>1506</v>
      </c>
    </row>
    <row r="10" spans="1:14" x14ac:dyDescent="0.25">
      <c r="A10" s="395" t="s">
        <v>239</v>
      </c>
      <c r="B10">
        <v>431</v>
      </c>
      <c r="C10">
        <v>28</v>
      </c>
      <c r="D10">
        <v>42</v>
      </c>
      <c r="E10">
        <v>39</v>
      </c>
      <c r="F10">
        <v>25</v>
      </c>
      <c r="G10">
        <v>39</v>
      </c>
      <c r="H10">
        <v>62</v>
      </c>
      <c r="I10">
        <v>666</v>
      </c>
      <c r="J10">
        <v>198</v>
      </c>
      <c r="K10">
        <v>90</v>
      </c>
      <c r="L10">
        <v>65</v>
      </c>
      <c r="M10">
        <v>532</v>
      </c>
      <c r="N10">
        <v>1551</v>
      </c>
    </row>
    <row r="11" spans="1:14" x14ac:dyDescent="0.25">
      <c r="A11" s="395" t="s">
        <v>760</v>
      </c>
      <c r="B11">
        <v>421</v>
      </c>
      <c r="C11">
        <v>26</v>
      </c>
      <c r="D11">
        <v>39</v>
      </c>
      <c r="E11">
        <v>41</v>
      </c>
      <c r="F11">
        <v>29</v>
      </c>
      <c r="G11">
        <v>36</v>
      </c>
      <c r="H11">
        <v>63</v>
      </c>
      <c r="I11">
        <v>655</v>
      </c>
      <c r="J11">
        <v>285</v>
      </c>
      <c r="K11">
        <v>86</v>
      </c>
      <c r="L11">
        <v>71</v>
      </c>
      <c r="M11">
        <v>470</v>
      </c>
      <c r="N11">
        <v>1567</v>
      </c>
    </row>
    <row r="12" spans="1:14" x14ac:dyDescent="0.25">
      <c r="A12" s="395" t="s">
        <v>917</v>
      </c>
      <c r="B12">
        <v>445</v>
      </c>
      <c r="C12">
        <v>25</v>
      </c>
      <c r="D12">
        <v>38</v>
      </c>
      <c r="E12">
        <v>24</v>
      </c>
      <c r="F12">
        <v>28</v>
      </c>
      <c r="G12">
        <v>30</v>
      </c>
      <c r="H12">
        <v>60</v>
      </c>
      <c r="I12">
        <v>650</v>
      </c>
      <c r="J12">
        <v>335</v>
      </c>
      <c r="K12">
        <v>94</v>
      </c>
      <c r="L12">
        <v>61</v>
      </c>
      <c r="M12">
        <v>491</v>
      </c>
      <c r="N12">
        <v>1631</v>
      </c>
    </row>
    <row r="13" spans="1:14" x14ac:dyDescent="0.25">
      <c r="A13" s="395" t="s">
        <v>1010</v>
      </c>
      <c r="B13">
        <v>427</v>
      </c>
      <c r="C13">
        <v>25</v>
      </c>
      <c r="D13">
        <v>23</v>
      </c>
      <c r="E13">
        <v>25</v>
      </c>
      <c r="F13">
        <v>28</v>
      </c>
      <c r="G13">
        <v>30</v>
      </c>
      <c r="H13">
        <v>77</v>
      </c>
      <c r="I13">
        <v>635</v>
      </c>
      <c r="J13">
        <v>313</v>
      </c>
      <c r="K13">
        <v>109</v>
      </c>
      <c r="L13">
        <v>60</v>
      </c>
      <c r="M13">
        <v>560</v>
      </c>
      <c r="N13">
        <v>1677</v>
      </c>
    </row>
    <row r="14" spans="1:14" x14ac:dyDescent="0.25">
      <c r="A14" s="395" t="s">
        <v>1061</v>
      </c>
      <c r="B14">
        <v>429</v>
      </c>
      <c r="C14">
        <v>25</v>
      </c>
      <c r="D14">
        <v>23</v>
      </c>
      <c r="E14">
        <v>24</v>
      </c>
      <c r="F14">
        <v>28</v>
      </c>
      <c r="G14">
        <v>31</v>
      </c>
      <c r="H14">
        <v>77</v>
      </c>
      <c r="I14">
        <v>637</v>
      </c>
      <c r="J14">
        <v>319</v>
      </c>
      <c r="K14">
        <v>90</v>
      </c>
      <c r="L14">
        <v>55</v>
      </c>
      <c r="M14">
        <v>527</v>
      </c>
      <c r="N14">
        <v>1628</v>
      </c>
    </row>
    <row r="15" spans="1:14" x14ac:dyDescent="0.25">
      <c r="A15" s="395" t="s">
        <v>1108</v>
      </c>
      <c r="B15">
        <v>424</v>
      </c>
      <c r="C15">
        <v>16</v>
      </c>
      <c r="D15">
        <v>21</v>
      </c>
      <c r="E15">
        <v>24</v>
      </c>
      <c r="F15">
        <v>28</v>
      </c>
      <c r="G15">
        <v>35</v>
      </c>
      <c r="H15">
        <v>73</v>
      </c>
      <c r="I15">
        <v>621</v>
      </c>
      <c r="J15">
        <v>327</v>
      </c>
      <c r="K15">
        <v>85</v>
      </c>
      <c r="L15">
        <v>61</v>
      </c>
      <c r="M15">
        <v>491</v>
      </c>
      <c r="N15">
        <v>1585</v>
      </c>
    </row>
    <row r="16" spans="1:14" x14ac:dyDescent="0.25">
      <c r="A16" s="395" t="s">
        <v>236</v>
      </c>
      <c r="B16">
        <v>5216</v>
      </c>
      <c r="C16">
        <v>281</v>
      </c>
      <c r="D16">
        <v>367</v>
      </c>
      <c r="E16">
        <v>301</v>
      </c>
      <c r="F16">
        <v>271</v>
      </c>
      <c r="G16">
        <v>410</v>
      </c>
      <c r="H16">
        <v>658</v>
      </c>
      <c r="I16">
        <v>7504</v>
      </c>
      <c r="J16">
        <v>1872</v>
      </c>
      <c r="K16">
        <v>967</v>
      </c>
      <c r="L16">
        <v>630</v>
      </c>
      <c r="M16">
        <v>7619</v>
      </c>
      <c r="N16">
        <v>18592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10"/>
  <sheetViews>
    <sheetView showGridLines="0" zoomScaleNormal="100" workbookViewId="0">
      <pane ySplit="5" topLeftCell="A6" activePane="bottomLeft" state="frozen"/>
      <selection pane="bottomLeft"/>
    </sheetView>
  </sheetViews>
  <sheetFormatPr defaultRowHeight="15" x14ac:dyDescent="0.25"/>
  <cols>
    <col min="1" max="1" width="34.7109375" customWidth="1"/>
    <col min="2" max="2" width="38.85546875" bestFit="1" customWidth="1"/>
    <col min="3" max="4" width="18.5703125" bestFit="1" customWidth="1"/>
    <col min="5" max="5" width="19.28515625" bestFit="1" customWidth="1"/>
    <col min="6" max="6" width="8.85546875" customWidth="1"/>
    <col min="7" max="7" width="15.5703125" bestFit="1" customWidth="1"/>
    <col min="8" max="8" width="11.42578125" customWidth="1"/>
  </cols>
  <sheetData>
    <row r="1" spans="1:8" ht="15.75" x14ac:dyDescent="0.25">
      <c r="A1" s="429" t="s">
        <v>495</v>
      </c>
    </row>
    <row r="3" spans="1:8" x14ac:dyDescent="0.25">
      <c r="A3" t="s">
        <v>496</v>
      </c>
    </row>
    <row r="5" spans="1:8" s="317" customFormat="1" x14ac:dyDescent="0.25">
      <c r="A5" s="317" t="s">
        <v>497</v>
      </c>
      <c r="E5" s="317" t="s">
        <v>499</v>
      </c>
      <c r="F5" s="317" t="s">
        <v>630</v>
      </c>
      <c r="G5" s="317" t="s">
        <v>242</v>
      </c>
      <c r="H5" s="606"/>
    </row>
    <row r="6" spans="1:8" x14ac:dyDescent="0.25">
      <c r="A6" s="317" t="s">
        <v>452</v>
      </c>
      <c r="E6" t="s">
        <v>628</v>
      </c>
      <c r="F6" s="507" t="s">
        <v>631</v>
      </c>
      <c r="G6" t="s">
        <v>633</v>
      </c>
    </row>
    <row r="7" spans="1:8" x14ac:dyDescent="0.25">
      <c r="A7" s="317" t="s">
        <v>826</v>
      </c>
      <c r="B7" t="s">
        <v>598</v>
      </c>
      <c r="E7" t="s">
        <v>510</v>
      </c>
      <c r="F7" s="507" t="s">
        <v>631</v>
      </c>
      <c r="G7" t="s">
        <v>634</v>
      </c>
    </row>
    <row r="8" spans="1:8" x14ac:dyDescent="0.25">
      <c r="B8" t="s">
        <v>598</v>
      </c>
      <c r="C8" t="s">
        <v>116</v>
      </c>
      <c r="E8" t="s">
        <v>510</v>
      </c>
      <c r="F8" s="507" t="s">
        <v>631</v>
      </c>
      <c r="G8" t="s">
        <v>635</v>
      </c>
    </row>
    <row r="9" spans="1:8" x14ac:dyDescent="0.25">
      <c r="B9" t="s">
        <v>599</v>
      </c>
      <c r="E9" t="s">
        <v>510</v>
      </c>
      <c r="F9" s="507" t="s">
        <v>631</v>
      </c>
      <c r="G9" t="s">
        <v>636</v>
      </c>
    </row>
    <row r="10" spans="1:8" x14ac:dyDescent="0.25">
      <c r="B10" t="s">
        <v>599</v>
      </c>
      <c r="C10" t="s">
        <v>116</v>
      </c>
      <c r="E10" t="s">
        <v>510</v>
      </c>
      <c r="F10" s="507" t="s">
        <v>631</v>
      </c>
      <c r="G10" t="s">
        <v>637</v>
      </c>
    </row>
    <row r="11" spans="1:8" x14ac:dyDescent="0.25">
      <c r="B11" t="s">
        <v>765</v>
      </c>
      <c r="E11" t="s">
        <v>510</v>
      </c>
      <c r="F11" s="601" t="s">
        <v>631</v>
      </c>
      <c r="G11" t="s">
        <v>824</v>
      </c>
    </row>
    <row r="12" spans="1:8" x14ac:dyDescent="0.25">
      <c r="B12" t="s">
        <v>764</v>
      </c>
      <c r="E12" t="s">
        <v>510</v>
      </c>
      <c r="F12" s="601" t="s">
        <v>631</v>
      </c>
      <c r="G12" t="s">
        <v>825</v>
      </c>
    </row>
    <row r="13" spans="1:8" x14ac:dyDescent="0.25">
      <c r="A13" s="317" t="s">
        <v>600</v>
      </c>
      <c r="B13" t="s">
        <v>601</v>
      </c>
      <c r="E13" t="s">
        <v>510</v>
      </c>
      <c r="F13" s="507" t="s">
        <v>631</v>
      </c>
      <c r="G13" t="s">
        <v>638</v>
      </c>
    </row>
    <row r="14" spans="1:8" x14ac:dyDescent="0.25">
      <c r="B14" t="s">
        <v>601</v>
      </c>
      <c r="C14" t="s">
        <v>116</v>
      </c>
      <c r="E14" t="s">
        <v>510</v>
      </c>
      <c r="F14" s="507" t="s">
        <v>631</v>
      </c>
      <c r="G14" t="s">
        <v>643</v>
      </c>
    </row>
    <row r="15" spans="1:8" x14ac:dyDescent="0.25">
      <c r="B15" t="s">
        <v>599</v>
      </c>
      <c r="E15" t="s">
        <v>602</v>
      </c>
      <c r="F15" s="507" t="s">
        <v>631</v>
      </c>
      <c r="G15" t="s">
        <v>639</v>
      </c>
    </row>
    <row r="16" spans="1:8" x14ac:dyDescent="0.25">
      <c r="A16" s="317" t="s">
        <v>603</v>
      </c>
      <c r="B16" t="s">
        <v>604</v>
      </c>
      <c r="E16" t="s">
        <v>510</v>
      </c>
      <c r="F16" s="507" t="s">
        <v>631</v>
      </c>
      <c r="G16" t="s">
        <v>641</v>
      </c>
    </row>
    <row r="17" spans="1:7" x14ac:dyDescent="0.25">
      <c r="B17" t="s">
        <v>604</v>
      </c>
      <c r="C17" t="s">
        <v>116</v>
      </c>
      <c r="E17" t="s">
        <v>510</v>
      </c>
      <c r="F17" s="507" t="s">
        <v>631</v>
      </c>
      <c r="G17" t="s">
        <v>640</v>
      </c>
    </row>
    <row r="18" spans="1:7" x14ac:dyDescent="0.25">
      <c r="A18" s="317" t="s">
        <v>512</v>
      </c>
      <c r="B18" t="s">
        <v>463</v>
      </c>
      <c r="E18" t="s">
        <v>84</v>
      </c>
      <c r="F18" s="507" t="s">
        <v>631</v>
      </c>
      <c r="G18" t="s">
        <v>644</v>
      </c>
    </row>
    <row r="19" spans="1:7" x14ac:dyDescent="0.25">
      <c r="B19" t="s">
        <v>463</v>
      </c>
      <c r="E19" t="s">
        <v>498</v>
      </c>
      <c r="F19" s="507" t="s">
        <v>631</v>
      </c>
      <c r="G19" t="s">
        <v>645</v>
      </c>
    </row>
    <row r="20" spans="1:7" x14ac:dyDescent="0.25">
      <c r="B20" t="s">
        <v>514</v>
      </c>
      <c r="C20" t="s">
        <v>766</v>
      </c>
      <c r="E20" t="s">
        <v>84</v>
      </c>
      <c r="F20" s="507" t="s">
        <v>631</v>
      </c>
      <c r="G20" t="s">
        <v>867</v>
      </c>
    </row>
    <row r="21" spans="1:7" x14ac:dyDescent="0.25">
      <c r="B21" t="s">
        <v>514</v>
      </c>
      <c r="C21" t="s">
        <v>766</v>
      </c>
      <c r="D21" t="s">
        <v>502</v>
      </c>
      <c r="E21" t="s">
        <v>84</v>
      </c>
      <c r="F21" s="507" t="s">
        <v>631</v>
      </c>
      <c r="G21" t="s">
        <v>868</v>
      </c>
    </row>
    <row r="22" spans="1:7" x14ac:dyDescent="0.25">
      <c r="B22" t="s">
        <v>463</v>
      </c>
      <c r="C22" t="s">
        <v>438</v>
      </c>
      <c r="E22" t="s">
        <v>84</v>
      </c>
      <c r="F22" s="507" t="s">
        <v>631</v>
      </c>
      <c r="G22" t="s">
        <v>647</v>
      </c>
    </row>
    <row r="23" spans="1:7" x14ac:dyDescent="0.25">
      <c r="B23" t="s">
        <v>463</v>
      </c>
      <c r="C23" t="s">
        <v>438</v>
      </c>
      <c r="E23" t="s">
        <v>498</v>
      </c>
      <c r="F23" s="507" t="s">
        <v>631</v>
      </c>
      <c r="G23" t="s">
        <v>646</v>
      </c>
    </row>
    <row r="24" spans="1:7" x14ac:dyDescent="0.25">
      <c r="B24" t="s">
        <v>463</v>
      </c>
      <c r="C24" t="s">
        <v>632</v>
      </c>
      <c r="E24" t="s">
        <v>84</v>
      </c>
      <c r="F24" s="507" t="s">
        <v>631</v>
      </c>
      <c r="G24" t="s">
        <v>648</v>
      </c>
    </row>
    <row r="25" spans="1:7" x14ac:dyDescent="0.25">
      <c r="B25" t="s">
        <v>463</v>
      </c>
      <c r="C25" t="s">
        <v>502</v>
      </c>
      <c r="E25" t="s">
        <v>84</v>
      </c>
      <c r="F25" s="507" t="s">
        <v>631</v>
      </c>
      <c r="G25" t="s">
        <v>649</v>
      </c>
    </row>
    <row r="26" spans="1:7" x14ac:dyDescent="0.25">
      <c r="B26" t="s">
        <v>463</v>
      </c>
      <c r="C26" t="s">
        <v>503</v>
      </c>
      <c r="E26" t="s">
        <v>84</v>
      </c>
      <c r="F26" s="507" t="s">
        <v>631</v>
      </c>
      <c r="G26" t="s">
        <v>650</v>
      </c>
    </row>
    <row r="27" spans="1:7" x14ac:dyDescent="0.25">
      <c r="B27" t="s">
        <v>514</v>
      </c>
      <c r="C27" t="s">
        <v>503</v>
      </c>
      <c r="D27" t="s">
        <v>766</v>
      </c>
      <c r="E27" t="s">
        <v>84</v>
      </c>
      <c r="F27" s="507" t="s">
        <v>631</v>
      </c>
      <c r="G27" t="s">
        <v>869</v>
      </c>
    </row>
    <row r="28" spans="1:7" x14ac:dyDescent="0.25">
      <c r="B28" t="s">
        <v>514</v>
      </c>
      <c r="C28" t="s">
        <v>503</v>
      </c>
      <c r="D28" t="s">
        <v>632</v>
      </c>
      <c r="E28" t="s">
        <v>84</v>
      </c>
      <c r="F28" s="507" t="s">
        <v>631</v>
      </c>
      <c r="G28" t="s">
        <v>651</v>
      </c>
    </row>
    <row r="29" spans="1:7" x14ac:dyDescent="0.25">
      <c r="B29" t="s">
        <v>514</v>
      </c>
      <c r="C29" t="s">
        <v>503</v>
      </c>
      <c r="D29" t="s">
        <v>502</v>
      </c>
      <c r="E29" t="s">
        <v>84</v>
      </c>
      <c r="F29" s="507" t="s">
        <v>631</v>
      </c>
      <c r="G29" t="s">
        <v>652</v>
      </c>
    </row>
    <row r="30" spans="1:7" x14ac:dyDescent="0.25">
      <c r="B30" t="s">
        <v>515</v>
      </c>
      <c r="C30" t="s">
        <v>503</v>
      </c>
      <c r="D30" t="s">
        <v>502</v>
      </c>
      <c r="E30" t="s">
        <v>84</v>
      </c>
      <c r="F30" s="507" t="s">
        <v>631</v>
      </c>
      <c r="G30" t="s">
        <v>653</v>
      </c>
    </row>
    <row r="31" spans="1:7" x14ac:dyDescent="0.25">
      <c r="B31" t="s">
        <v>516</v>
      </c>
      <c r="C31" t="s">
        <v>503</v>
      </c>
      <c r="D31" t="s">
        <v>502</v>
      </c>
      <c r="E31" t="s">
        <v>84</v>
      </c>
      <c r="F31" s="507" t="s">
        <v>631</v>
      </c>
      <c r="G31" t="s">
        <v>671</v>
      </c>
    </row>
    <row r="32" spans="1:7" x14ac:dyDescent="0.25">
      <c r="B32" t="s">
        <v>517</v>
      </c>
      <c r="C32" t="s">
        <v>503</v>
      </c>
      <c r="D32" t="s">
        <v>502</v>
      </c>
      <c r="E32" t="s">
        <v>84</v>
      </c>
      <c r="F32" s="507" t="s">
        <v>631</v>
      </c>
      <c r="G32" t="s">
        <v>672</v>
      </c>
    </row>
    <row r="33" spans="2:7" x14ac:dyDescent="0.25">
      <c r="B33" t="s">
        <v>518</v>
      </c>
      <c r="C33" t="s">
        <v>503</v>
      </c>
      <c r="D33" t="s">
        <v>502</v>
      </c>
      <c r="E33" t="s">
        <v>84</v>
      </c>
      <c r="F33" s="507" t="s">
        <v>631</v>
      </c>
      <c r="G33" t="s">
        <v>673</v>
      </c>
    </row>
    <row r="34" spans="2:7" x14ac:dyDescent="0.25">
      <c r="B34" t="s">
        <v>514</v>
      </c>
      <c r="C34" t="s">
        <v>503</v>
      </c>
      <c r="D34" t="s">
        <v>502</v>
      </c>
      <c r="E34" t="s">
        <v>498</v>
      </c>
      <c r="F34" s="507" t="s">
        <v>631</v>
      </c>
      <c r="G34" t="s">
        <v>674</v>
      </c>
    </row>
    <row r="35" spans="2:7" x14ac:dyDescent="0.25">
      <c r="B35" t="s">
        <v>515</v>
      </c>
      <c r="C35" t="s">
        <v>503</v>
      </c>
      <c r="D35" t="s">
        <v>502</v>
      </c>
      <c r="E35" t="s">
        <v>498</v>
      </c>
      <c r="F35" s="507" t="s">
        <v>631</v>
      </c>
      <c r="G35" t="s">
        <v>675</v>
      </c>
    </row>
    <row r="36" spans="2:7" x14ac:dyDescent="0.25">
      <c r="B36" t="s">
        <v>516</v>
      </c>
      <c r="C36" t="s">
        <v>503</v>
      </c>
      <c r="D36" t="s">
        <v>502</v>
      </c>
      <c r="E36" t="s">
        <v>498</v>
      </c>
      <c r="F36" s="507" t="s">
        <v>631</v>
      </c>
      <c r="G36" t="s">
        <v>676</v>
      </c>
    </row>
    <row r="37" spans="2:7" x14ac:dyDescent="0.25">
      <c r="B37" t="s">
        <v>517</v>
      </c>
      <c r="C37" t="s">
        <v>503</v>
      </c>
      <c r="D37" t="s">
        <v>502</v>
      </c>
      <c r="E37" t="s">
        <v>498</v>
      </c>
      <c r="F37" s="507" t="s">
        <v>631</v>
      </c>
      <c r="G37" t="s">
        <v>677</v>
      </c>
    </row>
    <row r="38" spans="2:7" x14ac:dyDescent="0.25">
      <c r="B38" t="s">
        <v>463</v>
      </c>
      <c r="C38" t="s">
        <v>1258</v>
      </c>
      <c r="E38" t="s">
        <v>84</v>
      </c>
      <c r="F38" s="507" t="s">
        <v>631</v>
      </c>
      <c r="G38" t="s">
        <v>678</v>
      </c>
    </row>
    <row r="39" spans="2:7" x14ac:dyDescent="0.25">
      <c r="B39" t="s">
        <v>463</v>
      </c>
      <c r="C39" t="s">
        <v>1258</v>
      </c>
      <c r="E39" t="s">
        <v>84</v>
      </c>
      <c r="F39" s="507" t="s">
        <v>631</v>
      </c>
      <c r="G39" t="s">
        <v>679</v>
      </c>
    </row>
    <row r="40" spans="2:7" x14ac:dyDescent="0.25">
      <c r="B40" t="s">
        <v>463</v>
      </c>
      <c r="C40" t="s">
        <v>1258</v>
      </c>
      <c r="D40" t="s">
        <v>503</v>
      </c>
      <c r="E40" t="s">
        <v>84</v>
      </c>
      <c r="F40" s="507" t="s">
        <v>631</v>
      </c>
      <c r="G40" t="s">
        <v>680</v>
      </c>
    </row>
    <row r="41" spans="2:7" x14ac:dyDescent="0.25">
      <c r="B41" t="s">
        <v>463</v>
      </c>
      <c r="C41" t="s">
        <v>1258</v>
      </c>
      <c r="D41" t="s">
        <v>503</v>
      </c>
      <c r="E41" t="s">
        <v>498</v>
      </c>
      <c r="F41" s="507" t="s">
        <v>631</v>
      </c>
      <c r="G41" t="s">
        <v>681</v>
      </c>
    </row>
    <row r="42" spans="2:7" x14ac:dyDescent="0.25">
      <c r="B42" t="s">
        <v>463</v>
      </c>
      <c r="C42" t="s">
        <v>198</v>
      </c>
      <c r="E42" t="s">
        <v>84</v>
      </c>
      <c r="F42" s="507" t="s">
        <v>631</v>
      </c>
      <c r="G42" t="s">
        <v>682</v>
      </c>
    </row>
    <row r="43" spans="2:7" x14ac:dyDescent="0.25">
      <c r="B43" t="s">
        <v>463</v>
      </c>
      <c r="C43" t="s">
        <v>198</v>
      </c>
      <c r="E43" t="s">
        <v>7</v>
      </c>
      <c r="F43" s="507" t="s">
        <v>631</v>
      </c>
      <c r="G43" t="s">
        <v>683</v>
      </c>
    </row>
    <row r="44" spans="2:7" x14ac:dyDescent="0.25">
      <c r="B44" t="s">
        <v>463</v>
      </c>
      <c r="C44" t="s">
        <v>505</v>
      </c>
      <c r="E44" t="s">
        <v>84</v>
      </c>
      <c r="F44" s="507" t="s">
        <v>631</v>
      </c>
      <c r="G44" t="s">
        <v>684</v>
      </c>
    </row>
    <row r="45" spans="2:7" x14ac:dyDescent="0.25">
      <c r="B45" t="s">
        <v>463</v>
      </c>
      <c r="C45" t="s">
        <v>505</v>
      </c>
      <c r="E45" t="s">
        <v>7</v>
      </c>
      <c r="F45" s="507" t="s">
        <v>631</v>
      </c>
      <c r="G45" t="s">
        <v>685</v>
      </c>
    </row>
    <row r="46" spans="2:7" x14ac:dyDescent="0.25">
      <c r="B46" t="s">
        <v>463</v>
      </c>
      <c r="C46" t="s">
        <v>487</v>
      </c>
      <c r="E46" t="s">
        <v>7</v>
      </c>
      <c r="F46" s="507" t="s">
        <v>631</v>
      </c>
      <c r="G46" t="s">
        <v>686</v>
      </c>
    </row>
    <row r="47" spans="2:7" x14ac:dyDescent="0.25">
      <c r="B47" t="s">
        <v>463</v>
      </c>
      <c r="C47" t="s">
        <v>508</v>
      </c>
      <c r="E47" t="s">
        <v>7</v>
      </c>
      <c r="F47" s="507" t="s">
        <v>631</v>
      </c>
      <c r="G47" t="s">
        <v>687</v>
      </c>
    </row>
    <row r="48" spans="2:7" x14ac:dyDescent="0.25">
      <c r="B48" t="s">
        <v>463</v>
      </c>
      <c r="C48" t="s">
        <v>642</v>
      </c>
      <c r="E48" t="s">
        <v>7</v>
      </c>
      <c r="F48" s="507" t="s">
        <v>631</v>
      </c>
      <c r="G48" t="s">
        <v>688</v>
      </c>
    </row>
    <row r="49" spans="1:8" x14ac:dyDescent="0.25">
      <c r="B49" t="s">
        <v>509</v>
      </c>
      <c r="C49" t="s">
        <v>198</v>
      </c>
      <c r="E49" t="s">
        <v>510</v>
      </c>
      <c r="F49" s="507" t="s">
        <v>631</v>
      </c>
      <c r="G49" t="s">
        <v>689</v>
      </c>
    </row>
    <row r="50" spans="1:8" x14ac:dyDescent="0.25">
      <c r="B50" t="s">
        <v>509</v>
      </c>
      <c r="C50" t="s">
        <v>1258</v>
      </c>
      <c r="E50" t="s">
        <v>510</v>
      </c>
      <c r="F50" s="507" t="s">
        <v>631</v>
      </c>
      <c r="G50" t="s">
        <v>690</v>
      </c>
    </row>
    <row r="51" spans="1:8" x14ac:dyDescent="0.25">
      <c r="B51" t="s">
        <v>509</v>
      </c>
      <c r="C51" t="s">
        <v>487</v>
      </c>
      <c r="E51" t="s">
        <v>510</v>
      </c>
      <c r="F51" s="507" t="s">
        <v>631</v>
      </c>
      <c r="G51" t="s">
        <v>691</v>
      </c>
    </row>
    <row r="52" spans="1:8" x14ac:dyDescent="0.25">
      <c r="B52" t="s">
        <v>509</v>
      </c>
      <c r="C52" t="s">
        <v>508</v>
      </c>
      <c r="E52" t="s">
        <v>510</v>
      </c>
      <c r="F52" s="507" t="s">
        <v>631</v>
      </c>
      <c r="G52" t="s">
        <v>692</v>
      </c>
    </row>
    <row r="53" spans="1:8" x14ac:dyDescent="0.25">
      <c r="B53" t="s">
        <v>507</v>
      </c>
      <c r="C53" t="s">
        <v>486</v>
      </c>
      <c r="E53" t="s">
        <v>510</v>
      </c>
      <c r="F53" s="507" t="s">
        <v>631</v>
      </c>
      <c r="G53" t="s">
        <v>693</v>
      </c>
    </row>
    <row r="54" spans="1:8" x14ac:dyDescent="0.25">
      <c r="A54" s="317" t="s">
        <v>513</v>
      </c>
      <c r="B54" t="s">
        <v>463</v>
      </c>
      <c r="E54" t="s">
        <v>84</v>
      </c>
      <c r="F54" s="507" t="s">
        <v>631</v>
      </c>
      <c r="G54" t="s">
        <v>654</v>
      </c>
    </row>
    <row r="55" spans="1:8" x14ac:dyDescent="0.25">
      <c r="B55" t="s">
        <v>463</v>
      </c>
      <c r="E55" t="s">
        <v>498</v>
      </c>
      <c r="F55" s="507" t="s">
        <v>631</v>
      </c>
      <c r="G55" t="s">
        <v>655</v>
      </c>
    </row>
    <row r="56" spans="1:8" x14ac:dyDescent="0.25">
      <c r="B56" t="s">
        <v>463</v>
      </c>
      <c r="C56" t="s">
        <v>1258</v>
      </c>
      <c r="E56" t="s">
        <v>84</v>
      </c>
      <c r="F56" s="507" t="s">
        <v>631</v>
      </c>
      <c r="G56" t="s">
        <v>656</v>
      </c>
    </row>
    <row r="57" spans="1:8" x14ac:dyDescent="0.25">
      <c r="B57" t="s">
        <v>463</v>
      </c>
      <c r="C57" t="s">
        <v>198</v>
      </c>
      <c r="E57" t="s">
        <v>84</v>
      </c>
      <c r="F57" s="507" t="s">
        <v>631</v>
      </c>
      <c r="G57" t="s">
        <v>657</v>
      </c>
      <c r="H57" s="571"/>
    </row>
    <row r="58" spans="1:8" x14ac:dyDescent="0.25">
      <c r="B58" t="s">
        <v>463</v>
      </c>
      <c r="C58" t="s">
        <v>505</v>
      </c>
      <c r="E58" t="s">
        <v>84</v>
      </c>
      <c r="F58" s="507" t="s">
        <v>631</v>
      </c>
      <c r="G58" t="s">
        <v>866</v>
      </c>
      <c r="H58" s="571"/>
    </row>
    <row r="59" spans="1:8" x14ac:dyDescent="0.25">
      <c r="A59" s="317" t="s">
        <v>605</v>
      </c>
      <c r="B59" t="s">
        <v>606</v>
      </c>
      <c r="E59" t="s">
        <v>510</v>
      </c>
      <c r="F59" s="507" t="s">
        <v>631</v>
      </c>
      <c r="G59" t="s">
        <v>658</v>
      </c>
    </row>
    <row r="60" spans="1:8" x14ac:dyDescent="0.25">
      <c r="B60" t="s">
        <v>607</v>
      </c>
      <c r="E60" t="s">
        <v>510</v>
      </c>
      <c r="F60" s="507" t="s">
        <v>631</v>
      </c>
      <c r="G60" t="s">
        <v>659</v>
      </c>
    </row>
    <row r="61" spans="1:8" x14ac:dyDescent="0.25">
      <c r="B61" t="s">
        <v>606</v>
      </c>
      <c r="C61" t="s">
        <v>116</v>
      </c>
      <c r="E61" t="s">
        <v>510</v>
      </c>
      <c r="F61" s="507" t="s">
        <v>631</v>
      </c>
      <c r="G61" t="s">
        <v>660</v>
      </c>
    </row>
    <row r="62" spans="1:8" x14ac:dyDescent="0.25">
      <c r="A62" s="317" t="s">
        <v>608</v>
      </c>
      <c r="B62" t="s">
        <v>121</v>
      </c>
      <c r="E62" t="s">
        <v>510</v>
      </c>
      <c r="F62" s="507" t="s">
        <v>631</v>
      </c>
      <c r="G62" t="s">
        <v>661</v>
      </c>
    </row>
    <row r="63" spans="1:8" x14ac:dyDescent="0.25">
      <c r="B63" t="s">
        <v>609</v>
      </c>
      <c r="E63" t="s">
        <v>510</v>
      </c>
      <c r="F63" s="507" t="s">
        <v>631</v>
      </c>
      <c r="G63" t="s">
        <v>662</v>
      </c>
      <c r="H63" s="571"/>
    </row>
    <row r="64" spans="1:8" x14ac:dyDescent="0.25">
      <c r="B64" t="s">
        <v>871</v>
      </c>
      <c r="C64" t="s">
        <v>116</v>
      </c>
      <c r="E64" t="s">
        <v>510</v>
      </c>
      <c r="F64" s="507" t="s">
        <v>631</v>
      </c>
      <c r="G64" t="s">
        <v>870</v>
      </c>
      <c r="H64" s="571"/>
    </row>
    <row r="65" spans="1:7" x14ac:dyDescent="0.25">
      <c r="A65" s="317" t="s">
        <v>610</v>
      </c>
      <c r="B65" t="s">
        <v>615</v>
      </c>
      <c r="E65" t="s">
        <v>510</v>
      </c>
      <c r="F65" s="507" t="s">
        <v>631</v>
      </c>
      <c r="G65" t="s">
        <v>694</v>
      </c>
    </row>
    <row r="66" spans="1:7" x14ac:dyDescent="0.25">
      <c r="B66" t="s">
        <v>615</v>
      </c>
      <c r="E66" t="s">
        <v>126</v>
      </c>
      <c r="F66" s="507" t="s">
        <v>631</v>
      </c>
      <c r="G66" t="s">
        <v>695</v>
      </c>
    </row>
    <row r="67" spans="1:7" x14ac:dyDescent="0.25">
      <c r="B67" t="s">
        <v>617</v>
      </c>
      <c r="E67" t="s">
        <v>663</v>
      </c>
      <c r="F67" s="507" t="s">
        <v>631</v>
      </c>
      <c r="G67" t="s">
        <v>696</v>
      </c>
    </row>
    <row r="68" spans="1:7" x14ac:dyDescent="0.25">
      <c r="B68" t="s">
        <v>616</v>
      </c>
      <c r="E68" t="s">
        <v>510</v>
      </c>
      <c r="F68" s="507" t="s">
        <v>631</v>
      </c>
      <c r="G68" t="s">
        <v>697</v>
      </c>
    </row>
    <row r="69" spans="1:7" x14ac:dyDescent="0.25">
      <c r="B69" t="s">
        <v>616</v>
      </c>
      <c r="C69" t="s">
        <v>435</v>
      </c>
      <c r="E69" t="s">
        <v>510</v>
      </c>
      <c r="F69" s="507" t="s">
        <v>631</v>
      </c>
      <c r="G69" t="s">
        <v>698</v>
      </c>
    </row>
    <row r="70" spans="1:7" x14ac:dyDescent="0.25">
      <c r="B70" t="s">
        <v>616</v>
      </c>
      <c r="E70" t="s">
        <v>7</v>
      </c>
      <c r="F70" s="507" t="s">
        <v>631</v>
      </c>
      <c r="G70" t="s">
        <v>699</v>
      </c>
    </row>
    <row r="71" spans="1:7" x14ac:dyDescent="0.25">
      <c r="B71" t="s">
        <v>616</v>
      </c>
      <c r="C71" t="s">
        <v>435</v>
      </c>
      <c r="E71" t="s">
        <v>7</v>
      </c>
      <c r="F71" s="507" t="s">
        <v>631</v>
      </c>
      <c r="G71" t="s">
        <v>700</v>
      </c>
    </row>
    <row r="72" spans="1:7" x14ac:dyDescent="0.25">
      <c r="B72" t="s">
        <v>611</v>
      </c>
      <c r="C72" t="s">
        <v>198</v>
      </c>
      <c r="E72" t="s">
        <v>510</v>
      </c>
      <c r="F72" s="507" t="s">
        <v>631</v>
      </c>
      <c r="G72" t="s">
        <v>701</v>
      </c>
    </row>
    <row r="73" spans="1:7" x14ac:dyDescent="0.25">
      <c r="B73" t="s">
        <v>611</v>
      </c>
      <c r="C73" t="s">
        <v>198</v>
      </c>
      <c r="E73" t="s">
        <v>7</v>
      </c>
      <c r="F73" s="507" t="s">
        <v>631</v>
      </c>
      <c r="G73" t="s">
        <v>702</v>
      </c>
    </row>
    <row r="74" spans="1:7" x14ac:dyDescent="0.25">
      <c r="B74" t="s">
        <v>781</v>
      </c>
      <c r="E74" t="s">
        <v>510</v>
      </c>
      <c r="F74" s="601" t="s">
        <v>631</v>
      </c>
      <c r="G74" t="s">
        <v>891</v>
      </c>
    </row>
    <row r="75" spans="1:7" x14ac:dyDescent="0.25">
      <c r="B75" t="s">
        <v>618</v>
      </c>
      <c r="E75" t="s">
        <v>510</v>
      </c>
      <c r="F75" s="601" t="s">
        <v>631</v>
      </c>
      <c r="G75" t="s">
        <v>703</v>
      </c>
    </row>
    <row r="76" spans="1:7" x14ac:dyDescent="0.25">
      <c r="B76" t="s">
        <v>618</v>
      </c>
      <c r="E76" t="s">
        <v>7</v>
      </c>
      <c r="F76" s="601" t="s">
        <v>631</v>
      </c>
      <c r="G76" t="s">
        <v>704</v>
      </c>
    </row>
    <row r="77" spans="1:7" x14ac:dyDescent="0.25">
      <c r="B77" t="s">
        <v>618</v>
      </c>
      <c r="C77" t="s">
        <v>904</v>
      </c>
      <c r="E77" t="s">
        <v>510</v>
      </c>
      <c r="F77" s="601" t="s">
        <v>631</v>
      </c>
      <c r="G77" t="s">
        <v>905</v>
      </c>
    </row>
    <row r="78" spans="1:7" x14ac:dyDescent="0.25">
      <c r="B78" t="s">
        <v>618</v>
      </c>
      <c r="C78" t="s">
        <v>435</v>
      </c>
      <c r="E78" t="s">
        <v>126</v>
      </c>
      <c r="F78" s="601" t="s">
        <v>631</v>
      </c>
      <c r="G78" t="s">
        <v>906</v>
      </c>
    </row>
    <row r="79" spans="1:7" x14ac:dyDescent="0.25">
      <c r="B79" t="s">
        <v>618</v>
      </c>
      <c r="C79" t="s">
        <v>435</v>
      </c>
      <c r="E79" t="s">
        <v>7</v>
      </c>
      <c r="F79" s="601" t="s">
        <v>631</v>
      </c>
      <c r="G79" t="s">
        <v>907</v>
      </c>
    </row>
    <row r="80" spans="1:7" x14ac:dyDescent="0.25">
      <c r="B80" t="s">
        <v>618</v>
      </c>
      <c r="C80" t="s">
        <v>435</v>
      </c>
      <c r="D80" t="s">
        <v>809</v>
      </c>
      <c r="E80" t="s">
        <v>7</v>
      </c>
      <c r="F80" s="601" t="s">
        <v>631</v>
      </c>
      <c r="G80" t="s">
        <v>908</v>
      </c>
    </row>
    <row r="81" spans="1:7" x14ac:dyDescent="0.25">
      <c r="B81" t="s">
        <v>614</v>
      </c>
      <c r="E81" t="s">
        <v>510</v>
      </c>
      <c r="F81" s="601" t="s">
        <v>631</v>
      </c>
      <c r="G81" t="s">
        <v>705</v>
      </c>
    </row>
    <row r="82" spans="1:7" x14ac:dyDescent="0.25">
      <c r="B82" t="s">
        <v>614</v>
      </c>
      <c r="E82" t="s">
        <v>7</v>
      </c>
      <c r="F82" s="507" t="s">
        <v>631</v>
      </c>
      <c r="G82" t="s">
        <v>706</v>
      </c>
    </row>
    <row r="83" spans="1:7" x14ac:dyDescent="0.25">
      <c r="B83" t="s">
        <v>615</v>
      </c>
      <c r="C83" t="s">
        <v>116</v>
      </c>
      <c r="E83" t="s">
        <v>510</v>
      </c>
      <c r="F83" s="507" t="s">
        <v>631</v>
      </c>
      <c r="G83" t="s">
        <v>707</v>
      </c>
    </row>
    <row r="84" spans="1:7" x14ac:dyDescent="0.25">
      <c r="B84" t="s">
        <v>615</v>
      </c>
      <c r="C84" t="s">
        <v>116</v>
      </c>
      <c r="E84" t="s">
        <v>7</v>
      </c>
      <c r="F84" s="507" t="s">
        <v>631</v>
      </c>
      <c r="G84" t="s">
        <v>708</v>
      </c>
    </row>
    <row r="85" spans="1:7" x14ac:dyDescent="0.25">
      <c r="B85" t="s">
        <v>613</v>
      </c>
      <c r="C85" t="s">
        <v>116</v>
      </c>
      <c r="E85" t="s">
        <v>663</v>
      </c>
      <c r="F85" s="507" t="s">
        <v>631</v>
      </c>
      <c r="G85" t="s">
        <v>709</v>
      </c>
    </row>
    <row r="86" spans="1:7" x14ac:dyDescent="0.25">
      <c r="A86" s="317" t="s">
        <v>612</v>
      </c>
      <c r="B86" t="s">
        <v>613</v>
      </c>
      <c r="E86" t="s">
        <v>510</v>
      </c>
      <c r="F86" s="507" t="s">
        <v>631</v>
      </c>
      <c r="G86" t="s">
        <v>664</v>
      </c>
    </row>
    <row r="87" spans="1:7" x14ac:dyDescent="0.25">
      <c r="B87" t="s">
        <v>435</v>
      </c>
      <c r="E87" t="s">
        <v>510</v>
      </c>
      <c r="F87" s="507" t="s">
        <v>631</v>
      </c>
      <c r="G87" t="s">
        <v>665</v>
      </c>
    </row>
    <row r="88" spans="1:7" x14ac:dyDescent="0.25">
      <c r="B88" t="s">
        <v>611</v>
      </c>
      <c r="E88" t="s">
        <v>7</v>
      </c>
      <c r="F88" s="507" t="s">
        <v>631</v>
      </c>
      <c r="G88" t="s">
        <v>667</v>
      </c>
    </row>
    <row r="89" spans="1:7" x14ac:dyDescent="0.25">
      <c r="B89" t="s">
        <v>618</v>
      </c>
      <c r="E89" t="s">
        <v>7</v>
      </c>
      <c r="F89" s="507" t="s">
        <v>631</v>
      </c>
      <c r="G89" t="s">
        <v>899</v>
      </c>
    </row>
    <row r="90" spans="1:7" x14ac:dyDescent="0.25">
      <c r="B90" t="s">
        <v>618</v>
      </c>
      <c r="C90" t="s">
        <v>904</v>
      </c>
      <c r="E90" t="s">
        <v>7</v>
      </c>
      <c r="F90" s="507" t="s">
        <v>631</v>
      </c>
      <c r="G90" t="s">
        <v>902</v>
      </c>
    </row>
    <row r="91" spans="1:7" x14ac:dyDescent="0.25">
      <c r="B91" t="s">
        <v>618</v>
      </c>
      <c r="C91" t="s">
        <v>904</v>
      </c>
      <c r="E91" t="s">
        <v>126</v>
      </c>
      <c r="F91" s="507" t="s">
        <v>631</v>
      </c>
      <c r="G91" t="s">
        <v>901</v>
      </c>
    </row>
    <row r="92" spans="1:7" x14ac:dyDescent="0.25">
      <c r="B92" t="s">
        <v>618</v>
      </c>
      <c r="C92" t="s">
        <v>904</v>
      </c>
      <c r="D92" t="s">
        <v>809</v>
      </c>
      <c r="E92" t="s">
        <v>7</v>
      </c>
      <c r="F92" s="507" t="s">
        <v>631</v>
      </c>
      <c r="G92" t="s">
        <v>903</v>
      </c>
    </row>
    <row r="93" spans="1:7" x14ac:dyDescent="0.25">
      <c r="B93" t="s">
        <v>618</v>
      </c>
      <c r="C93" t="s">
        <v>904</v>
      </c>
      <c r="D93" t="s">
        <v>809</v>
      </c>
      <c r="E93" t="s">
        <v>909</v>
      </c>
      <c r="F93" s="507" t="s">
        <v>631</v>
      </c>
      <c r="G93" t="s">
        <v>910</v>
      </c>
    </row>
    <row r="94" spans="1:7" x14ac:dyDescent="0.25">
      <c r="B94" t="s">
        <v>614</v>
      </c>
      <c r="E94" t="s">
        <v>7</v>
      </c>
      <c r="F94" s="507" t="s">
        <v>631</v>
      </c>
      <c r="G94" t="s">
        <v>666</v>
      </c>
    </row>
    <row r="95" spans="1:7" x14ac:dyDescent="0.25">
      <c r="B95" t="s">
        <v>116</v>
      </c>
      <c r="E95" t="s">
        <v>7</v>
      </c>
      <c r="F95" s="507" t="s">
        <v>631</v>
      </c>
      <c r="G95" t="s">
        <v>668</v>
      </c>
    </row>
    <row r="96" spans="1:7" x14ac:dyDescent="0.25">
      <c r="B96" t="s">
        <v>116</v>
      </c>
      <c r="E96" t="s">
        <v>602</v>
      </c>
      <c r="F96" s="507" t="s">
        <v>631</v>
      </c>
      <c r="G96" t="s">
        <v>911</v>
      </c>
    </row>
    <row r="97" spans="1:7" x14ac:dyDescent="0.25">
      <c r="B97" t="s">
        <v>116</v>
      </c>
      <c r="C97" t="s">
        <v>904</v>
      </c>
      <c r="E97" t="s">
        <v>602</v>
      </c>
      <c r="F97" s="507" t="s">
        <v>631</v>
      </c>
      <c r="G97" t="s">
        <v>912</v>
      </c>
    </row>
    <row r="98" spans="1:7" x14ac:dyDescent="0.25">
      <c r="B98" t="s">
        <v>116</v>
      </c>
      <c r="E98" t="s">
        <v>7</v>
      </c>
      <c r="F98" s="507" t="s">
        <v>631</v>
      </c>
      <c r="G98" t="s">
        <v>914</v>
      </c>
    </row>
    <row r="99" spans="1:7" x14ac:dyDescent="0.25">
      <c r="A99" s="317" t="s">
        <v>621</v>
      </c>
      <c r="B99" t="s">
        <v>622</v>
      </c>
      <c r="E99" t="s">
        <v>510</v>
      </c>
      <c r="F99" s="507" t="s">
        <v>631</v>
      </c>
      <c r="G99" t="s">
        <v>710</v>
      </c>
    </row>
    <row r="100" spans="1:7" x14ac:dyDescent="0.25">
      <c r="B100" t="s">
        <v>157</v>
      </c>
      <c r="C100" t="s">
        <v>624</v>
      </c>
      <c r="E100" t="s">
        <v>510</v>
      </c>
      <c r="F100" s="507" t="s">
        <v>631</v>
      </c>
      <c r="G100" t="s">
        <v>711</v>
      </c>
    </row>
    <row r="101" spans="1:7" x14ac:dyDescent="0.25">
      <c r="B101" t="s">
        <v>157</v>
      </c>
      <c r="C101" t="s">
        <v>624</v>
      </c>
      <c r="D101" t="s">
        <v>116</v>
      </c>
      <c r="E101" t="s">
        <v>510</v>
      </c>
      <c r="F101" s="507" t="s">
        <v>631</v>
      </c>
      <c r="G101" t="s">
        <v>712</v>
      </c>
    </row>
    <row r="102" spans="1:7" x14ac:dyDescent="0.25">
      <c r="B102" t="s">
        <v>625</v>
      </c>
      <c r="E102" t="s">
        <v>510</v>
      </c>
      <c r="F102" s="507" t="s">
        <v>631</v>
      </c>
      <c r="G102" t="s">
        <v>713</v>
      </c>
    </row>
    <row r="103" spans="1:7" x14ac:dyDescent="0.25">
      <c r="B103" t="s">
        <v>625</v>
      </c>
      <c r="C103" t="s">
        <v>624</v>
      </c>
      <c r="E103" t="s">
        <v>510</v>
      </c>
      <c r="F103" s="507" t="s">
        <v>631</v>
      </c>
      <c r="G103" t="s">
        <v>714</v>
      </c>
    </row>
    <row r="104" spans="1:7" x14ac:dyDescent="0.25">
      <c r="B104" t="s">
        <v>625</v>
      </c>
      <c r="C104" t="s">
        <v>624</v>
      </c>
      <c r="D104" t="s">
        <v>116</v>
      </c>
      <c r="E104" t="s">
        <v>510</v>
      </c>
      <c r="F104" s="507" t="s">
        <v>631</v>
      </c>
      <c r="G104" t="s">
        <v>715</v>
      </c>
    </row>
    <row r="105" spans="1:7" x14ac:dyDescent="0.25">
      <c r="B105" t="s">
        <v>626</v>
      </c>
      <c r="E105" t="s">
        <v>510</v>
      </c>
      <c r="F105" s="507" t="s">
        <v>631</v>
      </c>
      <c r="G105" t="s">
        <v>716</v>
      </c>
    </row>
    <row r="106" spans="1:7" x14ac:dyDescent="0.25">
      <c r="B106" t="s">
        <v>157</v>
      </c>
      <c r="C106" t="s">
        <v>623</v>
      </c>
      <c r="E106" t="s">
        <v>510</v>
      </c>
      <c r="F106" s="507" t="s">
        <v>631</v>
      </c>
      <c r="G106" t="s">
        <v>717</v>
      </c>
    </row>
    <row r="107" spans="1:7" x14ac:dyDescent="0.25">
      <c r="B107" t="s">
        <v>157</v>
      </c>
      <c r="C107" t="s">
        <v>623</v>
      </c>
      <c r="E107" t="s">
        <v>7</v>
      </c>
      <c r="F107" s="507" t="s">
        <v>631</v>
      </c>
      <c r="G107" t="s">
        <v>718</v>
      </c>
    </row>
    <row r="108" spans="1:7" x14ac:dyDescent="0.25">
      <c r="A108" s="317" t="s">
        <v>627</v>
      </c>
      <c r="B108" t="s">
        <v>622</v>
      </c>
      <c r="E108" t="s">
        <v>510</v>
      </c>
      <c r="F108" s="507" t="s">
        <v>631</v>
      </c>
      <c r="G108" t="s">
        <v>669</v>
      </c>
    </row>
    <row r="109" spans="1:7" x14ac:dyDescent="0.25">
      <c r="B109" t="s">
        <v>157</v>
      </c>
      <c r="C109" t="s">
        <v>623</v>
      </c>
      <c r="E109" t="s">
        <v>510</v>
      </c>
      <c r="F109" s="507" t="s">
        <v>631</v>
      </c>
      <c r="G109" t="s">
        <v>670</v>
      </c>
    </row>
    <row r="110" spans="1:7" x14ac:dyDescent="0.25">
      <c r="B110" t="s">
        <v>157</v>
      </c>
      <c r="C110" t="s">
        <v>876</v>
      </c>
      <c r="E110" t="s">
        <v>510</v>
      </c>
      <c r="F110" s="507" t="s">
        <v>631</v>
      </c>
      <c r="G110" t="s">
        <v>875</v>
      </c>
    </row>
  </sheetData>
  <sheetProtection algorithmName="SHA-512" hashValue="MFH8FZSyvPYSyv63rUdRzNjbG4LIBTf9908oc8XlR83zyaPFSoGa4H0VjoD35MkC4BO2qqjAuYuDCR75h6lRMQ==" saltValue="ngHAV75g49qRT0xlZN80DA==" spinCount="100000" sheet="1" scenarios="1" formatCells="0" sort="0" autoFilter="0" pivotTables="0"/>
  <hyperlinks>
    <hyperlink ref="F6" location="Structure!A4" display="link" xr:uid="{00000000-0004-0000-0100-000000000000}"/>
    <hyperlink ref="F7" location="'Crewing Model'!A4" display="link" xr:uid="{00000000-0004-0000-0100-000001000000}"/>
    <hyperlink ref="F8" location="'Crewing Model - Area'!A4" display="link" xr:uid="{00000000-0004-0000-0100-000002000000}"/>
    <hyperlink ref="F9" location="'Primary Crewing'!A4" display="link" xr:uid="{00000000-0004-0000-0100-000003000000}"/>
    <hyperlink ref="F10" location="'Primary Crewing - Area'!A4" display="link" xr:uid="{00000000-0004-0000-0100-000004000000}"/>
    <hyperlink ref="F13" location="'Chart - Station Type'!A4" display="link" xr:uid="{00000000-0004-0000-0100-000005000000}"/>
    <hyperlink ref="F14" location="'Chart - Area'!A4" display="link" xr:uid="{00000000-0004-0000-0100-000006000000}"/>
    <hyperlink ref="F15" location="'Chart - Map'!A4" display="link" xr:uid="{00000000-0004-0000-0100-000007000000}"/>
    <hyperlink ref="F16" location="Vehicles!A4" display="link" xr:uid="{00000000-0004-0000-0100-000008000000}"/>
    <hyperlink ref="F17" location="'Appliances LA'!A4" display="link" xr:uid="{00000000-0004-0000-0100-000009000000}"/>
    <hyperlink ref="F18" location="Staffing!A4" display="link" xr:uid="{00000000-0004-0000-0100-00000A000000}"/>
    <hyperlink ref="F19" location="Staffing!A36" display="link" xr:uid="{00000000-0004-0000-0100-00000B000000}"/>
    <hyperlink ref="F22" location="Department!A4" display="link" xr:uid="{00000000-0004-0000-0100-00000C000000}"/>
    <hyperlink ref="F23" location="Department!A117" display="link" xr:uid="{00000000-0004-0000-0100-00000D000000}"/>
    <hyperlink ref="F24" location="'Geographic Structure'!A4" display="link" xr:uid="{00000000-0004-0000-0100-00000E000000}"/>
    <hyperlink ref="F25" location="'Staff - Small Area'!A4" display="link" xr:uid="{00000000-0004-0000-0100-00000F000000}"/>
    <hyperlink ref="F26" location="Role!A4" display="link" xr:uid="{00000000-0004-0000-0100-000010000000}"/>
    <hyperlink ref="F28" location="'Role - Area'!A4" display="link" xr:uid="{00000000-0004-0000-0100-000011000000}"/>
    <hyperlink ref="F29" location="'WT Role - Area'!A4" display="link" xr:uid="{00000000-0004-0000-0100-000012000000}"/>
    <hyperlink ref="F30" location="'RDS Role - Area'!A4" display="link" xr:uid="{00000000-0004-0000-0100-000013000000}"/>
    <hyperlink ref="F31" location="'C&amp;S Role - Area'!A4" display="link" xr:uid="{00000000-0004-0000-0100-000014000000}"/>
    <hyperlink ref="F32" location="'C&amp;S Role - Area'!A19" display="link" xr:uid="{00000000-0004-0000-0100-000015000000}"/>
    <hyperlink ref="F33" location="'Vol Role - Area'!A4" display="link" xr:uid="{00000000-0004-0000-0100-000016000000}"/>
    <hyperlink ref="F34" location="'WT FTE Role - Area'!A4" display="link" xr:uid="{00000000-0004-0000-0100-000017000000}"/>
    <hyperlink ref="F35" location="'RDS FTE Role - Area'!A4" display="link" xr:uid="{00000000-0004-0000-0100-000018000000}"/>
    <hyperlink ref="F36" location="'C&amp;S FTE Role - Area'!A4" display="link" xr:uid="{00000000-0004-0000-0100-000019000000}"/>
    <hyperlink ref="F37" location="'C&amp;S FTE Role - Area'!A17" display="link" xr:uid="{00000000-0004-0000-0100-00001A000000}"/>
    <hyperlink ref="F38" location="'Sex Timeseries'!A4" display="link" xr:uid="{00000000-0004-0000-0100-00001B000000}"/>
    <hyperlink ref="F39" location="Sex!A4" display="link" xr:uid="{00000000-0004-0000-0100-00001C000000}"/>
    <hyperlink ref="F40" location="'Sex and Role'!A4" display="link" xr:uid="{00000000-0004-0000-0100-00001D000000}"/>
    <hyperlink ref="F41" location="'FTE Sex and Role'!A4" display="link" xr:uid="{00000000-0004-0000-0100-00001E000000}"/>
    <hyperlink ref="F42" location="Age!A4" display="link" xr:uid="{00000000-0004-0000-0100-00001F000000}"/>
    <hyperlink ref="F43" location="Age!A31" display="link" xr:uid="{00000000-0004-0000-0100-000020000000}"/>
    <hyperlink ref="F44" location="'Service Length'!A4" display="link" xr:uid="{00000000-0004-0000-0100-000021000000}"/>
    <hyperlink ref="F45" location="'Service Length'!A25" display="link" xr:uid="{00000000-0004-0000-0100-000022000000}"/>
    <hyperlink ref="F46" location="Ethnicity!A4" display="link" xr:uid="{00000000-0004-0000-0100-000023000000}"/>
    <hyperlink ref="F47" location="Disability!A4" display="link" xr:uid="{00000000-0004-0000-0100-000024000000}"/>
    <hyperlink ref="F48" location="Disability!A28" display="link" xr:uid="{00000000-0004-0000-0100-000025000000}"/>
    <hyperlink ref="F49" location="'Entrants - Demographics'!A4" display="link" xr:uid="{00000000-0004-0000-0100-000026000000}"/>
    <hyperlink ref="F50" location="'Entrants - Demographics'!A29" display="link" xr:uid="{00000000-0004-0000-0100-000027000000}"/>
    <hyperlink ref="F51" location="'Entrants - Demographics'!A44" display="link" xr:uid="{00000000-0004-0000-0100-000028000000}"/>
    <hyperlink ref="F52" location="'Entrants - Demographics'!A60" display="link" xr:uid="{00000000-0004-0000-0100-000029000000}"/>
    <hyperlink ref="F53" location="Leavers!A4" display="link" xr:uid="{00000000-0004-0000-0100-00002A000000}"/>
    <hyperlink ref="F54" location="'Chart Headcount'!A4" display="link" xr:uid="{00000000-0004-0000-0100-00002B000000}"/>
    <hyperlink ref="F55" location="'Chart FTE'!A4" display="link" xr:uid="{00000000-0004-0000-0100-00002C000000}"/>
    <hyperlink ref="F56" location="'Chart Sex'!A4" display="link" xr:uid="{00000000-0004-0000-0100-00002D000000}"/>
    <hyperlink ref="F57" location="'Chart Age'!A4" display="link" xr:uid="{00000000-0004-0000-0100-00002E000000}"/>
    <hyperlink ref="F59" location="Attacks!A4" display="link" xr:uid="{00000000-0004-0000-0100-00002F000000}"/>
    <hyperlink ref="F60" location="Attacks!A25" display="link" xr:uid="{00000000-0004-0000-0100-000030000000}"/>
    <hyperlink ref="F61" location="'Attacks - Area'!A4" display="link" xr:uid="{00000000-0004-0000-0100-000031000000}"/>
    <hyperlink ref="F62" location="'Chart - Attacks'!A4" display="link" xr:uid="{00000000-0004-0000-0100-000032000000}"/>
    <hyperlink ref="F63" location="'Chart - Injuries'!A4" display="link" xr:uid="{00000000-0004-0000-0100-000033000000}"/>
    <hyperlink ref="F65" location="HFSVs!A4" display="link" xr:uid="{00000000-0004-0000-0100-000034000000}"/>
    <hyperlink ref="F66" location="HFSVs!A39" display="link" xr:uid="{00000000-0004-0000-0100-000035000000}"/>
    <hyperlink ref="F67" location="HFSVs!A66" display="link" xr:uid="{00000000-0004-0000-0100-000036000000}"/>
    <hyperlink ref="F68" location="'Distinct Properties'!A4" display="link" xr:uid="{00000000-0004-0000-0100-000037000000}"/>
    <hyperlink ref="F69" location="'Distinct Properties'!A27" display="link" xr:uid="{00000000-0004-0000-0100-000038000000}"/>
    <hyperlink ref="F70" location="'Distinct Propert. Popul.'!A4" display="link" xr:uid="{00000000-0004-0000-0100-000039000000}"/>
    <hyperlink ref="F71" location="'Distinct Propert. Popul.'!A27" display="link" xr:uid="{00000000-0004-0000-0100-00003A000000}"/>
    <hyperlink ref="F72" location="Residents!A4" display="link" xr:uid="{00000000-0004-0000-0100-00003B000000}"/>
    <hyperlink ref="F73" location="Residents!A26" display="link" xr:uid="{00000000-0004-0000-0100-00003C000000}"/>
    <hyperlink ref="F75" location="'SIMD-Visits'!A4" display="link" xr:uid="{00000000-0004-0000-0100-00003D000000}"/>
    <hyperlink ref="F76" location="'SIMD-Visits'!A28" display="link" xr:uid="{00000000-0004-0000-0100-00003E000000}"/>
    <hyperlink ref="F81" location="Rurality!A4" display="link" xr:uid="{00000000-0004-0000-0100-00003F000000}"/>
    <hyperlink ref="F82" location="Rurality!A26" display="link" xr:uid="{00000000-0004-0000-0100-000040000000}"/>
    <hyperlink ref="F83" location="'HFSVs LA'!A4" display="link" xr:uid="{00000000-0004-0000-0100-000041000000}"/>
    <hyperlink ref="F84" location="'Outcome LA'!A4" display="link" xr:uid="{00000000-0004-0000-0100-000042000000}"/>
    <hyperlink ref="F85" location="'Rate LA'!A4" display="link" xr:uid="{00000000-0004-0000-0100-000043000000}"/>
    <hyperlink ref="F86" location="'Chart HFSVs'!A4" display="link" xr:uid="{00000000-0004-0000-0100-000044000000}"/>
    <hyperlink ref="F87" location="'Chart Alarms'!A4" display="link" xr:uid="{00000000-0004-0000-0100-000045000000}"/>
    <hyperlink ref="F88" location="'Chart Residents'!A4" display="link" xr:uid="{00000000-0004-0000-0100-000046000000}"/>
    <hyperlink ref="F94" location="'Chart Rurality'!A4" display="link" xr:uid="{00000000-0004-0000-0100-000047000000}"/>
    <hyperlink ref="F95" location="'Chart LA'!A4" display="link" xr:uid="{00000000-0004-0000-0100-000048000000}"/>
    <hyperlink ref="F99" location="Workflows!A4" display="link" xr:uid="{00000000-0004-0000-0100-000049000000}"/>
    <hyperlink ref="F100" location="Audits!A4" display="link" xr:uid="{00000000-0004-0000-0100-00004A000000}"/>
    <hyperlink ref="F101" location="'Audits LA'!A4" display="link" xr:uid="{00000000-0004-0000-0100-00004B000000}"/>
    <hyperlink ref="F102" location="'Audits Outcome'!A4" display="link" xr:uid="{00000000-0004-0000-0100-00004C000000}"/>
    <hyperlink ref="F103" location="'Audits Outcome'!A35" display="link" xr:uid="{00000000-0004-0000-0100-00004D000000}"/>
    <hyperlink ref="F104" location="'Audits Outcome LA'!A4" display="link" xr:uid="{00000000-0004-0000-0100-00004E000000}"/>
    <hyperlink ref="F105" location="Notices!A4" display="link" xr:uid="{00000000-0004-0000-0100-00004F000000}"/>
    <hyperlink ref="F106" location="Risk!A4" display="link" xr:uid="{00000000-0004-0000-0100-000050000000}"/>
    <hyperlink ref="F107" location="Risk!A30" display="link" xr:uid="{00000000-0004-0000-0100-000051000000}"/>
    <hyperlink ref="F108" location="'Chart Workflows'!A4" display="link" xr:uid="{00000000-0004-0000-0100-000052000000}"/>
    <hyperlink ref="F109" location="'Chart Audits'!A4" display="link" xr:uid="{00000000-0004-0000-0100-000053000000}"/>
    <hyperlink ref="F11" location="'Crewing Level'!A4" display="link" xr:uid="{00000000-0004-0000-0100-000054000000}"/>
    <hyperlink ref="F12" location="Capabilities!A4" display="link" xr:uid="{00000000-0004-0000-0100-000055000000}"/>
    <hyperlink ref="F58" location="'Chart Service Length'!A4" display="link" xr:uid="{00000000-0004-0000-0100-000056000000}"/>
    <hyperlink ref="F20" location="DutySystem!A4" display="link" xr:uid="{00000000-0004-0000-0100-000057000000}"/>
    <hyperlink ref="F21" location="'DutySytem LA'!A4" display="link" xr:uid="{00000000-0004-0000-0100-000058000000}"/>
    <hyperlink ref="F27" location="'Role DutySystem'!A4" display="link" xr:uid="{00000000-0004-0000-0100-000059000000}"/>
    <hyperlink ref="F64" location="'Chart - AttacksMap'!A4" display="link" xr:uid="{00000000-0004-0000-0100-00005A000000}"/>
    <hyperlink ref="F110" location="'Chart Audit Share'!A4" display="link" xr:uid="{00000000-0004-0000-0100-00005B000000}"/>
    <hyperlink ref="F74" location="Tenure!A4" display="link" xr:uid="{00000000-0004-0000-0100-00005C000000}"/>
    <hyperlink ref="F77" location="'SIMD-Alarms'!A4" display="link" xr:uid="{00000000-0004-0000-0100-00005D000000}"/>
    <hyperlink ref="F78" location="'SIMD-Alarms'!A29" display="link" xr:uid="{00000000-0004-0000-0100-00005E000000}"/>
    <hyperlink ref="F79" location="'SIMD-%Alarm'!A4" display="link" xr:uid="{00000000-0004-0000-0100-00005F000000}"/>
    <hyperlink ref="F80" location="'SIMD-%Alarm'!A28" display="link" xr:uid="{00000000-0004-0000-0100-000060000000}"/>
    <hyperlink ref="F89" location="'Chart SIMD'!A4" display="link" xr:uid="{00000000-0004-0000-0100-000061000000}"/>
    <hyperlink ref="F90" location="'Chart SIMD Alarms'!A4" display="link" xr:uid="{00000000-0004-0000-0100-000062000000}"/>
    <hyperlink ref="F91" location="'Chart SIMD AlarmRate'!A4" display="link" xr:uid="{00000000-0004-0000-0100-000063000000}"/>
    <hyperlink ref="F92" location="'Chart SIMD OwnerOcc'!A4" display="link" xr:uid="{00000000-0004-0000-0100-000064000000}"/>
    <hyperlink ref="F93" location="'Chart SIMD OwnerYears'!A4" display="link" xr:uid="{00000000-0004-0000-0100-000065000000}"/>
    <hyperlink ref="F96" location="'Chart Map'!A4" display="link" xr:uid="{00000000-0004-0000-0100-000066000000}"/>
    <hyperlink ref="F97" location="'Chart Alarms Map'!A4" display="link" xr:uid="{00000000-0004-0000-0100-000067000000}"/>
    <hyperlink ref="F98" location="'Chart %Install'!A4" display="link" xr:uid="{00000000-0004-0000-0100-000068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3"/>
  <sheetViews>
    <sheetView workbookViewId="0">
      <selection sqref="A1:N13"/>
    </sheetView>
  </sheetViews>
  <sheetFormatPr defaultRowHeight="15" x14ac:dyDescent="0.25"/>
  <cols>
    <col min="1" max="1" width="7.42578125" bestFit="1" customWidth="1"/>
    <col min="2" max="2" width="20.7109375" bestFit="1" customWidth="1"/>
    <col min="3" max="3" width="18.140625" bestFit="1" customWidth="1"/>
    <col min="4" max="4" width="21.85546875" bestFit="1" customWidth="1"/>
    <col min="5" max="5" width="11.5703125" bestFit="1" customWidth="1"/>
    <col min="6" max="6" width="25.140625" bestFit="1" customWidth="1"/>
    <col min="7" max="7" width="26.140625" bestFit="1" customWidth="1"/>
    <col min="8" max="8" width="8.140625" bestFit="1" customWidth="1"/>
    <col min="9" max="9" width="17.28515625" bestFit="1" customWidth="1"/>
    <col min="10" max="10" width="25.7109375" bestFit="1" customWidth="1"/>
    <col min="11" max="12" width="20" bestFit="1" customWidth="1"/>
    <col min="13" max="13" width="49.42578125" bestFit="1" customWidth="1"/>
    <col min="14" max="14" width="25.42578125" bestFit="1" customWidth="1"/>
  </cols>
  <sheetData>
    <row r="1" spans="1:14" x14ac:dyDescent="0.25">
      <c r="A1" t="s">
        <v>1</v>
      </c>
      <c r="B1" t="s">
        <v>118</v>
      </c>
      <c r="C1" t="s">
        <v>178</v>
      </c>
      <c r="D1" t="s">
        <v>585</v>
      </c>
      <c r="E1" t="s">
        <v>201</v>
      </c>
      <c r="F1" t="s">
        <v>186</v>
      </c>
      <c r="G1" t="s">
        <v>187</v>
      </c>
      <c r="H1" t="s">
        <v>188</v>
      </c>
      <c r="I1" t="s">
        <v>584</v>
      </c>
      <c r="J1" t="s">
        <v>202</v>
      </c>
      <c r="K1" t="s">
        <v>119</v>
      </c>
      <c r="L1" t="s">
        <v>120</v>
      </c>
      <c r="M1" t="s">
        <v>1000</v>
      </c>
      <c r="N1" t="s">
        <v>1001</v>
      </c>
    </row>
    <row r="2" spans="1:14" x14ac:dyDescent="0.25">
      <c r="A2" t="s">
        <v>193</v>
      </c>
      <c r="B2">
        <v>465</v>
      </c>
      <c r="C2">
        <v>28</v>
      </c>
      <c r="D2">
        <v>37</v>
      </c>
      <c r="E2">
        <v>22</v>
      </c>
      <c r="F2">
        <v>15</v>
      </c>
      <c r="G2">
        <v>30</v>
      </c>
      <c r="H2">
        <v>23</v>
      </c>
      <c r="I2">
        <v>620</v>
      </c>
      <c r="K2">
        <v>59</v>
      </c>
      <c r="L2">
        <v>31</v>
      </c>
      <c r="M2">
        <v>805</v>
      </c>
      <c r="N2">
        <v>1515</v>
      </c>
    </row>
    <row r="3" spans="1:14" x14ac:dyDescent="0.25">
      <c r="A3" t="s">
        <v>192</v>
      </c>
      <c r="B3">
        <v>452</v>
      </c>
      <c r="C3">
        <v>31</v>
      </c>
      <c r="D3">
        <v>21</v>
      </c>
      <c r="F3">
        <v>19</v>
      </c>
      <c r="G3">
        <v>29</v>
      </c>
      <c r="H3">
        <v>25</v>
      </c>
      <c r="I3">
        <v>577</v>
      </c>
      <c r="K3">
        <v>65</v>
      </c>
      <c r="L3">
        <v>31</v>
      </c>
      <c r="M3">
        <v>628</v>
      </c>
      <c r="N3">
        <v>1301</v>
      </c>
    </row>
    <row r="4" spans="1:14" x14ac:dyDescent="0.25">
      <c r="A4" t="s">
        <v>191</v>
      </c>
      <c r="B4">
        <v>449</v>
      </c>
      <c r="C4">
        <v>14</v>
      </c>
      <c r="D4">
        <v>23</v>
      </c>
      <c r="E4">
        <v>25</v>
      </c>
      <c r="F4">
        <v>16</v>
      </c>
      <c r="G4">
        <v>36</v>
      </c>
      <c r="H4">
        <v>24</v>
      </c>
      <c r="I4">
        <v>587</v>
      </c>
      <c r="K4">
        <v>85</v>
      </c>
      <c r="L4">
        <v>27</v>
      </c>
      <c r="M4">
        <v>875</v>
      </c>
      <c r="N4">
        <v>1574</v>
      </c>
    </row>
    <row r="5" spans="1:14" x14ac:dyDescent="0.25">
      <c r="A5" t="s">
        <v>190</v>
      </c>
      <c r="B5">
        <v>438</v>
      </c>
      <c r="C5">
        <v>12</v>
      </c>
      <c r="D5">
        <v>14</v>
      </c>
      <c r="E5">
        <v>24</v>
      </c>
      <c r="F5">
        <v>18</v>
      </c>
      <c r="G5">
        <v>39</v>
      </c>
      <c r="H5">
        <v>47</v>
      </c>
      <c r="I5">
        <v>592</v>
      </c>
      <c r="K5">
        <v>65</v>
      </c>
      <c r="L5">
        <v>42</v>
      </c>
      <c r="M5">
        <v>811</v>
      </c>
      <c r="N5">
        <v>1510</v>
      </c>
    </row>
    <row r="6" spans="1:14" x14ac:dyDescent="0.25">
      <c r="A6" t="s">
        <v>257</v>
      </c>
      <c r="B6">
        <v>418</v>
      </c>
      <c r="C6">
        <v>26</v>
      </c>
      <c r="D6">
        <v>43</v>
      </c>
      <c r="E6">
        <v>26</v>
      </c>
      <c r="F6">
        <v>17</v>
      </c>
      <c r="G6">
        <v>34</v>
      </c>
      <c r="H6">
        <v>68</v>
      </c>
      <c r="I6">
        <v>632</v>
      </c>
      <c r="K6">
        <v>65</v>
      </c>
      <c r="L6">
        <v>62</v>
      </c>
      <c r="M6">
        <v>788</v>
      </c>
      <c r="N6">
        <v>1547</v>
      </c>
    </row>
    <row r="7" spans="1:14" x14ac:dyDescent="0.25">
      <c r="A7" t="s">
        <v>240</v>
      </c>
      <c r="B7">
        <v>417</v>
      </c>
      <c r="C7">
        <v>25</v>
      </c>
      <c r="D7">
        <v>43</v>
      </c>
      <c r="E7">
        <v>27</v>
      </c>
      <c r="F7">
        <v>20</v>
      </c>
      <c r="G7">
        <v>41</v>
      </c>
      <c r="H7">
        <v>59</v>
      </c>
      <c r="I7">
        <v>632</v>
      </c>
      <c r="J7">
        <v>95</v>
      </c>
      <c r="K7">
        <v>74</v>
      </c>
      <c r="L7">
        <v>64</v>
      </c>
      <c r="M7">
        <v>641</v>
      </c>
      <c r="N7">
        <v>1506</v>
      </c>
    </row>
    <row r="8" spans="1:14" x14ac:dyDescent="0.25">
      <c r="A8" t="s">
        <v>239</v>
      </c>
      <c r="B8">
        <v>431</v>
      </c>
      <c r="C8">
        <v>28</v>
      </c>
      <c r="D8">
        <v>42</v>
      </c>
      <c r="E8">
        <v>39</v>
      </c>
      <c r="F8">
        <v>25</v>
      </c>
      <c r="G8">
        <v>39</v>
      </c>
      <c r="H8">
        <v>62</v>
      </c>
      <c r="I8">
        <v>666</v>
      </c>
      <c r="J8">
        <v>198</v>
      </c>
      <c r="K8">
        <v>90</v>
      </c>
      <c r="L8">
        <v>65</v>
      </c>
      <c r="M8">
        <v>532</v>
      </c>
      <c r="N8">
        <v>1551</v>
      </c>
    </row>
    <row r="9" spans="1:14" x14ac:dyDescent="0.25">
      <c r="A9" t="s">
        <v>760</v>
      </c>
      <c r="B9">
        <v>421</v>
      </c>
      <c r="C9">
        <v>26</v>
      </c>
      <c r="D9">
        <v>39</v>
      </c>
      <c r="E9">
        <v>41</v>
      </c>
      <c r="F9">
        <v>29</v>
      </c>
      <c r="G9">
        <v>36</v>
      </c>
      <c r="H9">
        <v>63</v>
      </c>
      <c r="I9">
        <v>655</v>
      </c>
      <c r="J9">
        <v>285</v>
      </c>
      <c r="K9">
        <v>86</v>
      </c>
      <c r="L9">
        <v>71</v>
      </c>
      <c r="M9">
        <v>470</v>
      </c>
      <c r="N9">
        <v>1567</v>
      </c>
    </row>
    <row r="10" spans="1:14" x14ac:dyDescent="0.25">
      <c r="A10" t="s">
        <v>917</v>
      </c>
      <c r="B10">
        <v>445</v>
      </c>
      <c r="C10">
        <v>25</v>
      </c>
      <c r="D10">
        <v>38</v>
      </c>
      <c r="E10">
        <v>24</v>
      </c>
      <c r="F10">
        <v>28</v>
      </c>
      <c r="G10">
        <v>30</v>
      </c>
      <c r="H10">
        <v>60</v>
      </c>
      <c r="I10">
        <v>650</v>
      </c>
      <c r="J10">
        <v>335</v>
      </c>
      <c r="K10">
        <v>94</v>
      </c>
      <c r="L10">
        <v>61</v>
      </c>
      <c r="M10">
        <v>491</v>
      </c>
      <c r="N10">
        <v>1631</v>
      </c>
    </row>
    <row r="11" spans="1:14" x14ac:dyDescent="0.25">
      <c r="A11" t="s">
        <v>1010</v>
      </c>
      <c r="B11">
        <v>427</v>
      </c>
      <c r="C11">
        <v>25</v>
      </c>
      <c r="D11">
        <v>23</v>
      </c>
      <c r="E11">
        <v>25</v>
      </c>
      <c r="F11">
        <v>28</v>
      </c>
      <c r="G11">
        <v>30</v>
      </c>
      <c r="H11">
        <v>77</v>
      </c>
      <c r="I11">
        <v>635</v>
      </c>
      <c r="J11">
        <v>313</v>
      </c>
      <c r="K11">
        <v>109</v>
      </c>
      <c r="L11">
        <v>60</v>
      </c>
      <c r="M11">
        <v>560</v>
      </c>
      <c r="N11">
        <v>1677</v>
      </c>
    </row>
    <row r="12" spans="1:14" x14ac:dyDescent="0.25">
      <c r="A12" t="s">
        <v>1061</v>
      </c>
      <c r="B12">
        <v>429</v>
      </c>
      <c r="C12">
        <v>25</v>
      </c>
      <c r="D12">
        <v>23</v>
      </c>
      <c r="E12">
        <v>24</v>
      </c>
      <c r="F12">
        <v>28</v>
      </c>
      <c r="G12">
        <v>31</v>
      </c>
      <c r="H12">
        <v>77</v>
      </c>
      <c r="I12">
        <v>637</v>
      </c>
      <c r="J12">
        <v>319</v>
      </c>
      <c r="K12">
        <v>90</v>
      </c>
      <c r="L12">
        <v>55</v>
      </c>
      <c r="M12">
        <v>527</v>
      </c>
      <c r="N12">
        <v>1628</v>
      </c>
    </row>
    <row r="13" spans="1:14" x14ac:dyDescent="0.25">
      <c r="A13" t="s">
        <v>1108</v>
      </c>
      <c r="B13">
        <v>424</v>
      </c>
      <c r="C13">
        <v>16</v>
      </c>
      <c r="D13">
        <v>21</v>
      </c>
      <c r="E13">
        <v>24</v>
      </c>
      <c r="F13">
        <v>28</v>
      </c>
      <c r="G13">
        <v>35</v>
      </c>
      <c r="H13">
        <v>73</v>
      </c>
      <c r="I13">
        <v>621</v>
      </c>
      <c r="J13">
        <v>327</v>
      </c>
      <c r="K13">
        <v>85</v>
      </c>
      <c r="L13">
        <v>61</v>
      </c>
      <c r="M13">
        <v>491</v>
      </c>
      <c r="N13">
        <v>1585</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D9B3FF"/>
    <pageSetUpPr fitToPage="1"/>
  </sheetPr>
  <dimension ref="A1:AC33"/>
  <sheetViews>
    <sheetView showGridLines="0" zoomScaleNormal="100" workbookViewId="0">
      <pane ySplit="2" topLeftCell="A3" activePane="bottomLeft" state="frozen"/>
      <selection pane="bottomLeft" sqref="A1:J1"/>
    </sheetView>
  </sheetViews>
  <sheetFormatPr defaultRowHeight="15" x14ac:dyDescent="0.25"/>
  <cols>
    <col min="1" max="1" width="17.85546875" customWidth="1"/>
    <col min="2" max="6" width="10.28515625" customWidth="1"/>
    <col min="7" max="7" width="14" customWidth="1"/>
    <col min="8" max="8" width="12.42578125" customWidth="1"/>
    <col min="9" max="9" width="10.42578125" customWidth="1"/>
    <col min="10" max="10" width="10.5703125" customWidth="1"/>
    <col min="11" max="11" width="11" customWidth="1"/>
    <col min="12" max="12" width="12.42578125" customWidth="1"/>
    <col min="13" max="13" width="11.5703125" customWidth="1"/>
    <col min="14" max="14" width="10.42578125" customWidth="1"/>
    <col min="15" max="15" width="10.85546875" customWidth="1"/>
    <col min="16" max="16" width="10.7109375" customWidth="1"/>
    <col min="18" max="18" width="10" customWidth="1"/>
  </cols>
  <sheetData>
    <row r="1" spans="1:19" ht="15.75" x14ac:dyDescent="0.25">
      <c r="A1" s="993" t="s">
        <v>582</v>
      </c>
      <c r="B1" s="993"/>
      <c r="C1" s="993"/>
      <c r="D1" s="993"/>
      <c r="E1" s="993"/>
      <c r="F1" s="993"/>
      <c r="G1" s="993"/>
      <c r="H1" s="993"/>
      <c r="I1" s="993"/>
      <c r="J1" s="993"/>
    </row>
    <row r="2" spans="1:19" ht="18" x14ac:dyDescent="0.25">
      <c r="A2" s="507" t="s">
        <v>511</v>
      </c>
      <c r="B2" s="1"/>
      <c r="C2" s="1"/>
      <c r="D2" s="1"/>
      <c r="E2" s="1"/>
      <c r="F2" s="1"/>
      <c r="G2" s="1"/>
      <c r="H2" s="1"/>
      <c r="I2" s="1"/>
      <c r="J2" s="1"/>
    </row>
    <row r="3" spans="1:19" ht="18" x14ac:dyDescent="0.25">
      <c r="A3" s="1"/>
      <c r="B3" s="1"/>
      <c r="C3" s="1"/>
      <c r="D3" s="1"/>
      <c r="E3" s="1"/>
      <c r="F3" s="1"/>
      <c r="G3" s="1"/>
      <c r="H3" s="1"/>
      <c r="I3" s="1"/>
      <c r="J3" s="1"/>
    </row>
    <row r="4" spans="1:19" ht="15.75" x14ac:dyDescent="0.25">
      <c r="A4" s="447" t="s">
        <v>583</v>
      </c>
      <c r="B4" s="447"/>
      <c r="C4" s="447"/>
      <c r="D4" s="447"/>
      <c r="E4" s="447"/>
      <c r="F4" s="447"/>
      <c r="G4" s="447"/>
      <c r="H4" s="447"/>
      <c r="I4" s="447"/>
      <c r="J4" s="447"/>
    </row>
    <row r="5" spans="1:19" x14ac:dyDescent="0.25">
      <c r="A5" t="s">
        <v>328</v>
      </c>
      <c r="B5" t="s">
        <v>641</v>
      </c>
    </row>
    <row r="6" spans="1:19" x14ac:dyDescent="0.25">
      <c r="A6" t="s">
        <v>329</v>
      </c>
      <c r="B6" t="s">
        <v>331</v>
      </c>
    </row>
    <row r="7" spans="1:19" x14ac:dyDescent="0.25">
      <c r="A7" t="s">
        <v>330</v>
      </c>
      <c r="B7" t="s">
        <v>332</v>
      </c>
    </row>
    <row r="9" spans="1:19" ht="30" customHeight="1" x14ac:dyDescent="0.25">
      <c r="A9" s="197"/>
      <c r="B9" s="130"/>
      <c r="C9" s="130"/>
      <c r="D9" s="130"/>
      <c r="E9" s="130"/>
      <c r="F9" s="130"/>
      <c r="G9" s="130"/>
      <c r="H9" s="130"/>
      <c r="I9" s="198" t="s">
        <v>200</v>
      </c>
      <c r="J9" s="182"/>
      <c r="K9" s="199"/>
      <c r="L9" s="199"/>
      <c r="M9" s="328" t="s">
        <v>185</v>
      </c>
      <c r="N9" s="810"/>
      <c r="O9" s="234"/>
      <c r="Q9" s="234"/>
      <c r="S9" s="234"/>
    </row>
    <row r="10" spans="1:19" ht="15.75" x14ac:dyDescent="0.25">
      <c r="A10" s="197"/>
      <c r="B10" s="139"/>
      <c r="C10" s="139"/>
      <c r="D10" s="139"/>
      <c r="F10" s="561" t="s">
        <v>179</v>
      </c>
      <c r="G10" s="130"/>
      <c r="H10" s="130"/>
      <c r="K10" s="562"/>
      <c r="L10" s="560"/>
      <c r="M10" s="809"/>
      <c r="N10" s="811"/>
      <c r="Q10" s="234"/>
      <c r="S10" s="234"/>
    </row>
    <row r="11" spans="1:19" ht="60.75" x14ac:dyDescent="0.25">
      <c r="A11" s="200" t="s">
        <v>1</v>
      </c>
      <c r="B11" s="201" t="s">
        <v>118</v>
      </c>
      <c r="C11" s="201" t="s">
        <v>178</v>
      </c>
      <c r="D11" s="201" t="s">
        <v>585</v>
      </c>
      <c r="E11" s="424" t="s">
        <v>201</v>
      </c>
      <c r="F11" s="201" t="s">
        <v>186</v>
      </c>
      <c r="G11" s="201" t="s">
        <v>187</v>
      </c>
      <c r="H11" s="425" t="s">
        <v>188</v>
      </c>
      <c r="I11" s="563" t="s">
        <v>584</v>
      </c>
      <c r="J11" s="656" t="s">
        <v>202</v>
      </c>
      <c r="K11" s="201" t="s">
        <v>119</v>
      </c>
      <c r="L11" s="201" t="s">
        <v>120</v>
      </c>
      <c r="M11" s="563" t="s">
        <v>586</v>
      </c>
      <c r="N11" s="564" t="s">
        <v>189</v>
      </c>
      <c r="S11" s="426"/>
    </row>
    <row r="12" spans="1:19" x14ac:dyDescent="0.25">
      <c r="A12" s="176" t="s">
        <v>193</v>
      </c>
      <c r="B12" s="725">
        <f>GETPIVOTDATA("Sum of Pumping Appliances",VehiclesPivot!$A$3,"Year",A12)</f>
        <v>465</v>
      </c>
      <c r="C12" s="725">
        <f>GETPIVOTDATA("Sum of Aerial Appliances",VehiclesPivot!$A$3,"Year",A12)</f>
        <v>28</v>
      </c>
      <c r="D12" s="726">
        <f>GETPIVOTDATA("Sum of Resilience Appliances",VehiclesPivot!$A$3,"Year",A12)</f>
        <v>37</v>
      </c>
      <c r="E12" s="725">
        <f>GETPIVOTDATA("Sum of Fire Boats",VehiclesPivot!$A$3,"Year",A12)</f>
        <v>22</v>
      </c>
      <c r="F12" s="725">
        <f>GETPIVOTDATA("Sum of Vehicles for Rescue Work",VehiclesPivot!$A$3,"Year",A12)</f>
        <v>15</v>
      </c>
      <c r="G12" s="725">
        <f>GETPIVOTDATA("Sum of Small Firefighting Vehicles",VehiclesPivot!$A$3,"Year",A12)</f>
        <v>30</v>
      </c>
      <c r="H12" s="726">
        <f>GETPIVOTDATA("Sum of Other",VehiclesPivot!$A$3,"Year",A12)</f>
        <v>23</v>
      </c>
      <c r="I12" s="729">
        <f>GETPIVOTDATA("Sum of Total Appliances",VehiclesPivot!$A$3,"Year",A12)</f>
        <v>620</v>
      </c>
      <c r="J12" s="727"/>
      <c r="K12" s="725">
        <f>GETPIVOTDATA("Sum of Reserve Appliances",VehiclesPivot!$A$3,"Year",A12)</f>
        <v>59</v>
      </c>
      <c r="L12" s="726">
        <f>GETPIVOTDATA("Sum of Training Appliances",VehiclesPivot!$A$3,"Year",A12)</f>
        <v>31</v>
      </c>
      <c r="M12" s="728">
        <f>GETPIVOTDATA("Sum of Other Fleet Vehicles (excl Officer Response Vehicles)",VehiclesPivot!$A$3,"Year",A12)</f>
        <v>805</v>
      </c>
      <c r="N12" s="837">
        <f>GETPIVOTDATA("Sum of Total Vehicles (incl boats)",VehiclesPivot!$A$3,"Year",A12)</f>
        <v>1515</v>
      </c>
      <c r="P12" s="376"/>
      <c r="S12" s="117"/>
    </row>
    <row r="13" spans="1:19" x14ac:dyDescent="0.25">
      <c r="A13" s="176" t="s">
        <v>192</v>
      </c>
      <c r="B13" s="725">
        <f>GETPIVOTDATA("Sum of Pumping Appliances",VehiclesPivot!$A$3,"Year",A13)</f>
        <v>452</v>
      </c>
      <c r="C13" s="725">
        <f>GETPIVOTDATA("Sum of Aerial Appliances",VehiclesPivot!$A$3,"Year",A13)</f>
        <v>31</v>
      </c>
      <c r="D13" s="729">
        <f>GETPIVOTDATA("Sum of Resilience Appliances",VehiclesPivot!$A$3,"Year",A13)</f>
        <v>21</v>
      </c>
      <c r="E13" s="834">
        <f>GETPIVOTDATA("Sum of Fire Boats",VehiclesPivot!$A$3,"Year",A13)</f>
        <v>0</v>
      </c>
      <c r="F13" s="725">
        <f>GETPIVOTDATA("Sum of Vehicles for Rescue Work",VehiclesPivot!$A$3,"Year",A13)</f>
        <v>19</v>
      </c>
      <c r="G13" s="725">
        <f>GETPIVOTDATA("Sum of Small Firefighting Vehicles",VehiclesPivot!$A$3,"Year",A13)</f>
        <v>29</v>
      </c>
      <c r="H13" s="729">
        <f>GETPIVOTDATA("Sum of Other",VehiclesPivot!$A$3,"Year",A13)</f>
        <v>25</v>
      </c>
      <c r="I13" s="732">
        <f>GETPIVOTDATA("Sum of Total Appliances",VehiclesPivot!$A$3,"Year",A13)</f>
        <v>577</v>
      </c>
      <c r="J13" s="731"/>
      <c r="K13" s="725">
        <f>GETPIVOTDATA("Sum of Reserve Appliances",VehiclesPivot!$A$3,"Year",A13)</f>
        <v>65</v>
      </c>
      <c r="L13" s="729">
        <f>GETPIVOTDATA("Sum of Training Appliances",VehiclesPivot!$A$3,"Year",A13)</f>
        <v>31</v>
      </c>
      <c r="M13" s="730">
        <f>GETPIVOTDATA("Sum of Other Fleet Vehicles (excl Officer Response Vehicles)",VehiclesPivot!$A$3,"Year",A13)</f>
        <v>628</v>
      </c>
      <c r="N13" s="770">
        <f>GETPIVOTDATA("Sum of Total Vehicles (incl boats)",VehiclesPivot!$A$3,"Year",A13)</f>
        <v>1301</v>
      </c>
      <c r="S13" s="117"/>
    </row>
    <row r="14" spans="1:19" x14ac:dyDescent="0.25">
      <c r="A14" s="176" t="s">
        <v>191</v>
      </c>
      <c r="B14" s="725">
        <f>GETPIVOTDATA("Sum of Pumping Appliances",VehiclesPivot!$A$3,"Year",A14)</f>
        <v>449</v>
      </c>
      <c r="C14" s="725">
        <f>GETPIVOTDATA("Sum of Aerial Appliances",VehiclesPivot!$A$3,"Year",A14)</f>
        <v>14</v>
      </c>
      <c r="D14" s="729">
        <f>GETPIVOTDATA("Sum of Resilience Appliances",VehiclesPivot!$A$3,"Year",A14)</f>
        <v>23</v>
      </c>
      <c r="E14" s="725">
        <f>GETPIVOTDATA("Sum of Fire Boats",VehiclesPivot!$A$3,"Year",A14)</f>
        <v>25</v>
      </c>
      <c r="F14" s="725">
        <f>GETPIVOTDATA("Sum of Vehicles for Rescue Work",VehiclesPivot!$A$3,"Year",A14)</f>
        <v>16</v>
      </c>
      <c r="G14" s="725">
        <f>GETPIVOTDATA("Sum of Small Firefighting Vehicles",VehiclesPivot!$A$3,"Year",A14)</f>
        <v>36</v>
      </c>
      <c r="H14" s="729">
        <f>GETPIVOTDATA("Sum of Other",VehiclesPivot!$A$3,"Year",A14)</f>
        <v>24</v>
      </c>
      <c r="I14" s="729">
        <f>GETPIVOTDATA("Sum of Total Appliances",VehiclesPivot!$A$3,"Year",A14)</f>
        <v>587</v>
      </c>
      <c r="J14" s="731"/>
      <c r="K14" s="725">
        <f>GETPIVOTDATA("Sum of Reserve Appliances",VehiclesPivot!$A$3,"Year",A14)</f>
        <v>85</v>
      </c>
      <c r="L14" s="729">
        <f>GETPIVOTDATA("Sum of Training Appliances",VehiclesPivot!$A$3,"Year",A14)</f>
        <v>27</v>
      </c>
      <c r="M14" s="730">
        <f>GETPIVOTDATA("Sum of Other Fleet Vehicles (excl Officer Response Vehicles)",VehiclesPivot!$A$3,"Year",A14)</f>
        <v>875</v>
      </c>
      <c r="N14" s="770">
        <f>GETPIVOTDATA("Sum of Total Vehicles (incl boats)",VehiclesPivot!$A$3,"Year",A14)</f>
        <v>1574</v>
      </c>
      <c r="S14" s="117"/>
    </row>
    <row r="15" spans="1:19" x14ac:dyDescent="0.25">
      <c r="A15" s="176" t="s">
        <v>190</v>
      </c>
      <c r="B15" s="725">
        <f>GETPIVOTDATA("Sum of Pumping Appliances",VehiclesPivot!$A$3,"Year",A15)</f>
        <v>438</v>
      </c>
      <c r="C15" s="725">
        <f>GETPIVOTDATA("Sum of Aerial Appliances",VehiclesPivot!$A$3,"Year",A15)</f>
        <v>12</v>
      </c>
      <c r="D15" s="732">
        <f>GETPIVOTDATA("Sum of Resilience Appliances",VehiclesPivot!$A$3,"Year",A15)</f>
        <v>14</v>
      </c>
      <c r="E15" s="725">
        <f>GETPIVOTDATA("Sum of Fire Boats",VehiclesPivot!$A$3,"Year",A15)</f>
        <v>24</v>
      </c>
      <c r="F15" s="725">
        <f>GETPIVOTDATA("Sum of Vehicles for Rescue Work",VehiclesPivot!$A$3,"Year",A15)</f>
        <v>18</v>
      </c>
      <c r="G15" s="725">
        <f>GETPIVOTDATA("Sum of Small Firefighting Vehicles",VehiclesPivot!$A$3,"Year",A15)</f>
        <v>39</v>
      </c>
      <c r="H15" s="729">
        <f>GETPIVOTDATA("Sum of Other",VehiclesPivot!$A$3,"Year",A15)</f>
        <v>47</v>
      </c>
      <c r="I15" s="729">
        <f>GETPIVOTDATA("Sum of Total Appliances",VehiclesPivot!$A$3,"Year",A15)</f>
        <v>592</v>
      </c>
      <c r="J15" s="731"/>
      <c r="K15" s="725">
        <f>GETPIVOTDATA("Sum of Reserve Appliances",VehiclesPivot!$A$3,"Year",A15)</f>
        <v>65</v>
      </c>
      <c r="L15" s="729">
        <f>GETPIVOTDATA("Sum of Training Appliances",VehiclesPivot!$A$3,"Year",A15)</f>
        <v>42</v>
      </c>
      <c r="M15" s="730">
        <f>GETPIVOTDATA("Sum of Other Fleet Vehicles (excl Officer Response Vehicles)",VehiclesPivot!$A$3,"Year",A15)</f>
        <v>811</v>
      </c>
      <c r="N15" s="770">
        <f>GETPIVOTDATA("Sum of Total Vehicles (incl boats)",VehiclesPivot!$A$3,"Year",A15)</f>
        <v>1510</v>
      </c>
      <c r="S15" s="117"/>
    </row>
    <row r="16" spans="1:19" x14ac:dyDescent="0.25">
      <c r="A16" s="176" t="s">
        <v>257</v>
      </c>
      <c r="B16" s="725">
        <f>GETPIVOTDATA("Sum of Pumping Appliances",VehiclesPivot!$A$3,"Year",A16)</f>
        <v>418</v>
      </c>
      <c r="C16" s="725">
        <f>GETPIVOTDATA("Sum of Aerial Appliances",VehiclesPivot!$A$3,"Year",A16)</f>
        <v>26</v>
      </c>
      <c r="D16" s="729">
        <f>GETPIVOTDATA("Sum of Resilience Appliances",VehiclesPivot!$A$3,"Year",A16)</f>
        <v>43</v>
      </c>
      <c r="E16" s="725">
        <f>GETPIVOTDATA("Sum of Fire Boats",VehiclesPivot!$A$3,"Year",A16)</f>
        <v>26</v>
      </c>
      <c r="F16" s="725">
        <f>GETPIVOTDATA("Sum of Vehicles for Rescue Work",VehiclesPivot!$A$3,"Year",A16)</f>
        <v>17</v>
      </c>
      <c r="G16" s="725">
        <f>GETPIVOTDATA("Sum of Small Firefighting Vehicles",VehiclesPivot!$A$3,"Year",A16)</f>
        <v>34</v>
      </c>
      <c r="H16" s="729">
        <f>GETPIVOTDATA("Sum of Other",VehiclesPivot!$A$3,"Year",A16)</f>
        <v>68</v>
      </c>
      <c r="I16" s="729">
        <f>GETPIVOTDATA("Sum of Total Appliances",VehiclesPivot!$A$3,"Year",A16)</f>
        <v>632</v>
      </c>
      <c r="J16" s="731"/>
      <c r="K16" s="725">
        <f>GETPIVOTDATA("Sum of Reserve Appliances",VehiclesPivot!$A$3,"Year",A16)</f>
        <v>65</v>
      </c>
      <c r="L16" s="729">
        <f>GETPIVOTDATA("Sum of Training Appliances",VehiclesPivot!$A$3,"Year",A16)</f>
        <v>62</v>
      </c>
      <c r="M16" s="730">
        <f>GETPIVOTDATA("Sum of Other Fleet Vehicles (excl Officer Response Vehicles)",VehiclesPivot!$A$3,"Year",A16)</f>
        <v>788</v>
      </c>
      <c r="N16" s="770">
        <f>GETPIVOTDATA("Sum of Total Vehicles (incl boats)",VehiclesPivot!$A$3,"Year",A16)</f>
        <v>1547</v>
      </c>
      <c r="S16" s="117"/>
    </row>
    <row r="17" spans="1:29" x14ac:dyDescent="0.25">
      <c r="A17" s="176" t="s">
        <v>240</v>
      </c>
      <c r="B17" s="725">
        <f>GETPIVOTDATA("Sum of Pumping Appliances",VehiclesPivot!$A$3,"Year",A17)</f>
        <v>417</v>
      </c>
      <c r="C17" s="725">
        <f>GETPIVOTDATA("Sum of Aerial Appliances",VehiclesPivot!$A$3,"Year",A17)</f>
        <v>25</v>
      </c>
      <c r="D17" s="729">
        <f>GETPIVOTDATA("Sum of Resilience Appliances",VehiclesPivot!$A$3,"Year",A17)</f>
        <v>43</v>
      </c>
      <c r="E17" s="725">
        <f>GETPIVOTDATA("Sum of Fire Boats",VehiclesPivot!$A$3,"Year",A17)</f>
        <v>27</v>
      </c>
      <c r="F17" s="725">
        <f>GETPIVOTDATA("Sum of Vehicles for Rescue Work",VehiclesPivot!$A$3,"Year",A17)</f>
        <v>20</v>
      </c>
      <c r="G17" s="725">
        <f>GETPIVOTDATA("Sum of Small Firefighting Vehicles",VehiclesPivot!$A$3,"Year",A17)</f>
        <v>41</v>
      </c>
      <c r="H17" s="729">
        <f>GETPIVOTDATA("Sum of Other",VehiclesPivot!$A$3,"Year",A17)</f>
        <v>59</v>
      </c>
      <c r="I17" s="729">
        <f>GETPIVOTDATA("Sum of Total Appliances",VehiclesPivot!$A$3,"Year",A17)</f>
        <v>632</v>
      </c>
      <c r="J17" s="730">
        <f>GETPIVOTDATA("Sum of Officer Response Vehicles",VehiclesPivot!$A$3,"Year",A17)</f>
        <v>95</v>
      </c>
      <c r="K17" s="725">
        <f>GETPIVOTDATA("Sum of Reserve Appliances",VehiclesPivot!$A$3,"Year",A17)</f>
        <v>74</v>
      </c>
      <c r="L17" s="729">
        <f>GETPIVOTDATA("Sum of Training Appliances",VehiclesPivot!$A$3,"Year",A17)</f>
        <v>64</v>
      </c>
      <c r="M17" s="730">
        <f>GETPIVOTDATA("Sum of Other Fleet Vehicles (excl Officer Response Vehicles)",VehiclesPivot!$A$3,"Year",A17)</f>
        <v>641</v>
      </c>
      <c r="N17" s="770">
        <f>GETPIVOTDATA("Sum of Total Vehicles (incl boats)",VehiclesPivot!$A$3,"Year",A17)</f>
        <v>1506</v>
      </c>
      <c r="P17" s="376"/>
      <c r="S17" s="117"/>
    </row>
    <row r="18" spans="1:29" x14ac:dyDescent="0.25">
      <c r="A18" s="176" t="s">
        <v>239</v>
      </c>
      <c r="B18" s="725">
        <f>GETPIVOTDATA("Sum of Pumping Appliances",VehiclesPivot!$A$3,"Year",A18)</f>
        <v>431</v>
      </c>
      <c r="C18" s="725">
        <f>GETPIVOTDATA("Sum of Aerial Appliances",VehiclesPivot!$A$3,"Year",A18)</f>
        <v>28</v>
      </c>
      <c r="D18" s="729">
        <f>GETPIVOTDATA("Sum of Resilience Appliances",VehiclesPivot!$A$3,"Year",A18)</f>
        <v>42</v>
      </c>
      <c r="E18" s="725">
        <f>GETPIVOTDATA("Sum of Fire Boats",VehiclesPivot!$A$3,"Year",A18)</f>
        <v>39</v>
      </c>
      <c r="F18" s="725">
        <f>GETPIVOTDATA("Sum of Vehicles for Rescue Work",VehiclesPivot!$A$3,"Year",A18)</f>
        <v>25</v>
      </c>
      <c r="G18" s="725">
        <f>GETPIVOTDATA("Sum of Small Firefighting Vehicles",VehiclesPivot!$A$3,"Year",A18)</f>
        <v>39</v>
      </c>
      <c r="H18" s="729">
        <f>GETPIVOTDATA("Sum of Other",VehiclesPivot!$A$3,"Year",A18)</f>
        <v>62</v>
      </c>
      <c r="I18" s="729">
        <f>GETPIVOTDATA("Sum of Total Appliances",VehiclesPivot!$A$3,"Year",A18)</f>
        <v>666</v>
      </c>
      <c r="J18" s="730">
        <f>GETPIVOTDATA("Sum of Officer Response Vehicles",VehiclesPivot!$A$3,"Year",A18)</f>
        <v>198</v>
      </c>
      <c r="K18" s="725">
        <f>GETPIVOTDATA("Sum of Reserve Appliances",VehiclesPivot!$A$3,"Year",A18)</f>
        <v>90</v>
      </c>
      <c r="L18" s="729">
        <f>GETPIVOTDATA("Sum of Training Appliances",VehiclesPivot!$A$3,"Year",A18)</f>
        <v>65</v>
      </c>
      <c r="M18" s="730">
        <f>GETPIVOTDATA("Sum of Other Fleet Vehicles (excl Officer Response Vehicles)",VehiclesPivot!$A$3,"Year",A18)</f>
        <v>532</v>
      </c>
      <c r="N18" s="770">
        <f>GETPIVOTDATA("Sum of Total Vehicles (incl boats)",VehiclesPivot!$A$3,"Year",A18)</f>
        <v>1551</v>
      </c>
      <c r="P18" s="376"/>
      <c r="S18" s="117"/>
    </row>
    <row r="19" spans="1:29" x14ac:dyDescent="0.25">
      <c r="A19" s="176" t="s">
        <v>760</v>
      </c>
      <c r="B19" s="725">
        <f>GETPIVOTDATA("Sum of Pumping Appliances",VehiclesPivot!$A$3,"Year",A19)</f>
        <v>421</v>
      </c>
      <c r="C19" s="725">
        <f>GETPIVOTDATA("Sum of Aerial Appliances",VehiclesPivot!$A$3,"Year",A19)</f>
        <v>26</v>
      </c>
      <c r="D19" s="729">
        <f>GETPIVOTDATA("Sum of Resilience Appliances",VehiclesPivot!$A$3,"Year",A19)</f>
        <v>39</v>
      </c>
      <c r="E19" s="725">
        <f>GETPIVOTDATA("Sum of Fire Boats",VehiclesPivot!$A$3,"Year",A19)</f>
        <v>41</v>
      </c>
      <c r="F19" s="725">
        <f>GETPIVOTDATA("Sum of Vehicles for Rescue Work",VehiclesPivot!$A$3,"Year",A19)</f>
        <v>29</v>
      </c>
      <c r="G19" s="725">
        <f>GETPIVOTDATA("Sum of Small Firefighting Vehicles",VehiclesPivot!$A$3,"Year",A19)</f>
        <v>36</v>
      </c>
      <c r="H19" s="729">
        <f>GETPIVOTDATA("Sum of Other",VehiclesPivot!$A$3,"Year",A19)</f>
        <v>63</v>
      </c>
      <c r="I19" s="729">
        <f>GETPIVOTDATA("Sum of Total Appliances",VehiclesPivot!$A$3,"Year",A19)</f>
        <v>655</v>
      </c>
      <c r="J19" s="835">
        <f>GETPIVOTDATA("Sum of Officer Response Vehicles",VehiclesPivot!$A$3,"Year",A19)</f>
        <v>285</v>
      </c>
      <c r="K19" s="725">
        <f>GETPIVOTDATA("Sum of Reserve Appliances",VehiclesPivot!$A$3,"Year",A19)</f>
        <v>86</v>
      </c>
      <c r="L19" s="729">
        <f>GETPIVOTDATA("Sum of Training Appliances",VehiclesPivot!$A$3,"Year",A19)</f>
        <v>71</v>
      </c>
      <c r="M19" s="835">
        <f>GETPIVOTDATA("Sum of Other Fleet Vehicles (excl Officer Response Vehicles)",VehiclesPivot!$A$3,"Year",A19)</f>
        <v>470</v>
      </c>
      <c r="N19" s="770">
        <f>GETPIVOTDATA("Sum of Total Vehicles (incl boats)",VehiclesPivot!$A$3,"Year",A19)</f>
        <v>1567</v>
      </c>
      <c r="P19" s="376"/>
      <c r="S19" s="117"/>
    </row>
    <row r="20" spans="1:29" x14ac:dyDescent="0.25">
      <c r="A20" s="176" t="s">
        <v>917</v>
      </c>
      <c r="B20" s="725">
        <f>GETPIVOTDATA("Sum of Pumping Appliances",VehiclesPivot!$A$3,"Year",A20)</f>
        <v>445</v>
      </c>
      <c r="C20" s="725">
        <f>GETPIVOTDATA("Sum of Aerial Appliances",VehiclesPivot!$A$3,"Year",A20)</f>
        <v>25</v>
      </c>
      <c r="D20" s="729">
        <f>GETPIVOTDATA("Sum of Resilience Appliances",VehiclesPivot!$A$3,"Year",A20)</f>
        <v>38</v>
      </c>
      <c r="E20" s="725">
        <f>GETPIVOTDATA("Sum of Fire Boats",VehiclesPivot!$A$3,"Year",A20)</f>
        <v>24</v>
      </c>
      <c r="F20" s="725">
        <f>GETPIVOTDATA("Sum of Vehicles for Rescue Work",VehiclesPivot!$A$3,"Year",A20)</f>
        <v>28</v>
      </c>
      <c r="G20" s="725">
        <f>GETPIVOTDATA("Sum of Small Firefighting Vehicles",VehiclesPivot!$A$3,"Year",A20)</f>
        <v>30</v>
      </c>
      <c r="H20" s="729">
        <f>GETPIVOTDATA("Sum of Other",VehiclesPivot!$A$3,"Year",A20)</f>
        <v>60</v>
      </c>
      <c r="I20" s="729">
        <f>GETPIVOTDATA("Sum of Total Appliances",VehiclesPivot!$A$3,"Year",A20)</f>
        <v>650</v>
      </c>
      <c r="J20" s="835">
        <f>GETPIVOTDATA("Sum of Officer Response Vehicles",VehiclesPivot!$A$3,"Year",A20)</f>
        <v>335</v>
      </c>
      <c r="K20" s="725">
        <f>GETPIVOTDATA("Sum of Reserve Appliances",VehiclesPivot!$A$3,"Year",A20)</f>
        <v>94</v>
      </c>
      <c r="L20" s="729">
        <f>GETPIVOTDATA("Sum of Training Appliances",VehiclesPivot!$A$3,"Year",A20)</f>
        <v>61</v>
      </c>
      <c r="M20" s="835">
        <f>GETPIVOTDATA("Sum of Other Fleet Vehicles (excl Officer Response Vehicles)",VehiclesPivot!$A$3,"Year",A20)</f>
        <v>491</v>
      </c>
      <c r="N20" s="770">
        <f>GETPIVOTDATA("Sum of Total Vehicles (incl boats)",VehiclesPivot!$A$3,"Year",A20)</f>
        <v>1631</v>
      </c>
      <c r="S20" s="117"/>
    </row>
    <row r="21" spans="1:29" s="330" customFormat="1" ht="15.75" thickBot="1" x14ac:dyDescent="0.3">
      <c r="A21" s="172" t="s">
        <v>1010</v>
      </c>
      <c r="B21" s="725">
        <f>GETPIVOTDATA("Sum of Pumping Appliances",VehiclesPivot!$A$3,"Year",A21)</f>
        <v>427</v>
      </c>
      <c r="C21" s="725">
        <f>GETPIVOTDATA("Sum of Aerial Appliances",VehiclesPivot!$A$3,"Year",A21)</f>
        <v>25</v>
      </c>
      <c r="D21" s="729">
        <f>GETPIVOTDATA("Sum of Resilience Appliances",VehiclesPivot!$A$3,"Year",A21)</f>
        <v>23</v>
      </c>
      <c r="E21" s="725">
        <f>GETPIVOTDATA("Sum of Fire Boats",VehiclesPivot!$A$3,"Year",A21)</f>
        <v>25</v>
      </c>
      <c r="F21" s="725">
        <f>GETPIVOTDATA("Sum of Vehicles for Rescue Work",VehiclesPivot!$A$3,"Year",A21)</f>
        <v>28</v>
      </c>
      <c r="G21" s="725">
        <f>GETPIVOTDATA("Sum of Small Firefighting Vehicles",VehiclesPivot!$A$3,"Year",A21)</f>
        <v>30</v>
      </c>
      <c r="H21" s="729">
        <f>GETPIVOTDATA("Sum of Other",VehiclesPivot!$A$3,"Year",A21)</f>
        <v>77</v>
      </c>
      <c r="I21" s="729">
        <f>GETPIVOTDATA("Sum of Total Appliances",VehiclesPivot!$A$3,"Year",A21)</f>
        <v>635</v>
      </c>
      <c r="J21" s="835">
        <f>GETPIVOTDATA("Sum of Officer Response Vehicles",VehiclesPivot!$A$3,"Year",A21)</f>
        <v>313</v>
      </c>
      <c r="K21" s="725">
        <f>GETPIVOTDATA("Sum of Reserve Appliances",VehiclesPivot!$A$3,"Year",A21)</f>
        <v>109</v>
      </c>
      <c r="L21" s="729">
        <f>GETPIVOTDATA("Sum of Training Appliances",VehiclesPivot!$A$3,"Year",A21)</f>
        <v>60</v>
      </c>
      <c r="M21" s="835">
        <f>GETPIVOTDATA("Sum of Other Fleet Vehicles (excl Officer Response Vehicles)",VehiclesPivot!$A$3,"Year",A21)</f>
        <v>560</v>
      </c>
      <c r="N21" s="770">
        <f>GETPIVOTDATA("Sum of Total Vehicles (incl boats)",VehiclesPivot!$A$3,"Year",A21)</f>
        <v>1677</v>
      </c>
      <c r="O21" s="25"/>
      <c r="P21"/>
      <c r="Q21" s="25"/>
      <c r="R21" s="25"/>
      <c r="S21" s="25"/>
      <c r="T21"/>
      <c r="U21"/>
      <c r="V21"/>
      <c r="W21"/>
      <c r="X21"/>
      <c r="Y21"/>
      <c r="Z21"/>
      <c r="AA21"/>
      <c r="AB21"/>
      <c r="AC21"/>
    </row>
    <row r="22" spans="1:29" x14ac:dyDescent="0.25">
      <c r="A22" s="172" t="s">
        <v>1061</v>
      </c>
      <c r="B22" s="725">
        <f>GETPIVOTDATA("Sum of Pumping Appliances",VehiclesPivot!$A$3,"Year",A22)</f>
        <v>429</v>
      </c>
      <c r="C22" s="725">
        <f>GETPIVOTDATA("Sum of Aerial Appliances",VehiclesPivot!$A$3,"Year",A22)</f>
        <v>25</v>
      </c>
      <c r="D22" s="729">
        <f>GETPIVOTDATA("Sum of Resilience Appliances",VehiclesPivot!$A$3,"Year",A22)</f>
        <v>23</v>
      </c>
      <c r="E22" s="725">
        <f>GETPIVOTDATA("Sum of Fire Boats",VehiclesPivot!$A$3,"Year",A22)</f>
        <v>24</v>
      </c>
      <c r="F22" s="725">
        <f>GETPIVOTDATA("Sum of Vehicles for Rescue Work",VehiclesPivot!$A$3,"Year",A22)</f>
        <v>28</v>
      </c>
      <c r="G22" s="725">
        <f>GETPIVOTDATA("Sum of Small Firefighting Vehicles",VehiclesPivot!$A$3,"Year",A22)</f>
        <v>31</v>
      </c>
      <c r="H22" s="729">
        <f>GETPIVOTDATA("Sum of Other",VehiclesPivot!$A$3,"Year",A22)</f>
        <v>77</v>
      </c>
      <c r="I22" s="729">
        <f>GETPIVOTDATA("Sum of Total Appliances",VehiclesPivot!$A$3,"Year",A22)</f>
        <v>637</v>
      </c>
      <c r="J22" s="835">
        <f>GETPIVOTDATA("Sum of Officer Response Vehicles",VehiclesPivot!$A$3,"Year",A22)</f>
        <v>319</v>
      </c>
      <c r="K22" s="725">
        <f>GETPIVOTDATA("Sum of Reserve Appliances",VehiclesPivot!$A$3,"Year",A22)</f>
        <v>90</v>
      </c>
      <c r="L22" s="729">
        <f>GETPIVOTDATA("Sum of Training Appliances",VehiclesPivot!$A$3,"Year",A22)</f>
        <v>55</v>
      </c>
      <c r="M22" s="835">
        <f>GETPIVOTDATA("Sum of Other Fleet Vehicles (excl Officer Response Vehicles)",VehiclesPivot!$A$3,"Year",A22)</f>
        <v>527</v>
      </c>
      <c r="N22" s="770">
        <f>GETPIVOTDATA("Sum of Total Vehicles (incl boats)",VehiclesPivot!$A$3,"Year",A22)</f>
        <v>1628</v>
      </c>
      <c r="O22" s="25"/>
      <c r="Q22" s="25"/>
      <c r="R22" s="25"/>
      <c r="S22" s="25"/>
    </row>
    <row r="23" spans="1:29" ht="15.75" thickBot="1" x14ac:dyDescent="0.3">
      <c r="A23" s="673" t="s">
        <v>1108</v>
      </c>
      <c r="B23" s="733">
        <f>GETPIVOTDATA("Sum of Pumping Appliances",VehiclesPivot!$A$3,"Year",A23)</f>
        <v>424</v>
      </c>
      <c r="C23" s="733">
        <f>GETPIVOTDATA("Sum of Aerial Appliances",VehiclesPivot!$A$3,"Year",A23)</f>
        <v>16</v>
      </c>
      <c r="D23" s="734">
        <f>GETPIVOTDATA("Sum of Resilience Appliances",VehiclesPivot!$A$3,"Year",A23)</f>
        <v>21</v>
      </c>
      <c r="E23" s="733">
        <f>GETPIVOTDATA("Sum of Fire Boats",VehiclesPivot!$A$3,"Year",A23)</f>
        <v>24</v>
      </c>
      <c r="F23" s="733">
        <f>GETPIVOTDATA("Sum of Vehicles for Rescue Work",VehiclesPivot!$A$3,"Year",A23)</f>
        <v>28</v>
      </c>
      <c r="G23" s="733">
        <f>GETPIVOTDATA("Sum of Small Firefighting Vehicles",VehiclesPivot!$A$3,"Year",A23)</f>
        <v>35</v>
      </c>
      <c r="H23" s="734">
        <f>GETPIVOTDATA("Sum of Other",VehiclesPivot!$A$3,"Year",A23)</f>
        <v>73</v>
      </c>
      <c r="I23" s="734">
        <f>GETPIVOTDATA("Sum of Total Appliances",VehiclesPivot!$A$3,"Year",A23)</f>
        <v>621</v>
      </c>
      <c r="J23" s="836">
        <f>GETPIVOTDATA("Sum of Officer Response Vehicles",VehiclesPivot!$A$3,"Year",A23)</f>
        <v>327</v>
      </c>
      <c r="K23" s="733">
        <f>GETPIVOTDATA("Sum of Reserve Appliances",VehiclesPivot!$A$3,"Year",A23)</f>
        <v>85</v>
      </c>
      <c r="L23" s="734">
        <f>GETPIVOTDATA("Sum of Training Appliances",VehiclesPivot!$A$3,"Year",A23)</f>
        <v>61</v>
      </c>
      <c r="M23" s="836">
        <f>GETPIVOTDATA("Sum of Other Fleet Vehicles (excl Officer Response Vehicles)",VehiclesPivot!$A$3,"Year",A23)</f>
        <v>491</v>
      </c>
      <c r="N23" s="771">
        <f>GETPIVOTDATA("Sum of Total Vehicles (incl boats)",VehiclesPivot!$A$3,"Year",A23)</f>
        <v>1585</v>
      </c>
      <c r="O23" s="25"/>
      <c r="Q23" s="25"/>
      <c r="R23" s="25"/>
      <c r="S23" s="25"/>
    </row>
    <row r="24" spans="1:29" x14ac:dyDescent="0.25">
      <c r="A24" s="172"/>
      <c r="B24" s="25"/>
      <c r="C24" s="25"/>
      <c r="D24" s="25"/>
      <c r="E24" s="25"/>
      <c r="F24" s="25"/>
      <c r="G24" s="25"/>
      <c r="H24" s="25"/>
      <c r="I24" s="25"/>
      <c r="J24" s="25"/>
      <c r="K24" s="25"/>
      <c r="L24" s="25"/>
      <c r="M24" s="25"/>
      <c r="N24" s="25"/>
      <c r="O24" s="25"/>
      <c r="Q24" s="25"/>
      <c r="R24" s="25"/>
      <c r="S24" s="25"/>
    </row>
    <row r="25" spans="1:29" x14ac:dyDescent="0.25">
      <c r="A25" s="317" t="s">
        <v>8</v>
      </c>
      <c r="I25" s="131"/>
    </row>
    <row r="26" spans="1:29" ht="30.75" customHeight="1" x14ac:dyDescent="0.25">
      <c r="A26" s="992" t="s">
        <v>1056</v>
      </c>
      <c r="B26" s="992"/>
      <c r="C26" s="992"/>
      <c r="D26" s="992"/>
      <c r="E26" s="992"/>
      <c r="F26" s="992"/>
      <c r="G26" s="992"/>
      <c r="H26" s="992"/>
      <c r="I26" s="992"/>
      <c r="J26" s="992"/>
      <c r="K26" s="992"/>
      <c r="L26" s="992"/>
      <c r="M26" s="992"/>
      <c r="N26" s="992"/>
    </row>
    <row r="27" spans="1:29" ht="15" customHeight="1" x14ac:dyDescent="0.25">
      <c r="A27" s="395" t="s">
        <v>737</v>
      </c>
      <c r="B27" s="423"/>
      <c r="C27" s="423"/>
      <c r="D27" s="423"/>
      <c r="E27" s="423"/>
      <c r="F27" s="423"/>
      <c r="G27" s="423"/>
      <c r="H27" s="423"/>
      <c r="I27" s="423"/>
      <c r="J27" s="423"/>
      <c r="K27" s="423"/>
      <c r="L27" s="423"/>
      <c r="M27" s="423"/>
      <c r="N27" s="423"/>
    </row>
    <row r="28" spans="1:29" ht="30" customHeight="1" x14ac:dyDescent="0.25">
      <c r="A28" s="992" t="s">
        <v>722</v>
      </c>
      <c r="B28" s="992"/>
      <c r="C28" s="992"/>
      <c r="D28" s="992"/>
      <c r="E28" s="992"/>
      <c r="F28" s="992"/>
      <c r="G28" s="992"/>
      <c r="H28" s="992"/>
      <c r="I28" s="992"/>
      <c r="J28" s="992"/>
      <c r="K28" s="992"/>
      <c r="L28" s="992"/>
      <c r="M28" s="992"/>
      <c r="N28" s="992"/>
    </row>
    <row r="29" spans="1:29" ht="45" customHeight="1" x14ac:dyDescent="0.25">
      <c r="A29" s="992" t="s">
        <v>723</v>
      </c>
      <c r="B29" s="992"/>
      <c r="C29" s="992"/>
      <c r="D29" s="992"/>
      <c r="E29" s="992"/>
      <c r="F29" s="992"/>
      <c r="G29" s="992"/>
      <c r="H29" s="992"/>
      <c r="I29" s="992"/>
      <c r="J29" s="992"/>
      <c r="K29" s="992"/>
      <c r="L29" s="992"/>
      <c r="M29" s="992"/>
      <c r="N29" s="992"/>
      <c r="O29" s="468"/>
      <c r="P29" s="468"/>
      <c r="Q29" s="468"/>
      <c r="R29" s="468"/>
    </row>
    <row r="30" spans="1:29" ht="45" customHeight="1" x14ac:dyDescent="0.25">
      <c r="A30" s="992" t="s">
        <v>724</v>
      </c>
      <c r="B30" s="992"/>
      <c r="C30" s="992"/>
      <c r="D30" s="992"/>
      <c r="E30" s="992"/>
      <c r="F30" s="992"/>
      <c r="G30" s="992"/>
      <c r="H30" s="992"/>
      <c r="I30" s="992"/>
      <c r="J30" s="992"/>
      <c r="K30" s="992"/>
      <c r="L30" s="992"/>
      <c r="M30" s="992"/>
      <c r="N30" s="992"/>
      <c r="S30" s="423"/>
    </row>
    <row r="31" spans="1:29" x14ac:dyDescent="0.25">
      <c r="S31" s="423"/>
    </row>
    <row r="33" spans="1:1" x14ac:dyDescent="0.25">
      <c r="A33" s="344"/>
    </row>
  </sheetData>
  <sheetProtection algorithmName="SHA-512" hashValue="kRdOUKBshLYJtD22LYlPdfHBTuNtfmk8TQymuUO5kBoWZSd+TeBt4tknaK0u9JZjTsnei1Hvd8Zr1z5cUIaClg==" saltValue="GzZz7ovVRTbbnwBhvtC+6Q==" spinCount="100000" sheet="1" scenarios="1" formatCells="0" sort="0" autoFilter="0" pivotTables="0"/>
  <mergeCells count="5">
    <mergeCell ref="A1:J1"/>
    <mergeCell ref="A26:N26"/>
    <mergeCell ref="A28:N28"/>
    <mergeCell ref="A29:N29"/>
    <mergeCell ref="A30:N30"/>
  </mergeCells>
  <hyperlinks>
    <hyperlink ref="A2" location="'Table of Contents'!A1" display="Back to Table of Contents" xr:uid="{00000000-0004-0000-1300-000000000000}"/>
  </hyperlinks>
  <pageMargins left="0.70866141732283472" right="0.70866141732283472" top="0.74803149606299213" bottom="0.74803149606299213" header="0.31496062992125984" footer="0.31496062992125984"/>
  <pageSetup paperSize="9" scale="7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9B3FF"/>
  </sheetPr>
  <dimension ref="A1:H36"/>
  <sheetViews>
    <sheetView workbookViewId="0">
      <selection activeCell="B9" sqref="B9"/>
    </sheetView>
  </sheetViews>
  <sheetFormatPr defaultRowHeight="15" x14ac:dyDescent="0.25"/>
  <cols>
    <col min="1" max="1" width="20.85546875" bestFit="1" customWidth="1"/>
    <col min="2" max="2" width="24.85546875" bestFit="1" customWidth="1"/>
    <col min="3" max="3" width="22.42578125" bestFit="1" customWidth="1"/>
    <col min="4" max="4" width="29.42578125" bestFit="1" customWidth="1"/>
    <col min="5" max="5" width="30.42578125" bestFit="1" customWidth="1"/>
    <col min="6" max="6" width="23" bestFit="1" customWidth="1"/>
    <col min="7" max="7" width="26.140625" bestFit="1" customWidth="1"/>
    <col min="8" max="8" width="21.5703125" bestFit="1" customWidth="1"/>
  </cols>
  <sheetData>
    <row r="1" spans="1:8" x14ac:dyDescent="0.25">
      <c r="A1" s="394" t="s">
        <v>1</v>
      </c>
      <c r="B1" t="s">
        <v>1108</v>
      </c>
    </row>
    <row r="3" spans="1:8" x14ac:dyDescent="0.25">
      <c r="A3" s="394" t="s">
        <v>231</v>
      </c>
      <c r="B3" t="s">
        <v>321</v>
      </c>
      <c r="C3" t="s">
        <v>322</v>
      </c>
      <c r="D3" t="s">
        <v>1004</v>
      </c>
      <c r="E3" t="s">
        <v>412</v>
      </c>
      <c r="F3" t="s">
        <v>1005</v>
      </c>
      <c r="G3" t="s">
        <v>1003</v>
      </c>
      <c r="H3" t="s">
        <v>1006</v>
      </c>
    </row>
    <row r="4" spans="1:8" x14ac:dyDescent="0.25">
      <c r="A4" s="395" t="s">
        <v>31</v>
      </c>
      <c r="B4">
        <v>7</v>
      </c>
      <c r="C4">
        <v>1</v>
      </c>
      <c r="D4">
        <v>2</v>
      </c>
      <c r="E4">
        <v>0</v>
      </c>
      <c r="F4">
        <v>4</v>
      </c>
      <c r="G4">
        <v>3</v>
      </c>
      <c r="H4">
        <v>17</v>
      </c>
    </row>
    <row r="5" spans="1:8" x14ac:dyDescent="0.25">
      <c r="A5" s="395" t="s">
        <v>32</v>
      </c>
      <c r="B5">
        <v>31</v>
      </c>
      <c r="C5">
        <v>0</v>
      </c>
      <c r="D5">
        <v>0</v>
      </c>
      <c r="E5">
        <v>0</v>
      </c>
      <c r="F5">
        <v>3</v>
      </c>
      <c r="G5">
        <v>1</v>
      </c>
      <c r="H5">
        <v>35</v>
      </c>
    </row>
    <row r="6" spans="1:8" x14ac:dyDescent="0.25">
      <c r="A6" s="395" t="s">
        <v>33</v>
      </c>
      <c r="B6">
        <v>12</v>
      </c>
      <c r="C6">
        <v>0</v>
      </c>
      <c r="D6">
        <v>0</v>
      </c>
      <c r="E6">
        <v>0</v>
      </c>
      <c r="F6">
        <v>1</v>
      </c>
      <c r="G6">
        <v>1</v>
      </c>
      <c r="H6">
        <v>14</v>
      </c>
    </row>
    <row r="7" spans="1:8" x14ac:dyDescent="0.25">
      <c r="A7" s="395" t="s">
        <v>34</v>
      </c>
      <c r="B7">
        <v>26</v>
      </c>
      <c r="C7">
        <v>1</v>
      </c>
      <c r="D7">
        <v>1</v>
      </c>
      <c r="E7">
        <v>17</v>
      </c>
      <c r="F7">
        <v>4</v>
      </c>
      <c r="G7">
        <v>0</v>
      </c>
      <c r="H7">
        <v>49</v>
      </c>
    </row>
    <row r="8" spans="1:8" x14ac:dyDescent="0.25">
      <c r="A8" s="395" t="s">
        <v>243</v>
      </c>
      <c r="B8">
        <v>12</v>
      </c>
      <c r="C8">
        <v>2</v>
      </c>
      <c r="D8">
        <v>3</v>
      </c>
      <c r="E8">
        <v>0</v>
      </c>
      <c r="F8">
        <v>3</v>
      </c>
      <c r="G8">
        <v>4</v>
      </c>
      <c r="H8">
        <v>24</v>
      </c>
    </row>
    <row r="9" spans="1:8" x14ac:dyDescent="0.25">
      <c r="A9" s="395" t="s">
        <v>35</v>
      </c>
      <c r="B9">
        <v>3</v>
      </c>
      <c r="C9">
        <v>0</v>
      </c>
      <c r="D9">
        <v>0</v>
      </c>
      <c r="E9">
        <v>0</v>
      </c>
      <c r="F9">
        <v>1</v>
      </c>
      <c r="G9">
        <v>0</v>
      </c>
      <c r="H9">
        <v>4</v>
      </c>
    </row>
    <row r="10" spans="1:8" x14ac:dyDescent="0.25">
      <c r="A10" s="395" t="s">
        <v>36</v>
      </c>
      <c r="B10">
        <v>21</v>
      </c>
      <c r="C10">
        <v>1</v>
      </c>
      <c r="D10">
        <v>3</v>
      </c>
      <c r="E10">
        <v>0</v>
      </c>
      <c r="F10">
        <v>3</v>
      </c>
      <c r="G10">
        <v>0</v>
      </c>
      <c r="H10">
        <v>28</v>
      </c>
    </row>
    <row r="11" spans="1:8" x14ac:dyDescent="0.25">
      <c r="A11" s="395" t="s">
        <v>37</v>
      </c>
      <c r="B11">
        <v>7</v>
      </c>
      <c r="C11">
        <v>1</v>
      </c>
      <c r="D11">
        <v>1</v>
      </c>
      <c r="E11">
        <v>0</v>
      </c>
      <c r="F11">
        <v>7</v>
      </c>
      <c r="G11">
        <v>2</v>
      </c>
      <c r="H11">
        <v>18</v>
      </c>
    </row>
    <row r="12" spans="1:8" x14ac:dyDescent="0.25">
      <c r="A12" s="395" t="s">
        <v>38</v>
      </c>
      <c r="B12">
        <v>9</v>
      </c>
      <c r="C12">
        <v>1</v>
      </c>
      <c r="D12">
        <v>0</v>
      </c>
      <c r="E12">
        <v>0</v>
      </c>
      <c r="F12">
        <v>0</v>
      </c>
      <c r="G12">
        <v>1</v>
      </c>
      <c r="H12">
        <v>11</v>
      </c>
    </row>
    <row r="13" spans="1:8" x14ac:dyDescent="0.25">
      <c r="A13" s="395" t="s">
        <v>39</v>
      </c>
      <c r="B13">
        <v>3</v>
      </c>
      <c r="C13">
        <v>0</v>
      </c>
      <c r="D13">
        <v>0</v>
      </c>
      <c r="E13">
        <v>0</v>
      </c>
      <c r="F13">
        <v>1</v>
      </c>
      <c r="G13">
        <v>2</v>
      </c>
      <c r="H13">
        <v>6</v>
      </c>
    </row>
    <row r="14" spans="1:8" x14ac:dyDescent="0.25">
      <c r="A14" s="395" t="s">
        <v>40</v>
      </c>
      <c r="B14">
        <v>8</v>
      </c>
      <c r="C14">
        <v>0</v>
      </c>
      <c r="D14">
        <v>0</v>
      </c>
      <c r="E14">
        <v>0</v>
      </c>
      <c r="F14">
        <v>0</v>
      </c>
      <c r="G14">
        <v>0</v>
      </c>
      <c r="H14">
        <v>8</v>
      </c>
    </row>
    <row r="15" spans="1:8" x14ac:dyDescent="0.25">
      <c r="A15" s="395" t="s">
        <v>41</v>
      </c>
      <c r="B15">
        <v>2</v>
      </c>
      <c r="C15">
        <v>0</v>
      </c>
      <c r="D15">
        <v>0</v>
      </c>
      <c r="E15">
        <v>0</v>
      </c>
      <c r="F15">
        <v>0</v>
      </c>
      <c r="G15">
        <v>0</v>
      </c>
      <c r="H15">
        <v>2</v>
      </c>
    </row>
    <row r="16" spans="1:8" x14ac:dyDescent="0.25">
      <c r="A16" s="395" t="s">
        <v>42</v>
      </c>
      <c r="B16">
        <v>9</v>
      </c>
      <c r="C16">
        <v>1</v>
      </c>
      <c r="D16">
        <v>0</v>
      </c>
      <c r="E16">
        <v>0</v>
      </c>
      <c r="F16">
        <v>5</v>
      </c>
      <c r="G16">
        <v>1</v>
      </c>
      <c r="H16">
        <v>16</v>
      </c>
    </row>
    <row r="17" spans="1:8" x14ac:dyDescent="0.25">
      <c r="A17" s="395" t="s">
        <v>43</v>
      </c>
      <c r="B17">
        <v>18</v>
      </c>
      <c r="C17">
        <v>1</v>
      </c>
      <c r="D17">
        <v>2</v>
      </c>
      <c r="E17">
        <v>0</v>
      </c>
      <c r="F17">
        <v>5</v>
      </c>
      <c r="G17">
        <v>0</v>
      </c>
      <c r="H17">
        <v>26</v>
      </c>
    </row>
    <row r="18" spans="1:8" x14ac:dyDescent="0.25">
      <c r="A18" s="395" t="s">
        <v>117</v>
      </c>
      <c r="B18">
        <v>17</v>
      </c>
      <c r="C18">
        <v>2</v>
      </c>
      <c r="D18">
        <v>3</v>
      </c>
      <c r="E18">
        <v>0</v>
      </c>
      <c r="F18">
        <v>5</v>
      </c>
      <c r="G18">
        <v>0</v>
      </c>
      <c r="H18">
        <v>27</v>
      </c>
    </row>
    <row r="19" spans="1:8" x14ac:dyDescent="0.25">
      <c r="A19" s="395" t="s">
        <v>44</v>
      </c>
      <c r="B19">
        <v>64</v>
      </c>
      <c r="C19">
        <v>1</v>
      </c>
      <c r="D19">
        <v>3</v>
      </c>
      <c r="E19">
        <v>6</v>
      </c>
      <c r="F19">
        <v>2</v>
      </c>
      <c r="G19">
        <v>2</v>
      </c>
      <c r="H19">
        <v>78</v>
      </c>
    </row>
    <row r="20" spans="1:8" x14ac:dyDescent="0.25">
      <c r="A20" s="395" t="s">
        <v>45</v>
      </c>
      <c r="B20">
        <v>6</v>
      </c>
      <c r="C20">
        <v>1</v>
      </c>
      <c r="D20">
        <v>0</v>
      </c>
      <c r="E20">
        <v>0</v>
      </c>
      <c r="F20">
        <v>0</v>
      </c>
      <c r="G20">
        <v>0</v>
      </c>
      <c r="H20">
        <v>7</v>
      </c>
    </row>
    <row r="21" spans="1:8" x14ac:dyDescent="0.25">
      <c r="A21" s="395" t="s">
        <v>46</v>
      </c>
      <c r="B21">
        <v>2</v>
      </c>
      <c r="C21">
        <v>0</v>
      </c>
      <c r="D21">
        <v>0</v>
      </c>
      <c r="E21">
        <v>0</v>
      </c>
      <c r="F21">
        <v>1</v>
      </c>
      <c r="G21">
        <v>0</v>
      </c>
      <c r="H21">
        <v>3</v>
      </c>
    </row>
    <row r="22" spans="1:8" x14ac:dyDescent="0.25">
      <c r="A22" s="395" t="s">
        <v>47</v>
      </c>
      <c r="B22">
        <v>13</v>
      </c>
      <c r="C22">
        <v>0</v>
      </c>
      <c r="D22">
        <v>1</v>
      </c>
      <c r="E22">
        <v>2</v>
      </c>
      <c r="F22">
        <v>3</v>
      </c>
      <c r="G22">
        <v>1</v>
      </c>
      <c r="H22">
        <v>20</v>
      </c>
    </row>
    <row r="23" spans="1:8" x14ac:dyDescent="0.25">
      <c r="A23" s="395" t="s">
        <v>48</v>
      </c>
      <c r="B23">
        <v>16</v>
      </c>
      <c r="C23">
        <v>0</v>
      </c>
      <c r="D23">
        <v>0</v>
      </c>
      <c r="E23">
        <v>0</v>
      </c>
      <c r="F23">
        <v>1</v>
      </c>
      <c r="G23">
        <v>0</v>
      </c>
      <c r="H23">
        <v>17</v>
      </c>
    </row>
    <row r="24" spans="1:8" x14ac:dyDescent="0.25">
      <c r="A24" s="395" t="s">
        <v>49</v>
      </c>
      <c r="B24">
        <v>16</v>
      </c>
      <c r="C24">
        <v>0</v>
      </c>
      <c r="D24">
        <v>0</v>
      </c>
      <c r="E24">
        <v>1</v>
      </c>
      <c r="F24">
        <v>2</v>
      </c>
      <c r="G24">
        <v>0</v>
      </c>
      <c r="H24">
        <v>19</v>
      </c>
    </row>
    <row r="25" spans="1:8" x14ac:dyDescent="0.25">
      <c r="A25" s="395" t="s">
        <v>50</v>
      </c>
      <c r="B25">
        <v>9</v>
      </c>
      <c r="C25">
        <v>1</v>
      </c>
      <c r="D25">
        <v>1</v>
      </c>
      <c r="E25">
        <v>0</v>
      </c>
      <c r="F25">
        <v>4</v>
      </c>
      <c r="G25">
        <v>1</v>
      </c>
      <c r="H25">
        <v>16</v>
      </c>
    </row>
    <row r="26" spans="1:8" x14ac:dyDescent="0.25">
      <c r="A26" s="395" t="s">
        <v>51</v>
      </c>
      <c r="B26">
        <v>14</v>
      </c>
      <c r="C26">
        <v>0</v>
      </c>
      <c r="D26">
        <v>0</v>
      </c>
      <c r="E26">
        <v>3</v>
      </c>
      <c r="F26">
        <v>0</v>
      </c>
      <c r="G26">
        <v>0</v>
      </c>
      <c r="H26">
        <v>17</v>
      </c>
    </row>
    <row r="27" spans="1:8" x14ac:dyDescent="0.25">
      <c r="A27" s="395" t="s">
        <v>52</v>
      </c>
      <c r="B27">
        <v>15</v>
      </c>
      <c r="C27">
        <v>1</v>
      </c>
      <c r="D27">
        <v>1</v>
      </c>
      <c r="E27">
        <v>3</v>
      </c>
      <c r="F27">
        <v>1</v>
      </c>
      <c r="G27">
        <v>0</v>
      </c>
      <c r="H27">
        <v>21</v>
      </c>
    </row>
    <row r="28" spans="1:8" x14ac:dyDescent="0.25">
      <c r="A28" s="395" t="s">
        <v>53</v>
      </c>
      <c r="B28">
        <v>5</v>
      </c>
      <c r="C28">
        <v>1</v>
      </c>
      <c r="D28">
        <v>0</v>
      </c>
      <c r="E28">
        <v>0</v>
      </c>
      <c r="F28">
        <v>3</v>
      </c>
      <c r="G28">
        <v>0</v>
      </c>
      <c r="H28">
        <v>9</v>
      </c>
    </row>
    <row r="29" spans="1:8" x14ac:dyDescent="0.25">
      <c r="A29" s="395" t="s">
        <v>54</v>
      </c>
      <c r="B29">
        <v>18</v>
      </c>
      <c r="C29">
        <v>0</v>
      </c>
      <c r="D29">
        <v>2</v>
      </c>
      <c r="E29">
        <v>0</v>
      </c>
      <c r="F29">
        <v>2</v>
      </c>
      <c r="G29">
        <v>0</v>
      </c>
      <c r="H29">
        <v>22</v>
      </c>
    </row>
    <row r="30" spans="1:8" x14ac:dyDescent="0.25">
      <c r="A30" s="395" t="s">
        <v>55</v>
      </c>
      <c r="B30">
        <v>16</v>
      </c>
      <c r="C30">
        <v>0</v>
      </c>
      <c r="D30">
        <v>0</v>
      </c>
      <c r="E30">
        <v>1</v>
      </c>
      <c r="F30">
        <v>1</v>
      </c>
      <c r="G30">
        <v>0</v>
      </c>
      <c r="H30">
        <v>18</v>
      </c>
    </row>
    <row r="31" spans="1:8" x14ac:dyDescent="0.25">
      <c r="A31" s="395" t="s">
        <v>56</v>
      </c>
      <c r="B31">
        <v>8</v>
      </c>
      <c r="C31">
        <v>0</v>
      </c>
      <c r="D31">
        <v>1</v>
      </c>
      <c r="E31">
        <v>0</v>
      </c>
      <c r="F31">
        <v>0</v>
      </c>
      <c r="G31">
        <v>0</v>
      </c>
      <c r="H31">
        <v>9</v>
      </c>
    </row>
    <row r="32" spans="1:8" x14ac:dyDescent="0.25">
      <c r="A32" s="395" t="s">
        <v>57</v>
      </c>
      <c r="B32">
        <v>15</v>
      </c>
      <c r="C32">
        <v>0</v>
      </c>
      <c r="D32">
        <v>2</v>
      </c>
      <c r="E32">
        <v>0</v>
      </c>
      <c r="F32">
        <v>5</v>
      </c>
      <c r="G32">
        <v>1</v>
      </c>
      <c r="H32">
        <v>23</v>
      </c>
    </row>
    <row r="33" spans="1:8" x14ac:dyDescent="0.25">
      <c r="A33" s="395" t="s">
        <v>58</v>
      </c>
      <c r="B33">
        <v>9</v>
      </c>
      <c r="C33">
        <v>0</v>
      </c>
      <c r="D33">
        <v>1</v>
      </c>
      <c r="E33">
        <v>2</v>
      </c>
      <c r="F33">
        <v>4</v>
      </c>
      <c r="G33">
        <v>0</v>
      </c>
      <c r="H33">
        <v>16</v>
      </c>
    </row>
    <row r="34" spans="1:8" x14ac:dyDescent="0.25">
      <c r="A34" s="395" t="s">
        <v>59</v>
      </c>
      <c r="B34">
        <v>5</v>
      </c>
      <c r="C34">
        <v>0</v>
      </c>
      <c r="D34">
        <v>0</v>
      </c>
      <c r="E34">
        <v>0</v>
      </c>
      <c r="F34">
        <v>1</v>
      </c>
      <c r="G34">
        <v>1</v>
      </c>
      <c r="H34">
        <v>7</v>
      </c>
    </row>
    <row r="35" spans="1:8" x14ac:dyDescent="0.25">
      <c r="A35" s="395" t="s">
        <v>60</v>
      </c>
      <c r="B35">
        <v>8</v>
      </c>
      <c r="C35">
        <v>0</v>
      </c>
      <c r="D35">
        <v>1</v>
      </c>
      <c r="E35">
        <v>0</v>
      </c>
      <c r="F35">
        <v>1</v>
      </c>
      <c r="G35">
        <v>0</v>
      </c>
      <c r="H35">
        <v>10</v>
      </c>
    </row>
    <row r="36" spans="1:8" x14ac:dyDescent="0.25">
      <c r="A36" s="395" t="s">
        <v>236</v>
      </c>
      <c r="B36">
        <v>424</v>
      </c>
      <c r="C36">
        <v>16</v>
      </c>
      <c r="D36">
        <v>28</v>
      </c>
      <c r="E36">
        <v>35</v>
      </c>
      <c r="F36">
        <v>73</v>
      </c>
      <c r="G36">
        <v>21</v>
      </c>
      <c r="H36">
        <v>597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9B3FF"/>
  </sheetPr>
  <dimension ref="A1:J193"/>
  <sheetViews>
    <sheetView workbookViewId="0"/>
  </sheetViews>
  <sheetFormatPr defaultRowHeight="15" x14ac:dyDescent="0.25"/>
  <cols>
    <col min="1" max="1" width="7.42578125" bestFit="1" customWidth="1"/>
    <col min="2" max="2" width="10.140625" bestFit="1" customWidth="1"/>
    <col min="3" max="3" width="20.85546875" bestFit="1" customWidth="1"/>
    <col min="4" max="4" width="20.7109375" bestFit="1" customWidth="1"/>
    <col min="5" max="5" width="18.140625" bestFit="1" customWidth="1"/>
    <col min="6" max="6" width="21.85546875" bestFit="1" customWidth="1"/>
    <col min="7" max="7" width="25.140625" bestFit="1" customWidth="1"/>
    <col min="8" max="8" width="26.140625" bestFit="1" customWidth="1"/>
    <col min="9" max="9" width="18.85546875" bestFit="1" customWidth="1"/>
    <col min="10" max="10" width="17.28515625" bestFit="1" customWidth="1"/>
  </cols>
  <sheetData>
    <row r="1" spans="1:10" x14ac:dyDescent="0.25">
      <c r="A1" t="s">
        <v>1</v>
      </c>
      <c r="B1" t="s">
        <v>458</v>
      </c>
      <c r="C1" t="s">
        <v>30</v>
      </c>
      <c r="D1" t="s">
        <v>118</v>
      </c>
      <c r="E1" t="s">
        <v>178</v>
      </c>
      <c r="F1" t="s">
        <v>585</v>
      </c>
      <c r="G1" t="s">
        <v>186</v>
      </c>
      <c r="H1" t="s">
        <v>187</v>
      </c>
      <c r="I1" t="s">
        <v>1002</v>
      </c>
      <c r="J1" t="s">
        <v>584</v>
      </c>
    </row>
    <row r="2" spans="1:10" x14ac:dyDescent="0.25">
      <c r="A2" t="s">
        <v>760</v>
      </c>
      <c r="B2" t="s">
        <v>286</v>
      </c>
      <c r="C2" t="s">
        <v>32</v>
      </c>
      <c r="D2">
        <v>31</v>
      </c>
      <c r="E2">
        <v>0</v>
      </c>
      <c r="F2">
        <v>1</v>
      </c>
      <c r="G2">
        <v>1</v>
      </c>
      <c r="H2">
        <v>0</v>
      </c>
      <c r="I2">
        <v>5</v>
      </c>
      <c r="J2">
        <v>38</v>
      </c>
    </row>
    <row r="3" spans="1:10" x14ac:dyDescent="0.25">
      <c r="A3" t="s">
        <v>1061</v>
      </c>
      <c r="B3" t="s">
        <v>292</v>
      </c>
      <c r="C3" t="s">
        <v>33</v>
      </c>
      <c r="D3">
        <v>11</v>
      </c>
      <c r="E3">
        <v>0</v>
      </c>
      <c r="F3">
        <v>1</v>
      </c>
      <c r="G3">
        <v>0</v>
      </c>
      <c r="H3">
        <v>0</v>
      </c>
      <c r="I3">
        <v>1</v>
      </c>
      <c r="J3">
        <v>13</v>
      </c>
    </row>
    <row r="4" spans="1:10" x14ac:dyDescent="0.25">
      <c r="A4" t="s">
        <v>239</v>
      </c>
      <c r="B4" t="s">
        <v>268</v>
      </c>
      <c r="C4" t="s">
        <v>38</v>
      </c>
      <c r="D4">
        <v>9</v>
      </c>
      <c r="E4">
        <v>1</v>
      </c>
      <c r="F4">
        <v>1</v>
      </c>
      <c r="G4">
        <v>0</v>
      </c>
      <c r="H4">
        <v>0</v>
      </c>
      <c r="I4">
        <v>0</v>
      </c>
      <c r="J4">
        <v>11</v>
      </c>
    </row>
    <row r="5" spans="1:10" x14ac:dyDescent="0.25">
      <c r="A5" t="s">
        <v>1061</v>
      </c>
      <c r="B5" t="s">
        <v>269</v>
      </c>
      <c r="C5" t="s">
        <v>40</v>
      </c>
      <c r="D5">
        <v>8</v>
      </c>
      <c r="E5">
        <v>0</v>
      </c>
      <c r="F5">
        <v>0</v>
      </c>
      <c r="G5">
        <v>0</v>
      </c>
      <c r="H5">
        <v>0</v>
      </c>
      <c r="I5">
        <v>0</v>
      </c>
      <c r="J5">
        <v>8</v>
      </c>
    </row>
    <row r="6" spans="1:10" x14ac:dyDescent="0.25">
      <c r="A6" t="s">
        <v>239</v>
      </c>
      <c r="B6" t="s">
        <v>270</v>
      </c>
      <c r="C6" t="s">
        <v>41</v>
      </c>
      <c r="D6">
        <v>2</v>
      </c>
      <c r="E6">
        <v>0</v>
      </c>
      <c r="F6">
        <v>0</v>
      </c>
      <c r="G6">
        <v>0</v>
      </c>
      <c r="H6">
        <v>0</v>
      </c>
      <c r="I6">
        <v>0</v>
      </c>
      <c r="J6">
        <v>2</v>
      </c>
    </row>
    <row r="7" spans="1:10" x14ac:dyDescent="0.25">
      <c r="A7" t="s">
        <v>239</v>
      </c>
      <c r="B7" t="s">
        <v>275</v>
      </c>
      <c r="C7" t="s">
        <v>46</v>
      </c>
      <c r="D7">
        <v>2</v>
      </c>
      <c r="E7">
        <v>0</v>
      </c>
      <c r="F7">
        <v>0</v>
      </c>
      <c r="G7">
        <v>0</v>
      </c>
      <c r="H7">
        <v>0</v>
      </c>
      <c r="I7">
        <v>1</v>
      </c>
      <c r="J7">
        <v>3</v>
      </c>
    </row>
    <row r="8" spans="1:10" x14ac:dyDescent="0.25">
      <c r="A8" t="s">
        <v>1010</v>
      </c>
      <c r="B8" t="s">
        <v>275</v>
      </c>
      <c r="C8" t="s">
        <v>46</v>
      </c>
      <c r="D8">
        <v>2</v>
      </c>
      <c r="E8">
        <v>0</v>
      </c>
      <c r="F8">
        <v>0</v>
      </c>
      <c r="G8">
        <v>0</v>
      </c>
      <c r="H8">
        <v>0</v>
      </c>
      <c r="I8">
        <v>1</v>
      </c>
      <c r="J8">
        <v>3</v>
      </c>
    </row>
    <row r="9" spans="1:10" x14ac:dyDescent="0.25">
      <c r="A9" t="s">
        <v>760</v>
      </c>
      <c r="B9" t="s">
        <v>271</v>
      </c>
      <c r="C9" t="s">
        <v>48</v>
      </c>
      <c r="D9">
        <v>16</v>
      </c>
      <c r="E9">
        <v>0</v>
      </c>
      <c r="F9">
        <v>0</v>
      </c>
      <c r="G9">
        <v>0</v>
      </c>
      <c r="H9">
        <v>1</v>
      </c>
      <c r="I9">
        <v>0</v>
      </c>
      <c r="J9">
        <v>17</v>
      </c>
    </row>
    <row r="10" spans="1:10" x14ac:dyDescent="0.25">
      <c r="A10" t="s">
        <v>917</v>
      </c>
      <c r="B10" t="s">
        <v>271</v>
      </c>
      <c r="C10" t="s">
        <v>48</v>
      </c>
      <c r="D10">
        <v>15</v>
      </c>
      <c r="E10">
        <v>0</v>
      </c>
      <c r="F10">
        <v>0</v>
      </c>
      <c r="G10">
        <v>0</v>
      </c>
      <c r="H10">
        <v>0</v>
      </c>
      <c r="I10">
        <v>0</v>
      </c>
      <c r="J10">
        <v>15</v>
      </c>
    </row>
    <row r="11" spans="1:10" x14ac:dyDescent="0.25">
      <c r="A11" t="s">
        <v>1061</v>
      </c>
      <c r="B11" t="s">
        <v>271</v>
      </c>
      <c r="C11" t="s">
        <v>48</v>
      </c>
      <c r="D11">
        <v>18</v>
      </c>
      <c r="E11">
        <v>0</v>
      </c>
      <c r="F11">
        <v>0</v>
      </c>
      <c r="G11">
        <v>0</v>
      </c>
      <c r="H11">
        <v>0</v>
      </c>
      <c r="I11">
        <v>1</v>
      </c>
      <c r="J11">
        <v>19</v>
      </c>
    </row>
    <row r="12" spans="1:10" x14ac:dyDescent="0.25">
      <c r="A12" t="s">
        <v>1010</v>
      </c>
      <c r="B12" t="s">
        <v>277</v>
      </c>
      <c r="C12" t="s">
        <v>49</v>
      </c>
      <c r="D12">
        <v>16</v>
      </c>
      <c r="E12">
        <v>0</v>
      </c>
      <c r="F12">
        <v>1</v>
      </c>
      <c r="G12">
        <v>0</v>
      </c>
      <c r="H12">
        <v>1</v>
      </c>
      <c r="I12">
        <v>2</v>
      </c>
      <c r="J12">
        <v>20</v>
      </c>
    </row>
    <row r="13" spans="1:10" x14ac:dyDescent="0.25">
      <c r="A13" t="s">
        <v>239</v>
      </c>
      <c r="B13" t="s">
        <v>280</v>
      </c>
      <c r="C13" t="s">
        <v>54</v>
      </c>
      <c r="D13">
        <v>17</v>
      </c>
      <c r="E13">
        <v>0</v>
      </c>
      <c r="F13">
        <v>0</v>
      </c>
      <c r="G13">
        <v>2</v>
      </c>
      <c r="H13">
        <v>0</v>
      </c>
      <c r="I13">
        <v>1</v>
      </c>
      <c r="J13">
        <v>20</v>
      </c>
    </row>
    <row r="14" spans="1:10" x14ac:dyDescent="0.25">
      <c r="A14" t="s">
        <v>239</v>
      </c>
      <c r="B14" t="s">
        <v>290</v>
      </c>
      <c r="C14" t="s">
        <v>59</v>
      </c>
      <c r="D14">
        <v>4</v>
      </c>
      <c r="E14">
        <v>1</v>
      </c>
      <c r="F14">
        <v>1</v>
      </c>
      <c r="G14">
        <v>0</v>
      </c>
      <c r="H14">
        <v>0</v>
      </c>
      <c r="I14">
        <v>1</v>
      </c>
      <c r="J14">
        <v>7</v>
      </c>
    </row>
    <row r="15" spans="1:10" x14ac:dyDescent="0.25">
      <c r="A15" t="s">
        <v>917</v>
      </c>
      <c r="B15" t="s">
        <v>292</v>
      </c>
      <c r="C15" t="s">
        <v>33</v>
      </c>
      <c r="D15">
        <v>11</v>
      </c>
      <c r="E15">
        <v>0</v>
      </c>
      <c r="F15">
        <v>1</v>
      </c>
      <c r="G15">
        <v>0</v>
      </c>
      <c r="H15">
        <v>0</v>
      </c>
      <c r="I15">
        <v>1</v>
      </c>
      <c r="J15">
        <v>13</v>
      </c>
    </row>
    <row r="16" spans="1:10" x14ac:dyDescent="0.25">
      <c r="A16" t="s">
        <v>239</v>
      </c>
      <c r="B16" t="s">
        <v>266</v>
      </c>
      <c r="C16" t="s">
        <v>35</v>
      </c>
      <c r="D16">
        <v>3</v>
      </c>
      <c r="E16">
        <v>0</v>
      </c>
      <c r="F16">
        <v>0</v>
      </c>
      <c r="G16">
        <v>1</v>
      </c>
      <c r="H16">
        <v>0</v>
      </c>
      <c r="I16">
        <v>1</v>
      </c>
      <c r="J16">
        <v>5</v>
      </c>
    </row>
    <row r="17" spans="1:10" x14ac:dyDescent="0.25">
      <c r="A17" t="s">
        <v>1061</v>
      </c>
      <c r="B17" t="s">
        <v>266</v>
      </c>
      <c r="C17" t="s">
        <v>35</v>
      </c>
      <c r="D17">
        <v>3</v>
      </c>
      <c r="E17">
        <v>0</v>
      </c>
      <c r="F17">
        <v>0</v>
      </c>
      <c r="G17">
        <v>0</v>
      </c>
      <c r="H17">
        <v>0</v>
      </c>
      <c r="I17">
        <v>1</v>
      </c>
      <c r="J17">
        <v>4</v>
      </c>
    </row>
    <row r="18" spans="1:10" x14ac:dyDescent="0.25">
      <c r="A18" t="s">
        <v>1061</v>
      </c>
      <c r="B18" t="s">
        <v>267</v>
      </c>
      <c r="C18" t="s">
        <v>36</v>
      </c>
      <c r="D18">
        <v>20</v>
      </c>
      <c r="E18">
        <v>1</v>
      </c>
      <c r="F18">
        <v>0</v>
      </c>
      <c r="G18">
        <v>3</v>
      </c>
      <c r="H18">
        <v>0</v>
      </c>
      <c r="I18">
        <v>3</v>
      </c>
      <c r="J18">
        <v>27</v>
      </c>
    </row>
    <row r="19" spans="1:10" x14ac:dyDescent="0.25">
      <c r="A19" t="s">
        <v>917</v>
      </c>
      <c r="B19" t="s">
        <v>293</v>
      </c>
      <c r="C19" t="s">
        <v>37</v>
      </c>
      <c r="D19">
        <v>7</v>
      </c>
      <c r="E19">
        <v>2</v>
      </c>
      <c r="F19">
        <v>8</v>
      </c>
      <c r="G19">
        <v>1</v>
      </c>
      <c r="H19">
        <v>0</v>
      </c>
      <c r="I19">
        <v>2</v>
      </c>
      <c r="J19">
        <v>20</v>
      </c>
    </row>
    <row r="20" spans="1:10" x14ac:dyDescent="0.25">
      <c r="A20" t="s">
        <v>1061</v>
      </c>
      <c r="B20" t="s">
        <v>293</v>
      </c>
      <c r="C20" t="s">
        <v>37</v>
      </c>
      <c r="D20">
        <v>7</v>
      </c>
      <c r="E20">
        <v>2</v>
      </c>
      <c r="F20">
        <v>2</v>
      </c>
      <c r="G20">
        <v>1</v>
      </c>
      <c r="H20">
        <v>0</v>
      </c>
      <c r="I20">
        <v>7</v>
      </c>
      <c r="J20">
        <v>19</v>
      </c>
    </row>
    <row r="21" spans="1:10" x14ac:dyDescent="0.25">
      <c r="A21" t="s">
        <v>760</v>
      </c>
      <c r="B21" t="s">
        <v>921</v>
      </c>
      <c r="C21" t="s">
        <v>117</v>
      </c>
      <c r="D21">
        <v>19</v>
      </c>
      <c r="E21">
        <v>3</v>
      </c>
      <c r="F21">
        <v>0</v>
      </c>
      <c r="G21">
        <v>3</v>
      </c>
      <c r="H21">
        <v>0</v>
      </c>
      <c r="I21">
        <v>3</v>
      </c>
      <c r="J21">
        <v>28</v>
      </c>
    </row>
    <row r="22" spans="1:10" x14ac:dyDescent="0.25">
      <c r="A22" t="s">
        <v>917</v>
      </c>
      <c r="B22" t="s">
        <v>273</v>
      </c>
      <c r="C22" t="s">
        <v>44</v>
      </c>
      <c r="D22">
        <v>65</v>
      </c>
      <c r="E22">
        <v>1</v>
      </c>
      <c r="F22">
        <v>2</v>
      </c>
      <c r="G22">
        <v>3</v>
      </c>
      <c r="H22">
        <v>3</v>
      </c>
      <c r="I22">
        <v>2</v>
      </c>
      <c r="J22">
        <v>76</v>
      </c>
    </row>
    <row r="23" spans="1:10" x14ac:dyDescent="0.25">
      <c r="A23" t="s">
        <v>1010</v>
      </c>
      <c r="B23" t="s">
        <v>273</v>
      </c>
      <c r="C23" t="s">
        <v>44</v>
      </c>
      <c r="D23">
        <v>65</v>
      </c>
      <c r="E23">
        <v>1</v>
      </c>
      <c r="F23">
        <v>1</v>
      </c>
      <c r="G23">
        <v>3</v>
      </c>
      <c r="H23">
        <v>2</v>
      </c>
      <c r="I23">
        <v>2</v>
      </c>
      <c r="J23">
        <v>74</v>
      </c>
    </row>
    <row r="24" spans="1:10" x14ac:dyDescent="0.25">
      <c r="A24" t="s">
        <v>917</v>
      </c>
      <c r="B24" t="s">
        <v>274</v>
      </c>
      <c r="C24" t="s">
        <v>45</v>
      </c>
      <c r="D24">
        <v>6</v>
      </c>
      <c r="E24">
        <v>1</v>
      </c>
      <c r="F24">
        <v>0</v>
      </c>
      <c r="G24">
        <v>0</v>
      </c>
      <c r="H24">
        <v>0</v>
      </c>
      <c r="I24">
        <v>0</v>
      </c>
      <c r="J24">
        <v>7</v>
      </c>
    </row>
    <row r="25" spans="1:10" x14ac:dyDescent="0.25">
      <c r="A25" t="s">
        <v>1061</v>
      </c>
      <c r="B25" t="s">
        <v>274</v>
      </c>
      <c r="C25" t="s">
        <v>45</v>
      </c>
      <c r="D25">
        <v>6</v>
      </c>
      <c r="E25">
        <v>1</v>
      </c>
      <c r="F25">
        <v>0</v>
      </c>
      <c r="G25">
        <v>0</v>
      </c>
      <c r="H25">
        <v>0</v>
      </c>
      <c r="I25">
        <v>0</v>
      </c>
      <c r="J25">
        <v>7</v>
      </c>
    </row>
    <row r="26" spans="1:10" x14ac:dyDescent="0.25">
      <c r="A26" t="s">
        <v>1108</v>
      </c>
      <c r="B26" t="s">
        <v>275</v>
      </c>
      <c r="C26" t="s">
        <v>46</v>
      </c>
      <c r="D26">
        <v>2</v>
      </c>
      <c r="E26">
        <v>0</v>
      </c>
      <c r="F26">
        <v>0</v>
      </c>
      <c r="G26">
        <v>0</v>
      </c>
      <c r="H26">
        <v>0</v>
      </c>
      <c r="I26">
        <v>1</v>
      </c>
      <c r="J26">
        <v>3</v>
      </c>
    </row>
    <row r="27" spans="1:10" x14ac:dyDescent="0.25">
      <c r="A27" t="s">
        <v>1010</v>
      </c>
      <c r="B27" t="s">
        <v>271</v>
      </c>
      <c r="C27" t="s">
        <v>48</v>
      </c>
      <c r="D27">
        <v>16</v>
      </c>
      <c r="E27">
        <v>0</v>
      </c>
      <c r="F27">
        <v>0</v>
      </c>
      <c r="G27">
        <v>0</v>
      </c>
      <c r="H27">
        <v>0</v>
      </c>
      <c r="I27">
        <v>1</v>
      </c>
      <c r="J27">
        <v>17</v>
      </c>
    </row>
    <row r="28" spans="1:10" x14ac:dyDescent="0.25">
      <c r="A28" t="s">
        <v>917</v>
      </c>
      <c r="B28" t="s">
        <v>289</v>
      </c>
      <c r="C28" t="s">
        <v>53</v>
      </c>
      <c r="D28">
        <v>5</v>
      </c>
      <c r="E28">
        <v>2</v>
      </c>
      <c r="F28">
        <v>0</v>
      </c>
      <c r="G28">
        <v>0</v>
      </c>
      <c r="H28">
        <v>0</v>
      </c>
      <c r="I28">
        <v>3</v>
      </c>
      <c r="J28">
        <v>10</v>
      </c>
    </row>
    <row r="29" spans="1:10" x14ac:dyDescent="0.25">
      <c r="A29" t="s">
        <v>760</v>
      </c>
      <c r="B29" t="s">
        <v>280</v>
      </c>
      <c r="C29" t="s">
        <v>54</v>
      </c>
      <c r="D29">
        <v>17</v>
      </c>
      <c r="E29">
        <v>0</v>
      </c>
      <c r="F29">
        <v>0</v>
      </c>
      <c r="G29">
        <v>2</v>
      </c>
      <c r="H29">
        <v>0</v>
      </c>
      <c r="I29">
        <v>1</v>
      </c>
      <c r="J29">
        <v>20</v>
      </c>
    </row>
    <row r="30" spans="1:10" x14ac:dyDescent="0.25">
      <c r="A30" t="s">
        <v>760</v>
      </c>
      <c r="B30" t="s">
        <v>281</v>
      </c>
      <c r="C30" t="s">
        <v>55</v>
      </c>
      <c r="D30">
        <v>14</v>
      </c>
      <c r="E30">
        <v>0</v>
      </c>
      <c r="F30">
        <v>0</v>
      </c>
      <c r="G30">
        <v>0</v>
      </c>
      <c r="H30">
        <v>1</v>
      </c>
      <c r="I30">
        <v>1</v>
      </c>
      <c r="J30">
        <v>16</v>
      </c>
    </row>
    <row r="31" spans="1:10" x14ac:dyDescent="0.25">
      <c r="A31" t="s">
        <v>239</v>
      </c>
      <c r="B31" t="s">
        <v>286</v>
      </c>
      <c r="C31" t="s">
        <v>32</v>
      </c>
      <c r="D31">
        <v>31</v>
      </c>
      <c r="E31">
        <v>0</v>
      </c>
      <c r="F31">
        <v>1</v>
      </c>
      <c r="G31">
        <v>0</v>
      </c>
      <c r="H31">
        <v>0</v>
      </c>
      <c r="I31">
        <v>5</v>
      </c>
      <c r="J31">
        <v>37</v>
      </c>
    </row>
    <row r="32" spans="1:10" x14ac:dyDescent="0.25">
      <c r="A32" t="s">
        <v>1061</v>
      </c>
      <c r="B32" t="s">
        <v>286</v>
      </c>
      <c r="C32" t="s">
        <v>32</v>
      </c>
      <c r="D32">
        <v>32</v>
      </c>
      <c r="E32">
        <v>0</v>
      </c>
      <c r="F32">
        <v>1</v>
      </c>
      <c r="G32">
        <v>0</v>
      </c>
      <c r="H32">
        <v>0</v>
      </c>
      <c r="I32">
        <v>4</v>
      </c>
      <c r="J32">
        <v>37</v>
      </c>
    </row>
    <row r="33" spans="1:10" x14ac:dyDescent="0.25">
      <c r="A33" t="s">
        <v>1108</v>
      </c>
      <c r="B33" t="s">
        <v>292</v>
      </c>
      <c r="C33" t="s">
        <v>33</v>
      </c>
      <c r="D33">
        <v>12</v>
      </c>
      <c r="E33">
        <v>0</v>
      </c>
      <c r="F33">
        <v>1</v>
      </c>
      <c r="G33">
        <v>0</v>
      </c>
      <c r="H33">
        <v>0</v>
      </c>
      <c r="I33">
        <v>1</v>
      </c>
      <c r="J33">
        <v>14</v>
      </c>
    </row>
    <row r="34" spans="1:10" x14ac:dyDescent="0.25">
      <c r="A34" t="s">
        <v>1010</v>
      </c>
      <c r="B34" t="s">
        <v>287</v>
      </c>
      <c r="C34" t="s">
        <v>34</v>
      </c>
      <c r="D34">
        <v>25</v>
      </c>
      <c r="E34">
        <v>1</v>
      </c>
      <c r="F34">
        <v>0</v>
      </c>
      <c r="G34">
        <v>1</v>
      </c>
      <c r="H34">
        <v>17</v>
      </c>
      <c r="I34">
        <v>4</v>
      </c>
      <c r="J34">
        <v>48</v>
      </c>
    </row>
    <row r="35" spans="1:10" x14ac:dyDescent="0.25">
      <c r="A35" t="s">
        <v>239</v>
      </c>
      <c r="B35" t="s">
        <v>267</v>
      </c>
      <c r="C35" t="s">
        <v>36</v>
      </c>
      <c r="D35">
        <v>22</v>
      </c>
      <c r="E35">
        <v>1</v>
      </c>
      <c r="F35">
        <v>0</v>
      </c>
      <c r="G35">
        <v>3</v>
      </c>
      <c r="H35">
        <v>0</v>
      </c>
      <c r="I35">
        <v>4</v>
      </c>
      <c r="J35">
        <v>30</v>
      </c>
    </row>
    <row r="36" spans="1:10" x14ac:dyDescent="0.25">
      <c r="A36" t="s">
        <v>239</v>
      </c>
      <c r="B36" t="s">
        <v>295</v>
      </c>
      <c r="C36" t="s">
        <v>39</v>
      </c>
      <c r="D36">
        <v>3</v>
      </c>
      <c r="E36">
        <v>0</v>
      </c>
      <c r="F36">
        <v>2</v>
      </c>
      <c r="G36">
        <v>0</v>
      </c>
      <c r="H36">
        <v>0</v>
      </c>
      <c r="I36">
        <v>0</v>
      </c>
      <c r="J36">
        <v>5</v>
      </c>
    </row>
    <row r="37" spans="1:10" x14ac:dyDescent="0.25">
      <c r="A37" t="s">
        <v>239</v>
      </c>
      <c r="B37" t="s">
        <v>272</v>
      </c>
      <c r="C37" t="s">
        <v>42</v>
      </c>
      <c r="D37">
        <v>10</v>
      </c>
      <c r="E37">
        <v>1</v>
      </c>
      <c r="F37">
        <v>2</v>
      </c>
      <c r="G37">
        <v>0</v>
      </c>
      <c r="H37">
        <v>0</v>
      </c>
      <c r="I37">
        <v>4</v>
      </c>
      <c r="J37">
        <v>17</v>
      </c>
    </row>
    <row r="38" spans="1:10" x14ac:dyDescent="0.25">
      <c r="A38" t="s">
        <v>1061</v>
      </c>
      <c r="B38" t="s">
        <v>272</v>
      </c>
      <c r="C38" t="s">
        <v>42</v>
      </c>
      <c r="D38">
        <v>9</v>
      </c>
      <c r="E38">
        <v>1</v>
      </c>
      <c r="F38">
        <v>1</v>
      </c>
      <c r="G38">
        <v>0</v>
      </c>
      <c r="H38">
        <v>0</v>
      </c>
      <c r="I38">
        <v>5</v>
      </c>
      <c r="J38">
        <v>16</v>
      </c>
    </row>
    <row r="39" spans="1:10" x14ac:dyDescent="0.25">
      <c r="A39" t="s">
        <v>1010</v>
      </c>
      <c r="B39" t="s">
        <v>921</v>
      </c>
      <c r="C39" t="s">
        <v>117</v>
      </c>
      <c r="D39">
        <v>19</v>
      </c>
      <c r="E39">
        <v>3</v>
      </c>
      <c r="F39">
        <v>0</v>
      </c>
      <c r="G39">
        <v>3</v>
      </c>
      <c r="H39">
        <v>0</v>
      </c>
      <c r="I39">
        <v>6</v>
      </c>
      <c r="J39">
        <v>31</v>
      </c>
    </row>
    <row r="40" spans="1:10" x14ac:dyDescent="0.25">
      <c r="A40" t="s">
        <v>1108</v>
      </c>
      <c r="B40" t="s">
        <v>273</v>
      </c>
      <c r="C40" t="s">
        <v>44</v>
      </c>
      <c r="D40">
        <v>64</v>
      </c>
      <c r="E40">
        <v>1</v>
      </c>
      <c r="F40">
        <v>2</v>
      </c>
      <c r="G40">
        <v>3</v>
      </c>
      <c r="H40">
        <v>6</v>
      </c>
      <c r="I40">
        <v>2</v>
      </c>
      <c r="J40">
        <v>78</v>
      </c>
    </row>
    <row r="41" spans="1:10" x14ac:dyDescent="0.25">
      <c r="A41" t="s">
        <v>1108</v>
      </c>
      <c r="B41" t="s">
        <v>274</v>
      </c>
      <c r="C41" t="s">
        <v>45</v>
      </c>
      <c r="D41">
        <v>6</v>
      </c>
      <c r="E41">
        <v>1</v>
      </c>
      <c r="F41">
        <v>0</v>
      </c>
      <c r="G41">
        <v>0</v>
      </c>
      <c r="H41">
        <v>0</v>
      </c>
      <c r="I41">
        <v>0</v>
      </c>
      <c r="J41">
        <v>7</v>
      </c>
    </row>
    <row r="42" spans="1:10" x14ac:dyDescent="0.25">
      <c r="A42" t="s">
        <v>917</v>
      </c>
      <c r="B42" t="s">
        <v>275</v>
      </c>
      <c r="C42" t="s">
        <v>46</v>
      </c>
      <c r="D42">
        <v>3</v>
      </c>
      <c r="E42">
        <v>0</v>
      </c>
      <c r="F42">
        <v>0</v>
      </c>
      <c r="G42">
        <v>0</v>
      </c>
      <c r="H42">
        <v>0</v>
      </c>
      <c r="I42">
        <v>1</v>
      </c>
      <c r="J42">
        <v>4</v>
      </c>
    </row>
    <row r="43" spans="1:10" x14ac:dyDescent="0.25">
      <c r="A43" t="s">
        <v>239</v>
      </c>
      <c r="B43" t="s">
        <v>276</v>
      </c>
      <c r="C43" t="s">
        <v>47</v>
      </c>
      <c r="D43">
        <v>13</v>
      </c>
      <c r="E43">
        <v>0</v>
      </c>
      <c r="F43">
        <v>1</v>
      </c>
      <c r="G43">
        <v>0</v>
      </c>
      <c r="H43">
        <v>2</v>
      </c>
      <c r="I43">
        <v>3</v>
      </c>
      <c r="J43">
        <v>19</v>
      </c>
    </row>
    <row r="44" spans="1:10" x14ac:dyDescent="0.25">
      <c r="A44" t="s">
        <v>1108</v>
      </c>
      <c r="B44" t="s">
        <v>271</v>
      </c>
      <c r="C44" t="s">
        <v>48</v>
      </c>
      <c r="D44">
        <v>16</v>
      </c>
      <c r="E44">
        <v>0</v>
      </c>
      <c r="F44">
        <v>0</v>
      </c>
      <c r="G44">
        <v>0</v>
      </c>
      <c r="H44">
        <v>0</v>
      </c>
      <c r="I44">
        <v>1</v>
      </c>
      <c r="J44">
        <v>17</v>
      </c>
    </row>
    <row r="45" spans="1:10" x14ac:dyDescent="0.25">
      <c r="A45" t="s">
        <v>760</v>
      </c>
      <c r="B45" t="s">
        <v>277</v>
      </c>
      <c r="C45" t="s">
        <v>49</v>
      </c>
      <c r="D45">
        <v>16</v>
      </c>
      <c r="E45">
        <v>0</v>
      </c>
      <c r="F45">
        <v>1</v>
      </c>
      <c r="G45">
        <v>0</v>
      </c>
      <c r="H45">
        <v>1</v>
      </c>
      <c r="I45">
        <v>2</v>
      </c>
      <c r="J45">
        <v>20</v>
      </c>
    </row>
    <row r="46" spans="1:10" x14ac:dyDescent="0.25">
      <c r="A46" t="s">
        <v>1010</v>
      </c>
      <c r="B46" t="s">
        <v>922</v>
      </c>
      <c r="C46" t="s">
        <v>50</v>
      </c>
      <c r="D46">
        <v>9</v>
      </c>
      <c r="E46">
        <v>2</v>
      </c>
      <c r="F46">
        <v>2</v>
      </c>
      <c r="G46">
        <v>1</v>
      </c>
      <c r="H46">
        <v>0</v>
      </c>
      <c r="I46">
        <v>4</v>
      </c>
      <c r="J46">
        <v>18</v>
      </c>
    </row>
    <row r="47" spans="1:10" x14ac:dyDescent="0.25">
      <c r="A47" t="s">
        <v>917</v>
      </c>
      <c r="B47" t="s">
        <v>278</v>
      </c>
      <c r="C47" t="s">
        <v>51</v>
      </c>
      <c r="D47">
        <v>15</v>
      </c>
      <c r="E47">
        <v>0</v>
      </c>
      <c r="F47">
        <v>0</v>
      </c>
      <c r="G47">
        <v>0</v>
      </c>
      <c r="H47">
        <v>1</v>
      </c>
      <c r="I47">
        <v>0</v>
      </c>
      <c r="J47">
        <v>16</v>
      </c>
    </row>
    <row r="48" spans="1:10" x14ac:dyDescent="0.25">
      <c r="A48" t="s">
        <v>1061</v>
      </c>
      <c r="B48" t="s">
        <v>278</v>
      </c>
      <c r="C48" t="s">
        <v>51</v>
      </c>
      <c r="D48">
        <v>16</v>
      </c>
      <c r="E48">
        <v>0</v>
      </c>
      <c r="F48">
        <v>0</v>
      </c>
      <c r="G48">
        <v>0</v>
      </c>
      <c r="H48">
        <v>2</v>
      </c>
      <c r="I48">
        <v>0</v>
      </c>
      <c r="J48">
        <v>18</v>
      </c>
    </row>
    <row r="49" spans="1:10" x14ac:dyDescent="0.25">
      <c r="A49" t="s">
        <v>239</v>
      </c>
      <c r="B49" t="s">
        <v>945</v>
      </c>
      <c r="C49" t="s">
        <v>52</v>
      </c>
      <c r="D49">
        <v>16</v>
      </c>
      <c r="E49">
        <v>1</v>
      </c>
      <c r="F49">
        <v>2</v>
      </c>
      <c r="G49">
        <v>1</v>
      </c>
      <c r="H49">
        <v>3</v>
      </c>
      <c r="I49">
        <v>0</v>
      </c>
      <c r="J49">
        <v>23</v>
      </c>
    </row>
    <row r="50" spans="1:10" x14ac:dyDescent="0.25">
      <c r="A50" t="s">
        <v>1108</v>
      </c>
      <c r="B50" t="s">
        <v>289</v>
      </c>
      <c r="C50" t="s">
        <v>53</v>
      </c>
      <c r="D50">
        <v>5</v>
      </c>
      <c r="E50">
        <v>1</v>
      </c>
      <c r="F50">
        <v>0</v>
      </c>
      <c r="G50">
        <v>0</v>
      </c>
      <c r="H50">
        <v>0</v>
      </c>
      <c r="I50">
        <v>3</v>
      </c>
      <c r="J50">
        <v>9</v>
      </c>
    </row>
    <row r="51" spans="1:10" x14ac:dyDescent="0.25">
      <c r="A51" t="s">
        <v>239</v>
      </c>
      <c r="B51" t="s">
        <v>282</v>
      </c>
      <c r="C51" t="s">
        <v>56</v>
      </c>
      <c r="D51">
        <v>7</v>
      </c>
      <c r="E51">
        <v>1</v>
      </c>
      <c r="F51">
        <v>0</v>
      </c>
      <c r="G51">
        <v>1</v>
      </c>
      <c r="H51">
        <v>0</v>
      </c>
      <c r="I51">
        <v>0</v>
      </c>
      <c r="J51">
        <v>9</v>
      </c>
    </row>
    <row r="52" spans="1:10" x14ac:dyDescent="0.25">
      <c r="A52" t="s">
        <v>760</v>
      </c>
      <c r="B52" t="s">
        <v>283</v>
      </c>
      <c r="C52" t="s">
        <v>57</v>
      </c>
      <c r="D52">
        <v>14</v>
      </c>
      <c r="E52">
        <v>1</v>
      </c>
      <c r="F52">
        <v>1</v>
      </c>
      <c r="G52">
        <v>2</v>
      </c>
      <c r="H52">
        <v>0</v>
      </c>
      <c r="I52">
        <v>5</v>
      </c>
      <c r="J52">
        <v>23</v>
      </c>
    </row>
    <row r="53" spans="1:10" x14ac:dyDescent="0.25">
      <c r="A53" t="s">
        <v>760</v>
      </c>
      <c r="B53" t="s">
        <v>290</v>
      </c>
      <c r="C53" t="s">
        <v>59</v>
      </c>
      <c r="D53">
        <v>4</v>
      </c>
      <c r="E53">
        <v>1</v>
      </c>
      <c r="F53">
        <v>1</v>
      </c>
      <c r="G53">
        <v>0</v>
      </c>
      <c r="H53">
        <v>0</v>
      </c>
      <c r="I53">
        <v>1</v>
      </c>
      <c r="J53">
        <v>7</v>
      </c>
    </row>
    <row r="54" spans="1:10" x14ac:dyDescent="0.25">
      <c r="A54" t="s">
        <v>760</v>
      </c>
      <c r="B54" t="s">
        <v>291</v>
      </c>
      <c r="C54" t="s">
        <v>60</v>
      </c>
      <c r="D54">
        <v>8</v>
      </c>
      <c r="E54">
        <v>0</v>
      </c>
      <c r="F54">
        <v>0</v>
      </c>
      <c r="G54">
        <v>1</v>
      </c>
      <c r="H54">
        <v>0</v>
      </c>
      <c r="I54">
        <v>1</v>
      </c>
      <c r="J54">
        <v>10</v>
      </c>
    </row>
    <row r="55" spans="1:10" x14ac:dyDescent="0.25">
      <c r="A55" t="s">
        <v>1061</v>
      </c>
      <c r="B55" t="s">
        <v>285</v>
      </c>
      <c r="C55" t="s">
        <v>31</v>
      </c>
      <c r="D55">
        <v>7</v>
      </c>
      <c r="E55">
        <v>1</v>
      </c>
      <c r="F55">
        <v>4</v>
      </c>
      <c r="G55">
        <v>2</v>
      </c>
      <c r="H55">
        <v>0</v>
      </c>
      <c r="I55">
        <v>4</v>
      </c>
      <c r="J55">
        <v>18</v>
      </c>
    </row>
    <row r="56" spans="1:10" x14ac:dyDescent="0.25">
      <c r="A56" t="s">
        <v>1010</v>
      </c>
      <c r="B56" t="s">
        <v>286</v>
      </c>
      <c r="C56" t="s">
        <v>32</v>
      </c>
      <c r="D56">
        <v>31</v>
      </c>
      <c r="E56">
        <v>0</v>
      </c>
      <c r="F56">
        <v>1</v>
      </c>
      <c r="G56">
        <v>0</v>
      </c>
      <c r="H56">
        <v>0</v>
      </c>
      <c r="I56">
        <v>4</v>
      </c>
      <c r="J56">
        <v>36</v>
      </c>
    </row>
    <row r="57" spans="1:10" x14ac:dyDescent="0.25">
      <c r="A57" t="s">
        <v>1061</v>
      </c>
      <c r="B57" t="s">
        <v>287</v>
      </c>
      <c r="C57" t="s">
        <v>34</v>
      </c>
      <c r="D57">
        <v>25</v>
      </c>
      <c r="E57">
        <v>1</v>
      </c>
      <c r="F57">
        <v>0</v>
      </c>
      <c r="G57">
        <v>1</v>
      </c>
      <c r="H57">
        <v>17</v>
      </c>
      <c r="I57">
        <v>5</v>
      </c>
      <c r="J57">
        <v>49</v>
      </c>
    </row>
    <row r="58" spans="1:10" x14ac:dyDescent="0.25">
      <c r="A58" t="s">
        <v>1010</v>
      </c>
      <c r="B58" t="s">
        <v>266</v>
      </c>
      <c r="C58" t="s">
        <v>35</v>
      </c>
      <c r="D58">
        <v>3</v>
      </c>
      <c r="E58">
        <v>0</v>
      </c>
      <c r="F58">
        <v>0</v>
      </c>
      <c r="G58">
        <v>1</v>
      </c>
      <c r="H58">
        <v>0</v>
      </c>
      <c r="I58">
        <v>1</v>
      </c>
      <c r="J58">
        <v>5</v>
      </c>
    </row>
    <row r="59" spans="1:10" x14ac:dyDescent="0.25">
      <c r="A59" t="s">
        <v>917</v>
      </c>
      <c r="B59" t="s">
        <v>268</v>
      </c>
      <c r="C59" t="s">
        <v>38</v>
      </c>
      <c r="D59">
        <v>10</v>
      </c>
      <c r="E59">
        <v>1</v>
      </c>
      <c r="F59">
        <v>1</v>
      </c>
      <c r="G59">
        <v>0</v>
      </c>
      <c r="H59">
        <v>0</v>
      </c>
      <c r="I59">
        <v>0</v>
      </c>
      <c r="J59">
        <v>12</v>
      </c>
    </row>
    <row r="60" spans="1:10" x14ac:dyDescent="0.25">
      <c r="A60" t="s">
        <v>1010</v>
      </c>
      <c r="B60" t="s">
        <v>268</v>
      </c>
      <c r="C60" t="s">
        <v>38</v>
      </c>
      <c r="D60">
        <v>9</v>
      </c>
      <c r="E60">
        <v>1</v>
      </c>
      <c r="F60">
        <v>1</v>
      </c>
      <c r="G60">
        <v>0</v>
      </c>
      <c r="H60">
        <v>0</v>
      </c>
      <c r="I60">
        <v>0</v>
      </c>
      <c r="J60">
        <v>11</v>
      </c>
    </row>
    <row r="61" spans="1:10" x14ac:dyDescent="0.25">
      <c r="A61" t="s">
        <v>1108</v>
      </c>
      <c r="B61" t="s">
        <v>268</v>
      </c>
      <c r="C61" t="s">
        <v>38</v>
      </c>
      <c r="D61">
        <v>9</v>
      </c>
      <c r="E61">
        <v>1</v>
      </c>
      <c r="F61">
        <v>1</v>
      </c>
      <c r="G61">
        <v>0</v>
      </c>
      <c r="H61">
        <v>0</v>
      </c>
      <c r="I61">
        <v>0</v>
      </c>
      <c r="J61">
        <v>11</v>
      </c>
    </row>
    <row r="62" spans="1:10" x14ac:dyDescent="0.25">
      <c r="A62" t="s">
        <v>917</v>
      </c>
      <c r="B62" t="s">
        <v>295</v>
      </c>
      <c r="C62" t="s">
        <v>39</v>
      </c>
      <c r="D62">
        <v>3</v>
      </c>
      <c r="E62">
        <v>0</v>
      </c>
      <c r="F62">
        <v>2</v>
      </c>
      <c r="G62">
        <v>0</v>
      </c>
      <c r="H62">
        <v>0</v>
      </c>
      <c r="I62">
        <v>0</v>
      </c>
      <c r="J62">
        <v>5</v>
      </c>
    </row>
    <row r="63" spans="1:10" x14ac:dyDescent="0.25">
      <c r="A63" t="s">
        <v>1061</v>
      </c>
      <c r="B63" t="s">
        <v>295</v>
      </c>
      <c r="C63" t="s">
        <v>39</v>
      </c>
      <c r="D63">
        <v>3</v>
      </c>
      <c r="E63">
        <v>0</v>
      </c>
      <c r="F63">
        <v>2</v>
      </c>
      <c r="G63">
        <v>0</v>
      </c>
      <c r="H63">
        <v>0</v>
      </c>
      <c r="I63">
        <v>0</v>
      </c>
      <c r="J63">
        <v>5</v>
      </c>
    </row>
    <row r="64" spans="1:10" x14ac:dyDescent="0.25">
      <c r="A64" t="s">
        <v>917</v>
      </c>
      <c r="B64" t="s">
        <v>270</v>
      </c>
      <c r="C64" t="s">
        <v>41</v>
      </c>
      <c r="D64">
        <v>2</v>
      </c>
      <c r="E64">
        <v>0</v>
      </c>
      <c r="F64">
        <v>0</v>
      </c>
      <c r="G64">
        <v>0</v>
      </c>
      <c r="H64">
        <v>0</v>
      </c>
      <c r="I64">
        <v>0</v>
      </c>
      <c r="J64">
        <v>2</v>
      </c>
    </row>
    <row r="65" spans="1:10" x14ac:dyDescent="0.25">
      <c r="A65" t="s">
        <v>1061</v>
      </c>
      <c r="B65" t="s">
        <v>270</v>
      </c>
      <c r="C65" t="s">
        <v>41</v>
      </c>
      <c r="D65">
        <v>2</v>
      </c>
      <c r="E65">
        <v>0</v>
      </c>
      <c r="F65">
        <v>0</v>
      </c>
      <c r="G65">
        <v>0</v>
      </c>
      <c r="H65">
        <v>0</v>
      </c>
      <c r="I65">
        <v>0</v>
      </c>
      <c r="J65">
        <v>2</v>
      </c>
    </row>
    <row r="66" spans="1:10" x14ac:dyDescent="0.25">
      <c r="A66" t="s">
        <v>1010</v>
      </c>
      <c r="B66" t="s">
        <v>272</v>
      </c>
      <c r="C66" t="s">
        <v>42</v>
      </c>
      <c r="D66">
        <v>9</v>
      </c>
      <c r="E66">
        <v>1</v>
      </c>
      <c r="F66">
        <v>1</v>
      </c>
      <c r="G66">
        <v>0</v>
      </c>
      <c r="H66">
        <v>0</v>
      </c>
      <c r="I66">
        <v>5</v>
      </c>
      <c r="J66">
        <v>16</v>
      </c>
    </row>
    <row r="67" spans="1:10" x14ac:dyDescent="0.25">
      <c r="A67" t="s">
        <v>1061</v>
      </c>
      <c r="B67" t="s">
        <v>921</v>
      </c>
      <c r="C67" t="s">
        <v>117</v>
      </c>
      <c r="D67">
        <v>19</v>
      </c>
      <c r="E67">
        <v>3</v>
      </c>
      <c r="F67">
        <v>0</v>
      </c>
      <c r="G67">
        <v>3</v>
      </c>
      <c r="H67">
        <v>0</v>
      </c>
      <c r="I67">
        <v>6</v>
      </c>
      <c r="J67">
        <v>31</v>
      </c>
    </row>
    <row r="68" spans="1:10" x14ac:dyDescent="0.25">
      <c r="A68" t="s">
        <v>760</v>
      </c>
      <c r="B68" t="s">
        <v>274</v>
      </c>
      <c r="C68" t="s">
        <v>45</v>
      </c>
      <c r="D68">
        <v>6</v>
      </c>
      <c r="E68">
        <v>1</v>
      </c>
      <c r="F68">
        <v>0</v>
      </c>
      <c r="G68">
        <v>0</v>
      </c>
      <c r="H68">
        <v>0</v>
      </c>
      <c r="I68">
        <v>0</v>
      </c>
      <c r="J68">
        <v>7</v>
      </c>
    </row>
    <row r="69" spans="1:10" x14ac:dyDescent="0.25">
      <c r="A69" t="s">
        <v>760</v>
      </c>
      <c r="B69" t="s">
        <v>275</v>
      </c>
      <c r="C69" t="s">
        <v>46</v>
      </c>
      <c r="D69">
        <v>2</v>
      </c>
      <c r="E69">
        <v>0</v>
      </c>
      <c r="F69">
        <v>0</v>
      </c>
      <c r="G69">
        <v>0</v>
      </c>
      <c r="H69">
        <v>0</v>
      </c>
      <c r="I69">
        <v>1</v>
      </c>
      <c r="J69">
        <v>3</v>
      </c>
    </row>
    <row r="70" spans="1:10" x14ac:dyDescent="0.25">
      <c r="A70" t="s">
        <v>239</v>
      </c>
      <c r="B70" t="s">
        <v>271</v>
      </c>
      <c r="C70" t="s">
        <v>48</v>
      </c>
      <c r="D70">
        <v>17</v>
      </c>
      <c r="E70">
        <v>0</v>
      </c>
      <c r="F70">
        <v>0</v>
      </c>
      <c r="G70">
        <v>0</v>
      </c>
      <c r="H70">
        <v>1</v>
      </c>
      <c r="I70">
        <v>0</v>
      </c>
      <c r="J70">
        <v>18</v>
      </c>
    </row>
    <row r="71" spans="1:10" x14ac:dyDescent="0.25">
      <c r="A71" t="s">
        <v>239</v>
      </c>
      <c r="B71" t="s">
        <v>922</v>
      </c>
      <c r="C71" t="s">
        <v>50</v>
      </c>
      <c r="D71">
        <v>8</v>
      </c>
      <c r="E71">
        <v>2</v>
      </c>
      <c r="F71">
        <v>2</v>
      </c>
      <c r="G71">
        <v>1</v>
      </c>
      <c r="H71">
        <v>0</v>
      </c>
      <c r="I71">
        <v>2</v>
      </c>
      <c r="J71">
        <v>15</v>
      </c>
    </row>
    <row r="72" spans="1:10" x14ac:dyDescent="0.25">
      <c r="A72" t="s">
        <v>1010</v>
      </c>
      <c r="B72" t="s">
        <v>945</v>
      </c>
      <c r="C72" t="s">
        <v>52</v>
      </c>
      <c r="D72">
        <v>15</v>
      </c>
      <c r="E72">
        <v>1</v>
      </c>
      <c r="F72">
        <v>0</v>
      </c>
      <c r="G72">
        <v>1</v>
      </c>
      <c r="H72">
        <v>3</v>
      </c>
      <c r="I72">
        <v>1</v>
      </c>
      <c r="J72">
        <v>21</v>
      </c>
    </row>
    <row r="73" spans="1:10" x14ac:dyDescent="0.25">
      <c r="A73" t="s">
        <v>917</v>
      </c>
      <c r="B73" t="s">
        <v>280</v>
      </c>
      <c r="C73" t="s">
        <v>54</v>
      </c>
      <c r="D73">
        <v>17</v>
      </c>
      <c r="E73">
        <v>0</v>
      </c>
      <c r="F73">
        <v>0</v>
      </c>
      <c r="G73">
        <v>2</v>
      </c>
      <c r="H73">
        <v>0</v>
      </c>
      <c r="I73">
        <v>1</v>
      </c>
      <c r="J73">
        <v>20</v>
      </c>
    </row>
    <row r="74" spans="1:10" x14ac:dyDescent="0.25">
      <c r="A74" t="s">
        <v>1108</v>
      </c>
      <c r="B74" t="s">
        <v>280</v>
      </c>
      <c r="C74" t="s">
        <v>54</v>
      </c>
      <c r="D74">
        <v>18</v>
      </c>
      <c r="E74">
        <v>0</v>
      </c>
      <c r="F74">
        <v>0</v>
      </c>
      <c r="G74">
        <v>2</v>
      </c>
      <c r="H74">
        <v>0</v>
      </c>
      <c r="I74">
        <v>2</v>
      </c>
      <c r="J74">
        <v>22</v>
      </c>
    </row>
    <row r="75" spans="1:10" x14ac:dyDescent="0.25">
      <c r="A75" t="s">
        <v>917</v>
      </c>
      <c r="B75" t="s">
        <v>281</v>
      </c>
      <c r="C75" t="s">
        <v>55</v>
      </c>
      <c r="D75">
        <v>16</v>
      </c>
      <c r="E75">
        <v>0</v>
      </c>
      <c r="F75">
        <v>0</v>
      </c>
      <c r="G75">
        <v>0</v>
      </c>
      <c r="H75">
        <v>1</v>
      </c>
      <c r="I75">
        <v>1</v>
      </c>
      <c r="J75">
        <v>18</v>
      </c>
    </row>
    <row r="76" spans="1:10" x14ac:dyDescent="0.25">
      <c r="A76" t="s">
        <v>1108</v>
      </c>
      <c r="B76" t="s">
        <v>281</v>
      </c>
      <c r="C76" t="s">
        <v>55</v>
      </c>
      <c r="D76">
        <v>16</v>
      </c>
      <c r="E76">
        <v>0</v>
      </c>
      <c r="F76">
        <v>0</v>
      </c>
      <c r="G76">
        <v>0</v>
      </c>
      <c r="H76">
        <v>1</v>
      </c>
      <c r="I76">
        <v>1</v>
      </c>
      <c r="J76">
        <v>18</v>
      </c>
    </row>
    <row r="77" spans="1:10" x14ac:dyDescent="0.25">
      <c r="A77" t="s">
        <v>760</v>
      </c>
      <c r="B77" t="s">
        <v>284</v>
      </c>
      <c r="C77" t="s">
        <v>58</v>
      </c>
      <c r="D77">
        <v>9</v>
      </c>
      <c r="E77">
        <v>0</v>
      </c>
      <c r="F77">
        <v>0</v>
      </c>
      <c r="G77">
        <v>2</v>
      </c>
      <c r="H77">
        <v>2</v>
      </c>
      <c r="I77">
        <v>3</v>
      </c>
      <c r="J77">
        <v>16</v>
      </c>
    </row>
    <row r="78" spans="1:10" x14ac:dyDescent="0.25">
      <c r="A78" t="s">
        <v>917</v>
      </c>
      <c r="B78" t="s">
        <v>284</v>
      </c>
      <c r="C78" t="s">
        <v>58</v>
      </c>
      <c r="D78">
        <v>9</v>
      </c>
      <c r="E78">
        <v>0</v>
      </c>
      <c r="F78">
        <v>0</v>
      </c>
      <c r="G78">
        <v>1</v>
      </c>
      <c r="H78">
        <v>2</v>
      </c>
      <c r="I78">
        <v>3</v>
      </c>
      <c r="J78">
        <v>15</v>
      </c>
    </row>
    <row r="79" spans="1:10" x14ac:dyDescent="0.25">
      <c r="A79" t="s">
        <v>1108</v>
      </c>
      <c r="B79" t="s">
        <v>284</v>
      </c>
      <c r="C79" t="s">
        <v>58</v>
      </c>
      <c r="D79">
        <v>9</v>
      </c>
      <c r="E79">
        <v>0</v>
      </c>
      <c r="F79">
        <v>0</v>
      </c>
      <c r="G79">
        <v>1</v>
      </c>
      <c r="H79">
        <v>2</v>
      </c>
      <c r="I79">
        <v>4</v>
      </c>
      <c r="J79">
        <v>16</v>
      </c>
    </row>
    <row r="80" spans="1:10" x14ac:dyDescent="0.25">
      <c r="A80" t="s">
        <v>917</v>
      </c>
      <c r="B80" t="s">
        <v>290</v>
      </c>
      <c r="C80" t="s">
        <v>59</v>
      </c>
      <c r="D80">
        <v>4</v>
      </c>
      <c r="E80">
        <v>1</v>
      </c>
      <c r="F80">
        <v>1</v>
      </c>
      <c r="G80">
        <v>0</v>
      </c>
      <c r="H80">
        <v>0</v>
      </c>
      <c r="I80">
        <v>1</v>
      </c>
      <c r="J80">
        <v>7</v>
      </c>
    </row>
    <row r="81" spans="1:10" x14ac:dyDescent="0.25">
      <c r="A81" t="s">
        <v>1061</v>
      </c>
      <c r="B81" t="s">
        <v>290</v>
      </c>
      <c r="C81" t="s">
        <v>59</v>
      </c>
      <c r="D81">
        <v>4</v>
      </c>
      <c r="E81">
        <v>1</v>
      </c>
      <c r="F81">
        <v>1</v>
      </c>
      <c r="G81">
        <v>0</v>
      </c>
      <c r="H81">
        <v>0</v>
      </c>
      <c r="I81">
        <v>1</v>
      </c>
      <c r="J81">
        <v>7</v>
      </c>
    </row>
    <row r="82" spans="1:10" x14ac:dyDescent="0.25">
      <c r="A82" t="s">
        <v>1061</v>
      </c>
      <c r="B82" t="s">
        <v>291</v>
      </c>
      <c r="C82" t="s">
        <v>60</v>
      </c>
      <c r="D82">
        <v>8</v>
      </c>
      <c r="E82">
        <v>0</v>
      </c>
      <c r="F82">
        <v>0</v>
      </c>
      <c r="G82">
        <v>1</v>
      </c>
      <c r="H82">
        <v>0</v>
      </c>
      <c r="I82">
        <v>1</v>
      </c>
      <c r="J82">
        <v>10</v>
      </c>
    </row>
    <row r="83" spans="1:10" x14ac:dyDescent="0.25">
      <c r="A83" t="s">
        <v>239</v>
      </c>
      <c r="B83" t="s">
        <v>285</v>
      </c>
      <c r="C83" t="s">
        <v>31</v>
      </c>
      <c r="D83">
        <v>8</v>
      </c>
      <c r="E83">
        <v>2</v>
      </c>
      <c r="F83">
        <v>6</v>
      </c>
      <c r="G83">
        <v>1</v>
      </c>
      <c r="H83">
        <v>0</v>
      </c>
      <c r="I83">
        <v>2</v>
      </c>
      <c r="J83">
        <v>19</v>
      </c>
    </row>
    <row r="84" spans="1:10" x14ac:dyDescent="0.25">
      <c r="A84" t="s">
        <v>760</v>
      </c>
      <c r="B84" t="s">
        <v>292</v>
      </c>
      <c r="C84" t="s">
        <v>33</v>
      </c>
      <c r="D84">
        <v>11</v>
      </c>
      <c r="E84">
        <v>0</v>
      </c>
      <c r="F84">
        <v>1</v>
      </c>
      <c r="G84">
        <v>0</v>
      </c>
      <c r="H84">
        <v>0</v>
      </c>
      <c r="I84">
        <v>1</v>
      </c>
      <c r="J84">
        <v>13</v>
      </c>
    </row>
    <row r="85" spans="1:10" x14ac:dyDescent="0.25">
      <c r="A85" t="s">
        <v>917</v>
      </c>
      <c r="B85" t="s">
        <v>288</v>
      </c>
      <c r="C85" t="s">
        <v>243</v>
      </c>
      <c r="D85">
        <v>19</v>
      </c>
      <c r="E85">
        <v>3</v>
      </c>
      <c r="F85">
        <v>5</v>
      </c>
      <c r="G85">
        <v>2</v>
      </c>
      <c r="H85">
        <v>0</v>
      </c>
      <c r="I85">
        <v>3</v>
      </c>
      <c r="J85">
        <v>32</v>
      </c>
    </row>
    <row r="86" spans="1:10" x14ac:dyDescent="0.25">
      <c r="A86" t="s">
        <v>1010</v>
      </c>
      <c r="B86" t="s">
        <v>288</v>
      </c>
      <c r="C86" t="s">
        <v>243</v>
      </c>
      <c r="D86">
        <v>14</v>
      </c>
      <c r="E86">
        <v>3</v>
      </c>
      <c r="F86">
        <v>4</v>
      </c>
      <c r="G86">
        <v>2</v>
      </c>
      <c r="H86">
        <v>0</v>
      </c>
      <c r="I86">
        <v>4</v>
      </c>
      <c r="J86">
        <v>27</v>
      </c>
    </row>
    <row r="87" spans="1:10" x14ac:dyDescent="0.25">
      <c r="A87" t="s">
        <v>1108</v>
      </c>
      <c r="B87" t="s">
        <v>288</v>
      </c>
      <c r="C87" t="s">
        <v>243</v>
      </c>
      <c r="D87">
        <v>12</v>
      </c>
      <c r="E87">
        <v>2</v>
      </c>
      <c r="F87">
        <v>4</v>
      </c>
      <c r="G87">
        <v>3</v>
      </c>
      <c r="H87">
        <v>0</v>
      </c>
      <c r="I87">
        <v>3</v>
      </c>
      <c r="J87">
        <v>24</v>
      </c>
    </row>
    <row r="88" spans="1:10" x14ac:dyDescent="0.25">
      <c r="A88" t="s">
        <v>760</v>
      </c>
      <c r="B88" t="s">
        <v>266</v>
      </c>
      <c r="C88" t="s">
        <v>35</v>
      </c>
      <c r="D88">
        <v>2</v>
      </c>
      <c r="E88">
        <v>0</v>
      </c>
      <c r="F88">
        <v>0</v>
      </c>
      <c r="G88">
        <v>1</v>
      </c>
      <c r="H88">
        <v>0</v>
      </c>
      <c r="I88">
        <v>1</v>
      </c>
      <c r="J88">
        <v>4</v>
      </c>
    </row>
    <row r="89" spans="1:10" x14ac:dyDescent="0.25">
      <c r="A89" t="s">
        <v>760</v>
      </c>
      <c r="B89" t="s">
        <v>267</v>
      </c>
      <c r="C89" t="s">
        <v>36</v>
      </c>
      <c r="D89">
        <v>21</v>
      </c>
      <c r="E89">
        <v>1</v>
      </c>
      <c r="F89">
        <v>0</v>
      </c>
      <c r="G89">
        <v>3</v>
      </c>
      <c r="H89">
        <v>0</v>
      </c>
      <c r="I89">
        <v>3</v>
      </c>
      <c r="J89">
        <v>28</v>
      </c>
    </row>
    <row r="90" spans="1:10" x14ac:dyDescent="0.25">
      <c r="A90" t="s">
        <v>917</v>
      </c>
      <c r="B90" t="s">
        <v>269</v>
      </c>
      <c r="C90" t="s">
        <v>40</v>
      </c>
      <c r="D90">
        <v>9</v>
      </c>
      <c r="E90">
        <v>0</v>
      </c>
      <c r="F90">
        <v>0</v>
      </c>
      <c r="G90">
        <v>0</v>
      </c>
      <c r="H90">
        <v>0</v>
      </c>
      <c r="I90">
        <v>1</v>
      </c>
      <c r="J90">
        <v>10</v>
      </c>
    </row>
    <row r="91" spans="1:10" x14ac:dyDescent="0.25">
      <c r="A91" t="s">
        <v>1108</v>
      </c>
      <c r="B91" t="s">
        <v>269</v>
      </c>
      <c r="C91" t="s">
        <v>40</v>
      </c>
      <c r="D91">
        <v>8</v>
      </c>
      <c r="E91">
        <v>0</v>
      </c>
      <c r="F91">
        <v>0</v>
      </c>
      <c r="G91">
        <v>0</v>
      </c>
      <c r="H91">
        <v>0</v>
      </c>
      <c r="I91">
        <v>0</v>
      </c>
      <c r="J91">
        <v>8</v>
      </c>
    </row>
    <row r="92" spans="1:10" x14ac:dyDescent="0.25">
      <c r="A92" t="s">
        <v>760</v>
      </c>
      <c r="B92" t="s">
        <v>272</v>
      </c>
      <c r="C92" t="s">
        <v>42</v>
      </c>
      <c r="D92">
        <v>9</v>
      </c>
      <c r="E92">
        <v>2</v>
      </c>
      <c r="F92">
        <v>2</v>
      </c>
      <c r="G92">
        <v>0</v>
      </c>
      <c r="H92">
        <v>0</v>
      </c>
      <c r="I92">
        <v>5</v>
      </c>
      <c r="J92">
        <v>18</v>
      </c>
    </row>
    <row r="93" spans="1:10" x14ac:dyDescent="0.25">
      <c r="A93" t="s">
        <v>760</v>
      </c>
      <c r="B93" t="s">
        <v>297</v>
      </c>
      <c r="C93" t="s">
        <v>43</v>
      </c>
      <c r="D93">
        <v>19</v>
      </c>
      <c r="E93">
        <v>2</v>
      </c>
      <c r="F93">
        <v>2</v>
      </c>
      <c r="G93">
        <v>2</v>
      </c>
      <c r="H93">
        <v>0</v>
      </c>
      <c r="I93">
        <v>5</v>
      </c>
      <c r="J93">
        <v>30</v>
      </c>
    </row>
    <row r="94" spans="1:10" x14ac:dyDescent="0.25">
      <c r="A94" t="s">
        <v>917</v>
      </c>
      <c r="B94" t="s">
        <v>297</v>
      </c>
      <c r="C94" t="s">
        <v>43</v>
      </c>
      <c r="D94">
        <v>20</v>
      </c>
      <c r="E94">
        <v>2</v>
      </c>
      <c r="F94">
        <v>2</v>
      </c>
      <c r="G94">
        <v>2</v>
      </c>
      <c r="H94">
        <v>0</v>
      </c>
      <c r="I94">
        <v>4</v>
      </c>
      <c r="J94">
        <v>30</v>
      </c>
    </row>
    <row r="95" spans="1:10" x14ac:dyDescent="0.25">
      <c r="A95" t="s">
        <v>1010</v>
      </c>
      <c r="B95" t="s">
        <v>297</v>
      </c>
      <c r="C95" t="s">
        <v>43</v>
      </c>
      <c r="D95">
        <v>21</v>
      </c>
      <c r="E95">
        <v>2</v>
      </c>
      <c r="F95">
        <v>0</v>
      </c>
      <c r="G95">
        <v>2</v>
      </c>
      <c r="H95">
        <v>0</v>
      </c>
      <c r="I95">
        <v>6</v>
      </c>
      <c r="J95">
        <v>31</v>
      </c>
    </row>
    <row r="96" spans="1:10" x14ac:dyDescent="0.25">
      <c r="A96" t="s">
        <v>1108</v>
      </c>
      <c r="B96" t="s">
        <v>297</v>
      </c>
      <c r="C96" t="s">
        <v>43</v>
      </c>
      <c r="D96">
        <v>18</v>
      </c>
      <c r="E96">
        <v>1</v>
      </c>
      <c r="F96">
        <v>0</v>
      </c>
      <c r="G96">
        <v>2</v>
      </c>
      <c r="H96">
        <v>0</v>
      </c>
      <c r="I96">
        <v>5</v>
      </c>
      <c r="J96">
        <v>26</v>
      </c>
    </row>
    <row r="97" spans="1:10" x14ac:dyDescent="0.25">
      <c r="A97" t="s">
        <v>1010</v>
      </c>
      <c r="B97" t="s">
        <v>276</v>
      </c>
      <c r="C97" t="s">
        <v>47</v>
      </c>
      <c r="D97">
        <v>13</v>
      </c>
      <c r="E97">
        <v>0</v>
      </c>
      <c r="F97">
        <v>1</v>
      </c>
      <c r="G97">
        <v>1</v>
      </c>
      <c r="H97">
        <v>2</v>
      </c>
      <c r="I97">
        <v>4</v>
      </c>
      <c r="J97">
        <v>21</v>
      </c>
    </row>
    <row r="98" spans="1:10" x14ac:dyDescent="0.25">
      <c r="A98" t="s">
        <v>1108</v>
      </c>
      <c r="B98" t="s">
        <v>276</v>
      </c>
      <c r="C98" t="s">
        <v>47</v>
      </c>
      <c r="D98">
        <v>13</v>
      </c>
      <c r="E98">
        <v>0</v>
      </c>
      <c r="F98">
        <v>1</v>
      </c>
      <c r="G98">
        <v>1</v>
      </c>
      <c r="H98">
        <v>2</v>
      </c>
      <c r="I98">
        <v>3</v>
      </c>
      <c r="J98">
        <v>20</v>
      </c>
    </row>
    <row r="99" spans="1:10" x14ac:dyDescent="0.25">
      <c r="A99" t="s">
        <v>917</v>
      </c>
      <c r="B99" t="s">
        <v>277</v>
      </c>
      <c r="C99" t="s">
        <v>49</v>
      </c>
      <c r="D99">
        <v>17</v>
      </c>
      <c r="E99">
        <v>0</v>
      </c>
      <c r="F99">
        <v>1</v>
      </c>
      <c r="G99">
        <v>0</v>
      </c>
      <c r="H99">
        <v>1</v>
      </c>
      <c r="I99">
        <v>2</v>
      </c>
      <c r="J99">
        <v>21</v>
      </c>
    </row>
    <row r="100" spans="1:10" x14ac:dyDescent="0.25">
      <c r="A100" t="s">
        <v>1108</v>
      </c>
      <c r="B100" t="s">
        <v>277</v>
      </c>
      <c r="C100" t="s">
        <v>49</v>
      </c>
      <c r="D100">
        <v>16</v>
      </c>
      <c r="E100">
        <v>0</v>
      </c>
      <c r="F100">
        <v>0</v>
      </c>
      <c r="G100">
        <v>0</v>
      </c>
      <c r="H100">
        <v>1</v>
      </c>
      <c r="I100">
        <v>2</v>
      </c>
      <c r="J100">
        <v>19</v>
      </c>
    </row>
    <row r="101" spans="1:10" x14ac:dyDescent="0.25">
      <c r="A101" t="s">
        <v>1061</v>
      </c>
      <c r="B101" t="s">
        <v>922</v>
      </c>
      <c r="C101" t="s">
        <v>50</v>
      </c>
      <c r="D101">
        <v>8</v>
      </c>
      <c r="E101">
        <v>2</v>
      </c>
      <c r="F101">
        <v>2</v>
      </c>
      <c r="G101">
        <v>1</v>
      </c>
      <c r="H101">
        <v>0</v>
      </c>
      <c r="I101">
        <v>4</v>
      </c>
      <c r="J101">
        <v>17</v>
      </c>
    </row>
    <row r="102" spans="1:10" x14ac:dyDescent="0.25">
      <c r="A102" t="s">
        <v>239</v>
      </c>
      <c r="B102" t="s">
        <v>278</v>
      </c>
      <c r="C102" t="s">
        <v>51</v>
      </c>
      <c r="D102">
        <v>14</v>
      </c>
      <c r="E102">
        <v>0</v>
      </c>
      <c r="F102">
        <v>0</v>
      </c>
      <c r="G102">
        <v>0</v>
      </c>
      <c r="H102">
        <v>1</v>
      </c>
      <c r="I102">
        <v>0</v>
      </c>
      <c r="J102">
        <v>15</v>
      </c>
    </row>
    <row r="103" spans="1:10" x14ac:dyDescent="0.25">
      <c r="A103" t="s">
        <v>239</v>
      </c>
      <c r="B103" t="s">
        <v>289</v>
      </c>
      <c r="C103" t="s">
        <v>53</v>
      </c>
      <c r="D103">
        <v>4</v>
      </c>
      <c r="E103">
        <v>2</v>
      </c>
      <c r="F103">
        <v>0</v>
      </c>
      <c r="G103">
        <v>0</v>
      </c>
      <c r="H103">
        <v>0</v>
      </c>
      <c r="I103">
        <v>4</v>
      </c>
      <c r="J103">
        <v>10</v>
      </c>
    </row>
    <row r="104" spans="1:10" x14ac:dyDescent="0.25">
      <c r="A104" t="s">
        <v>1010</v>
      </c>
      <c r="B104" t="s">
        <v>282</v>
      </c>
      <c r="C104" t="s">
        <v>56</v>
      </c>
      <c r="D104">
        <v>7</v>
      </c>
      <c r="E104">
        <v>1</v>
      </c>
      <c r="F104">
        <v>0</v>
      </c>
      <c r="G104">
        <v>1</v>
      </c>
      <c r="H104">
        <v>0</v>
      </c>
      <c r="I104">
        <v>0</v>
      </c>
      <c r="J104">
        <v>9</v>
      </c>
    </row>
    <row r="105" spans="1:10" x14ac:dyDescent="0.25">
      <c r="A105" t="s">
        <v>1108</v>
      </c>
      <c r="B105" t="s">
        <v>282</v>
      </c>
      <c r="C105" t="s">
        <v>56</v>
      </c>
      <c r="D105">
        <v>8</v>
      </c>
      <c r="E105">
        <v>0</v>
      </c>
      <c r="F105">
        <v>0</v>
      </c>
      <c r="G105">
        <v>1</v>
      </c>
      <c r="H105">
        <v>0</v>
      </c>
      <c r="I105">
        <v>0</v>
      </c>
      <c r="J105">
        <v>9</v>
      </c>
    </row>
    <row r="106" spans="1:10" x14ac:dyDescent="0.25">
      <c r="A106" t="s">
        <v>917</v>
      </c>
      <c r="B106" t="s">
        <v>283</v>
      </c>
      <c r="C106" t="s">
        <v>57</v>
      </c>
      <c r="D106">
        <v>15</v>
      </c>
      <c r="E106">
        <v>1</v>
      </c>
      <c r="F106">
        <v>1</v>
      </c>
      <c r="G106">
        <v>2</v>
      </c>
      <c r="H106">
        <v>0</v>
      </c>
      <c r="I106">
        <v>5</v>
      </c>
      <c r="J106">
        <v>24</v>
      </c>
    </row>
    <row r="107" spans="1:10" x14ac:dyDescent="0.25">
      <c r="A107" t="s">
        <v>1061</v>
      </c>
      <c r="B107" t="s">
        <v>283</v>
      </c>
      <c r="C107" t="s">
        <v>57</v>
      </c>
      <c r="D107">
        <v>15</v>
      </c>
      <c r="E107">
        <v>1</v>
      </c>
      <c r="F107">
        <v>1</v>
      </c>
      <c r="G107">
        <v>2</v>
      </c>
      <c r="H107">
        <v>0</v>
      </c>
      <c r="I107">
        <v>5</v>
      </c>
      <c r="J107">
        <v>24</v>
      </c>
    </row>
    <row r="108" spans="1:10" x14ac:dyDescent="0.25">
      <c r="A108" t="s">
        <v>239</v>
      </c>
      <c r="B108" t="s">
        <v>291</v>
      </c>
      <c r="C108" t="s">
        <v>60</v>
      </c>
      <c r="D108">
        <v>8</v>
      </c>
      <c r="E108">
        <v>0</v>
      </c>
      <c r="F108">
        <v>1</v>
      </c>
      <c r="G108">
        <v>2</v>
      </c>
      <c r="H108">
        <v>0</v>
      </c>
      <c r="I108">
        <v>1</v>
      </c>
      <c r="J108">
        <v>12</v>
      </c>
    </row>
    <row r="109" spans="1:10" x14ac:dyDescent="0.25">
      <c r="A109" t="s">
        <v>1108</v>
      </c>
      <c r="B109" t="s">
        <v>285</v>
      </c>
      <c r="C109" t="s">
        <v>31</v>
      </c>
      <c r="D109">
        <v>7</v>
      </c>
      <c r="E109">
        <v>1</v>
      </c>
      <c r="F109">
        <v>3</v>
      </c>
      <c r="G109">
        <v>2</v>
      </c>
      <c r="H109">
        <v>0</v>
      </c>
      <c r="I109">
        <v>4</v>
      </c>
      <c r="J109">
        <v>17</v>
      </c>
    </row>
    <row r="110" spans="1:10" x14ac:dyDescent="0.25">
      <c r="A110" t="s">
        <v>239</v>
      </c>
      <c r="B110" t="s">
        <v>292</v>
      </c>
      <c r="C110" t="s">
        <v>33</v>
      </c>
      <c r="D110">
        <v>11</v>
      </c>
      <c r="E110">
        <v>0</v>
      </c>
      <c r="F110">
        <v>1</v>
      </c>
      <c r="G110">
        <v>0</v>
      </c>
      <c r="H110">
        <v>0</v>
      </c>
      <c r="I110">
        <v>1</v>
      </c>
      <c r="J110">
        <v>13</v>
      </c>
    </row>
    <row r="111" spans="1:10" x14ac:dyDescent="0.25">
      <c r="A111" t="s">
        <v>760</v>
      </c>
      <c r="B111" t="s">
        <v>287</v>
      </c>
      <c r="C111" t="s">
        <v>34</v>
      </c>
      <c r="D111">
        <v>24</v>
      </c>
      <c r="E111">
        <v>1</v>
      </c>
      <c r="F111">
        <v>0</v>
      </c>
      <c r="G111">
        <v>1</v>
      </c>
      <c r="H111">
        <v>17</v>
      </c>
      <c r="I111">
        <v>4</v>
      </c>
      <c r="J111">
        <v>47</v>
      </c>
    </row>
    <row r="112" spans="1:10" x14ac:dyDescent="0.25">
      <c r="A112" t="s">
        <v>760</v>
      </c>
      <c r="B112" t="s">
        <v>288</v>
      </c>
      <c r="C112" t="s">
        <v>243</v>
      </c>
      <c r="D112">
        <v>12</v>
      </c>
      <c r="E112">
        <v>3</v>
      </c>
      <c r="F112">
        <v>5</v>
      </c>
      <c r="G112">
        <v>2</v>
      </c>
      <c r="H112">
        <v>0</v>
      </c>
      <c r="I112">
        <v>3</v>
      </c>
      <c r="J112">
        <v>25</v>
      </c>
    </row>
    <row r="113" spans="1:10" x14ac:dyDescent="0.25">
      <c r="A113" t="s">
        <v>1061</v>
      </c>
      <c r="B113" t="s">
        <v>288</v>
      </c>
      <c r="C113" t="s">
        <v>243</v>
      </c>
      <c r="D113">
        <v>12</v>
      </c>
      <c r="E113">
        <v>3</v>
      </c>
      <c r="F113">
        <v>4</v>
      </c>
      <c r="G113">
        <v>3</v>
      </c>
      <c r="H113">
        <v>0</v>
      </c>
      <c r="I113">
        <v>4</v>
      </c>
      <c r="J113">
        <v>26</v>
      </c>
    </row>
    <row r="114" spans="1:10" x14ac:dyDescent="0.25">
      <c r="A114" t="s">
        <v>1108</v>
      </c>
      <c r="B114" t="s">
        <v>267</v>
      </c>
      <c r="C114" t="s">
        <v>36</v>
      </c>
      <c r="D114">
        <v>21</v>
      </c>
      <c r="E114">
        <v>1</v>
      </c>
      <c r="F114">
        <v>0</v>
      </c>
      <c r="G114">
        <v>3</v>
      </c>
      <c r="H114">
        <v>0</v>
      </c>
      <c r="I114">
        <v>3</v>
      </c>
      <c r="J114">
        <v>28</v>
      </c>
    </row>
    <row r="115" spans="1:10" x14ac:dyDescent="0.25">
      <c r="A115" t="s">
        <v>239</v>
      </c>
      <c r="B115" t="s">
        <v>293</v>
      </c>
      <c r="C115" t="s">
        <v>37</v>
      </c>
      <c r="D115">
        <v>7</v>
      </c>
      <c r="E115">
        <v>2</v>
      </c>
      <c r="F115">
        <v>8</v>
      </c>
      <c r="G115">
        <v>1</v>
      </c>
      <c r="H115">
        <v>0</v>
      </c>
      <c r="I115">
        <v>2</v>
      </c>
      <c r="J115">
        <v>20</v>
      </c>
    </row>
    <row r="116" spans="1:10" x14ac:dyDescent="0.25">
      <c r="A116" t="s">
        <v>1108</v>
      </c>
      <c r="B116" t="s">
        <v>293</v>
      </c>
      <c r="C116" t="s">
        <v>37</v>
      </c>
      <c r="D116">
        <v>7</v>
      </c>
      <c r="E116">
        <v>1</v>
      </c>
      <c r="F116">
        <v>2</v>
      </c>
      <c r="G116">
        <v>1</v>
      </c>
      <c r="H116">
        <v>0</v>
      </c>
      <c r="I116">
        <v>7</v>
      </c>
      <c r="J116">
        <v>18</v>
      </c>
    </row>
    <row r="117" spans="1:10" x14ac:dyDescent="0.25">
      <c r="A117" t="s">
        <v>1010</v>
      </c>
      <c r="B117" t="s">
        <v>295</v>
      </c>
      <c r="C117" t="s">
        <v>39</v>
      </c>
      <c r="D117">
        <v>3</v>
      </c>
      <c r="E117">
        <v>0</v>
      </c>
      <c r="F117">
        <v>2</v>
      </c>
      <c r="G117">
        <v>0</v>
      </c>
      <c r="H117">
        <v>0</v>
      </c>
      <c r="I117">
        <v>0</v>
      </c>
      <c r="J117">
        <v>5</v>
      </c>
    </row>
    <row r="118" spans="1:10" x14ac:dyDescent="0.25">
      <c r="A118" t="s">
        <v>239</v>
      </c>
      <c r="B118" t="s">
        <v>269</v>
      </c>
      <c r="C118" t="s">
        <v>40</v>
      </c>
      <c r="D118">
        <v>9</v>
      </c>
      <c r="E118">
        <v>0</v>
      </c>
      <c r="F118">
        <v>0</v>
      </c>
      <c r="G118">
        <v>0</v>
      </c>
      <c r="H118">
        <v>0</v>
      </c>
      <c r="I118">
        <v>0</v>
      </c>
      <c r="J118">
        <v>9</v>
      </c>
    </row>
    <row r="119" spans="1:10" x14ac:dyDescent="0.25">
      <c r="A119" t="s">
        <v>1061</v>
      </c>
      <c r="B119" t="s">
        <v>297</v>
      </c>
      <c r="C119" t="s">
        <v>43</v>
      </c>
      <c r="D119">
        <v>20</v>
      </c>
      <c r="E119">
        <v>2</v>
      </c>
      <c r="F119">
        <v>0</v>
      </c>
      <c r="G119">
        <v>2</v>
      </c>
      <c r="H119">
        <v>0</v>
      </c>
      <c r="I119">
        <v>6</v>
      </c>
      <c r="J119">
        <v>30</v>
      </c>
    </row>
    <row r="120" spans="1:10" x14ac:dyDescent="0.25">
      <c r="A120" t="s">
        <v>239</v>
      </c>
      <c r="B120" t="s">
        <v>921</v>
      </c>
      <c r="C120" t="s">
        <v>117</v>
      </c>
      <c r="D120">
        <v>18</v>
      </c>
      <c r="E120">
        <v>4</v>
      </c>
      <c r="F120">
        <v>0</v>
      </c>
      <c r="G120">
        <v>3</v>
      </c>
      <c r="H120">
        <v>0</v>
      </c>
      <c r="I120">
        <v>3</v>
      </c>
      <c r="J120">
        <v>28</v>
      </c>
    </row>
    <row r="121" spans="1:10" x14ac:dyDescent="0.25">
      <c r="A121" t="s">
        <v>917</v>
      </c>
      <c r="B121" t="s">
        <v>921</v>
      </c>
      <c r="C121" t="s">
        <v>117</v>
      </c>
      <c r="D121">
        <v>29</v>
      </c>
      <c r="E121">
        <v>3</v>
      </c>
      <c r="F121">
        <v>0</v>
      </c>
      <c r="G121">
        <v>3</v>
      </c>
      <c r="H121">
        <v>0</v>
      </c>
      <c r="I121">
        <v>4</v>
      </c>
      <c r="J121">
        <v>39</v>
      </c>
    </row>
    <row r="122" spans="1:10" x14ac:dyDescent="0.25">
      <c r="A122" t="s">
        <v>239</v>
      </c>
      <c r="B122" t="s">
        <v>274</v>
      </c>
      <c r="C122" t="s">
        <v>45</v>
      </c>
      <c r="D122">
        <v>7</v>
      </c>
      <c r="E122">
        <v>1</v>
      </c>
      <c r="F122">
        <v>0</v>
      </c>
      <c r="G122">
        <v>0</v>
      </c>
      <c r="H122">
        <v>0</v>
      </c>
      <c r="I122">
        <v>0</v>
      </c>
      <c r="J122">
        <v>8</v>
      </c>
    </row>
    <row r="123" spans="1:10" x14ac:dyDescent="0.25">
      <c r="A123" t="s">
        <v>1061</v>
      </c>
      <c r="B123" t="s">
        <v>275</v>
      </c>
      <c r="C123" t="s">
        <v>46</v>
      </c>
      <c r="D123">
        <v>2</v>
      </c>
      <c r="E123">
        <v>0</v>
      </c>
      <c r="F123">
        <v>0</v>
      </c>
      <c r="G123">
        <v>0</v>
      </c>
      <c r="H123">
        <v>0</v>
      </c>
      <c r="I123">
        <v>1</v>
      </c>
      <c r="J123">
        <v>3</v>
      </c>
    </row>
    <row r="124" spans="1:10" x14ac:dyDescent="0.25">
      <c r="A124" t="s">
        <v>1061</v>
      </c>
      <c r="B124" t="s">
        <v>277</v>
      </c>
      <c r="C124" t="s">
        <v>49</v>
      </c>
      <c r="D124">
        <v>16</v>
      </c>
      <c r="E124">
        <v>0</v>
      </c>
      <c r="F124">
        <v>1</v>
      </c>
      <c r="G124">
        <v>0</v>
      </c>
      <c r="H124">
        <v>1</v>
      </c>
      <c r="I124">
        <v>2</v>
      </c>
      <c r="J124">
        <v>20</v>
      </c>
    </row>
    <row r="125" spans="1:10" x14ac:dyDescent="0.25">
      <c r="A125" t="s">
        <v>760</v>
      </c>
      <c r="B125" t="s">
        <v>922</v>
      </c>
      <c r="C125" t="s">
        <v>50</v>
      </c>
      <c r="D125">
        <v>8</v>
      </c>
      <c r="E125">
        <v>1</v>
      </c>
      <c r="F125">
        <v>2</v>
      </c>
      <c r="G125">
        <v>1</v>
      </c>
      <c r="H125">
        <v>0</v>
      </c>
      <c r="I125">
        <v>3</v>
      </c>
      <c r="J125">
        <v>15</v>
      </c>
    </row>
    <row r="126" spans="1:10" x14ac:dyDescent="0.25">
      <c r="A126" t="s">
        <v>917</v>
      </c>
      <c r="B126" t="s">
        <v>922</v>
      </c>
      <c r="C126" t="s">
        <v>50</v>
      </c>
      <c r="D126">
        <v>8</v>
      </c>
      <c r="E126">
        <v>2</v>
      </c>
      <c r="F126">
        <v>2</v>
      </c>
      <c r="G126">
        <v>1</v>
      </c>
      <c r="H126">
        <v>0</v>
      </c>
      <c r="I126">
        <v>3</v>
      </c>
      <c r="J126">
        <v>16</v>
      </c>
    </row>
    <row r="127" spans="1:10" x14ac:dyDescent="0.25">
      <c r="A127" t="s">
        <v>1108</v>
      </c>
      <c r="B127" t="s">
        <v>945</v>
      </c>
      <c r="C127" t="s">
        <v>52</v>
      </c>
      <c r="D127">
        <v>15</v>
      </c>
      <c r="E127">
        <v>1</v>
      </c>
      <c r="F127">
        <v>0</v>
      </c>
      <c r="G127">
        <v>1</v>
      </c>
      <c r="H127">
        <v>3</v>
      </c>
      <c r="I127">
        <v>1</v>
      </c>
      <c r="J127">
        <v>21</v>
      </c>
    </row>
    <row r="128" spans="1:10" x14ac:dyDescent="0.25">
      <c r="A128" t="s">
        <v>760</v>
      </c>
      <c r="B128" t="s">
        <v>289</v>
      </c>
      <c r="C128" t="s">
        <v>53</v>
      </c>
      <c r="D128">
        <v>4</v>
      </c>
      <c r="E128">
        <v>2</v>
      </c>
      <c r="F128">
        <v>0</v>
      </c>
      <c r="G128">
        <v>0</v>
      </c>
      <c r="H128">
        <v>0</v>
      </c>
      <c r="I128">
        <v>3</v>
      </c>
      <c r="J128">
        <v>9</v>
      </c>
    </row>
    <row r="129" spans="1:10" x14ac:dyDescent="0.25">
      <c r="A129" t="s">
        <v>239</v>
      </c>
      <c r="B129" t="s">
        <v>281</v>
      </c>
      <c r="C129" t="s">
        <v>55</v>
      </c>
      <c r="D129">
        <v>16</v>
      </c>
      <c r="E129">
        <v>0</v>
      </c>
      <c r="F129">
        <v>0</v>
      </c>
      <c r="G129">
        <v>0</v>
      </c>
      <c r="H129">
        <v>1</v>
      </c>
      <c r="I129">
        <v>1</v>
      </c>
      <c r="J129">
        <v>18</v>
      </c>
    </row>
    <row r="130" spans="1:10" x14ac:dyDescent="0.25">
      <c r="A130" t="s">
        <v>1010</v>
      </c>
      <c r="B130" t="s">
        <v>283</v>
      </c>
      <c r="C130" t="s">
        <v>57</v>
      </c>
      <c r="D130">
        <v>14</v>
      </c>
      <c r="E130">
        <v>1</v>
      </c>
      <c r="F130">
        <v>1</v>
      </c>
      <c r="G130">
        <v>2</v>
      </c>
      <c r="H130">
        <v>0</v>
      </c>
      <c r="I130">
        <v>6</v>
      </c>
      <c r="J130">
        <v>24</v>
      </c>
    </row>
    <row r="131" spans="1:10" x14ac:dyDescent="0.25">
      <c r="A131" t="s">
        <v>1010</v>
      </c>
      <c r="B131" t="s">
        <v>284</v>
      </c>
      <c r="C131" t="s">
        <v>58</v>
      </c>
      <c r="D131">
        <v>9</v>
      </c>
      <c r="E131">
        <v>0</v>
      </c>
      <c r="F131">
        <v>0</v>
      </c>
      <c r="G131">
        <v>1</v>
      </c>
      <c r="H131">
        <v>2</v>
      </c>
      <c r="I131">
        <v>3</v>
      </c>
      <c r="J131">
        <v>15</v>
      </c>
    </row>
    <row r="132" spans="1:10" x14ac:dyDescent="0.25">
      <c r="A132" t="s">
        <v>917</v>
      </c>
      <c r="B132" t="s">
        <v>291</v>
      </c>
      <c r="C132" t="s">
        <v>60</v>
      </c>
      <c r="D132">
        <v>9</v>
      </c>
      <c r="E132">
        <v>0</v>
      </c>
      <c r="F132">
        <v>0</v>
      </c>
      <c r="G132">
        <v>1</v>
      </c>
      <c r="H132">
        <v>0</v>
      </c>
      <c r="I132">
        <v>1</v>
      </c>
      <c r="J132">
        <v>11</v>
      </c>
    </row>
    <row r="133" spans="1:10" x14ac:dyDescent="0.25">
      <c r="A133" t="s">
        <v>1010</v>
      </c>
      <c r="B133" t="s">
        <v>291</v>
      </c>
      <c r="C133" t="s">
        <v>60</v>
      </c>
      <c r="D133">
        <v>8</v>
      </c>
      <c r="E133">
        <v>0</v>
      </c>
      <c r="F133">
        <v>0</v>
      </c>
      <c r="G133">
        <v>1</v>
      </c>
      <c r="H133">
        <v>0</v>
      </c>
      <c r="I133">
        <v>1</v>
      </c>
      <c r="J133">
        <v>10</v>
      </c>
    </row>
    <row r="134" spans="1:10" x14ac:dyDescent="0.25">
      <c r="A134" t="s">
        <v>760</v>
      </c>
      <c r="B134" t="s">
        <v>285</v>
      </c>
      <c r="C134" t="s">
        <v>31</v>
      </c>
      <c r="D134">
        <v>9</v>
      </c>
      <c r="E134">
        <v>1</v>
      </c>
      <c r="F134">
        <v>6</v>
      </c>
      <c r="G134">
        <v>1</v>
      </c>
      <c r="H134">
        <v>0</v>
      </c>
      <c r="I134">
        <v>4</v>
      </c>
      <c r="J134">
        <v>21</v>
      </c>
    </row>
    <row r="135" spans="1:10" x14ac:dyDescent="0.25">
      <c r="A135" t="s">
        <v>917</v>
      </c>
      <c r="B135" t="s">
        <v>286</v>
      </c>
      <c r="C135" t="s">
        <v>32</v>
      </c>
      <c r="D135">
        <v>31</v>
      </c>
      <c r="E135">
        <v>0</v>
      </c>
      <c r="F135">
        <v>1</v>
      </c>
      <c r="G135">
        <v>0</v>
      </c>
      <c r="H135">
        <v>0</v>
      </c>
      <c r="I135">
        <v>4</v>
      </c>
      <c r="J135">
        <v>36</v>
      </c>
    </row>
    <row r="136" spans="1:10" x14ac:dyDescent="0.25">
      <c r="A136" t="s">
        <v>1108</v>
      </c>
      <c r="B136" t="s">
        <v>286</v>
      </c>
      <c r="C136" t="s">
        <v>32</v>
      </c>
      <c r="D136">
        <v>31</v>
      </c>
      <c r="E136">
        <v>0</v>
      </c>
      <c r="F136">
        <v>1</v>
      </c>
      <c r="G136">
        <v>0</v>
      </c>
      <c r="H136">
        <v>0</v>
      </c>
      <c r="I136">
        <v>3</v>
      </c>
      <c r="J136">
        <v>35</v>
      </c>
    </row>
    <row r="137" spans="1:10" x14ac:dyDescent="0.25">
      <c r="A137" t="s">
        <v>239</v>
      </c>
      <c r="B137" t="s">
        <v>287</v>
      </c>
      <c r="C137" t="s">
        <v>34</v>
      </c>
      <c r="D137">
        <v>25</v>
      </c>
      <c r="E137">
        <v>1</v>
      </c>
      <c r="F137">
        <v>0</v>
      </c>
      <c r="G137">
        <v>1</v>
      </c>
      <c r="H137">
        <v>20</v>
      </c>
      <c r="I137">
        <v>4</v>
      </c>
      <c r="J137">
        <v>51</v>
      </c>
    </row>
    <row r="138" spans="1:10" x14ac:dyDescent="0.25">
      <c r="A138" t="s">
        <v>917</v>
      </c>
      <c r="B138" t="s">
        <v>287</v>
      </c>
      <c r="C138" t="s">
        <v>34</v>
      </c>
      <c r="D138">
        <v>25</v>
      </c>
      <c r="E138">
        <v>1</v>
      </c>
      <c r="F138">
        <v>0</v>
      </c>
      <c r="G138">
        <v>1</v>
      </c>
      <c r="H138">
        <v>17</v>
      </c>
      <c r="I138">
        <v>4</v>
      </c>
      <c r="J138">
        <v>48</v>
      </c>
    </row>
    <row r="139" spans="1:10" x14ac:dyDescent="0.25">
      <c r="A139" t="s">
        <v>1108</v>
      </c>
      <c r="B139" t="s">
        <v>287</v>
      </c>
      <c r="C139" t="s">
        <v>34</v>
      </c>
      <c r="D139">
        <v>26</v>
      </c>
      <c r="E139">
        <v>1</v>
      </c>
      <c r="F139">
        <v>0</v>
      </c>
      <c r="G139">
        <v>1</v>
      </c>
      <c r="H139">
        <v>17</v>
      </c>
      <c r="I139">
        <v>4</v>
      </c>
      <c r="J139">
        <v>49</v>
      </c>
    </row>
    <row r="140" spans="1:10" x14ac:dyDescent="0.25">
      <c r="A140" t="s">
        <v>239</v>
      </c>
      <c r="B140" t="s">
        <v>288</v>
      </c>
      <c r="C140" t="s">
        <v>243</v>
      </c>
      <c r="D140">
        <v>12</v>
      </c>
      <c r="E140">
        <v>4</v>
      </c>
      <c r="F140">
        <v>6</v>
      </c>
      <c r="G140">
        <v>2</v>
      </c>
      <c r="H140">
        <v>0</v>
      </c>
      <c r="I140">
        <v>1</v>
      </c>
      <c r="J140">
        <v>25</v>
      </c>
    </row>
    <row r="141" spans="1:10" x14ac:dyDescent="0.25">
      <c r="A141" t="s">
        <v>917</v>
      </c>
      <c r="B141" t="s">
        <v>266</v>
      </c>
      <c r="C141" t="s">
        <v>35</v>
      </c>
      <c r="D141">
        <v>3</v>
      </c>
      <c r="E141">
        <v>0</v>
      </c>
      <c r="F141">
        <v>0</v>
      </c>
      <c r="G141">
        <v>1</v>
      </c>
      <c r="H141">
        <v>0</v>
      </c>
      <c r="I141">
        <v>1</v>
      </c>
      <c r="J141">
        <v>5</v>
      </c>
    </row>
    <row r="142" spans="1:10" x14ac:dyDescent="0.25">
      <c r="A142" t="s">
        <v>1108</v>
      </c>
      <c r="B142" t="s">
        <v>266</v>
      </c>
      <c r="C142" t="s">
        <v>35</v>
      </c>
      <c r="D142">
        <v>3</v>
      </c>
      <c r="E142">
        <v>0</v>
      </c>
      <c r="F142">
        <v>0</v>
      </c>
      <c r="G142">
        <v>0</v>
      </c>
      <c r="H142">
        <v>0</v>
      </c>
      <c r="I142">
        <v>1</v>
      </c>
      <c r="J142">
        <v>4</v>
      </c>
    </row>
    <row r="143" spans="1:10" x14ac:dyDescent="0.25">
      <c r="A143" t="s">
        <v>760</v>
      </c>
      <c r="B143" t="s">
        <v>293</v>
      </c>
      <c r="C143" t="s">
        <v>37</v>
      </c>
      <c r="D143">
        <v>7</v>
      </c>
      <c r="E143">
        <v>2</v>
      </c>
      <c r="F143">
        <v>7</v>
      </c>
      <c r="G143">
        <v>1</v>
      </c>
      <c r="H143">
        <v>0</v>
      </c>
      <c r="I143">
        <v>2</v>
      </c>
      <c r="J143">
        <v>19</v>
      </c>
    </row>
    <row r="144" spans="1:10" x14ac:dyDescent="0.25">
      <c r="A144" t="s">
        <v>760</v>
      </c>
      <c r="B144" t="s">
        <v>295</v>
      </c>
      <c r="C144" t="s">
        <v>39</v>
      </c>
      <c r="D144">
        <v>3</v>
      </c>
      <c r="E144">
        <v>0</v>
      </c>
      <c r="F144">
        <v>2</v>
      </c>
      <c r="G144">
        <v>0</v>
      </c>
      <c r="H144">
        <v>0</v>
      </c>
      <c r="I144">
        <v>0</v>
      </c>
      <c r="J144">
        <v>5</v>
      </c>
    </row>
    <row r="145" spans="1:10" x14ac:dyDescent="0.25">
      <c r="A145" t="s">
        <v>760</v>
      </c>
      <c r="B145" t="s">
        <v>269</v>
      </c>
      <c r="C145" t="s">
        <v>40</v>
      </c>
      <c r="D145">
        <v>9</v>
      </c>
      <c r="E145">
        <v>0</v>
      </c>
      <c r="F145">
        <v>0</v>
      </c>
      <c r="G145">
        <v>0</v>
      </c>
      <c r="H145">
        <v>0</v>
      </c>
      <c r="I145">
        <v>1</v>
      </c>
      <c r="J145">
        <v>10</v>
      </c>
    </row>
    <row r="146" spans="1:10" x14ac:dyDescent="0.25">
      <c r="A146" t="s">
        <v>1010</v>
      </c>
      <c r="B146" t="s">
        <v>270</v>
      </c>
      <c r="C146" t="s">
        <v>41</v>
      </c>
      <c r="D146">
        <v>2</v>
      </c>
      <c r="E146">
        <v>0</v>
      </c>
      <c r="F146">
        <v>0</v>
      </c>
      <c r="G146">
        <v>0</v>
      </c>
      <c r="H146">
        <v>0</v>
      </c>
      <c r="I146">
        <v>1</v>
      </c>
      <c r="J146">
        <v>3</v>
      </c>
    </row>
    <row r="147" spans="1:10" x14ac:dyDescent="0.25">
      <c r="A147" t="s">
        <v>1108</v>
      </c>
      <c r="B147" t="s">
        <v>270</v>
      </c>
      <c r="C147" t="s">
        <v>41</v>
      </c>
      <c r="D147">
        <v>2</v>
      </c>
      <c r="E147">
        <v>0</v>
      </c>
      <c r="F147">
        <v>0</v>
      </c>
      <c r="G147">
        <v>0</v>
      </c>
      <c r="H147">
        <v>0</v>
      </c>
      <c r="I147">
        <v>0</v>
      </c>
      <c r="J147">
        <v>2</v>
      </c>
    </row>
    <row r="148" spans="1:10" x14ac:dyDescent="0.25">
      <c r="A148" t="s">
        <v>917</v>
      </c>
      <c r="B148" t="s">
        <v>272</v>
      </c>
      <c r="C148" t="s">
        <v>42</v>
      </c>
      <c r="D148">
        <v>9</v>
      </c>
      <c r="E148">
        <v>1</v>
      </c>
      <c r="F148">
        <v>2</v>
      </c>
      <c r="G148">
        <v>0</v>
      </c>
      <c r="H148">
        <v>0</v>
      </c>
      <c r="I148">
        <v>4</v>
      </c>
      <c r="J148">
        <v>16</v>
      </c>
    </row>
    <row r="149" spans="1:10" x14ac:dyDescent="0.25">
      <c r="A149" t="s">
        <v>1108</v>
      </c>
      <c r="B149" t="s">
        <v>272</v>
      </c>
      <c r="C149" t="s">
        <v>42</v>
      </c>
      <c r="D149">
        <v>9</v>
      </c>
      <c r="E149">
        <v>1</v>
      </c>
      <c r="F149">
        <v>1</v>
      </c>
      <c r="G149">
        <v>0</v>
      </c>
      <c r="H149">
        <v>0</v>
      </c>
      <c r="I149">
        <v>5</v>
      </c>
      <c r="J149">
        <v>16</v>
      </c>
    </row>
    <row r="150" spans="1:10" x14ac:dyDescent="0.25">
      <c r="A150" t="s">
        <v>239</v>
      </c>
      <c r="B150" t="s">
        <v>297</v>
      </c>
      <c r="C150" t="s">
        <v>43</v>
      </c>
      <c r="D150">
        <v>21</v>
      </c>
      <c r="E150">
        <v>2</v>
      </c>
      <c r="F150">
        <v>2</v>
      </c>
      <c r="G150">
        <v>1</v>
      </c>
      <c r="H150">
        <v>0</v>
      </c>
      <c r="I150">
        <v>5</v>
      </c>
      <c r="J150">
        <v>31</v>
      </c>
    </row>
    <row r="151" spans="1:10" x14ac:dyDescent="0.25">
      <c r="A151" t="s">
        <v>239</v>
      </c>
      <c r="B151" t="s">
        <v>273</v>
      </c>
      <c r="C151" t="s">
        <v>44</v>
      </c>
      <c r="D151">
        <v>68</v>
      </c>
      <c r="E151">
        <v>1</v>
      </c>
      <c r="F151">
        <v>4</v>
      </c>
      <c r="G151">
        <v>2</v>
      </c>
      <c r="H151">
        <v>8</v>
      </c>
      <c r="I151">
        <v>5</v>
      </c>
      <c r="J151">
        <v>88</v>
      </c>
    </row>
    <row r="152" spans="1:10" x14ac:dyDescent="0.25">
      <c r="A152" t="s">
        <v>239</v>
      </c>
      <c r="B152" t="s">
        <v>277</v>
      </c>
      <c r="C152" t="s">
        <v>49</v>
      </c>
      <c r="D152">
        <v>16</v>
      </c>
      <c r="E152">
        <v>0</v>
      </c>
      <c r="F152">
        <v>1</v>
      </c>
      <c r="G152">
        <v>0</v>
      </c>
      <c r="H152">
        <v>1</v>
      </c>
      <c r="I152">
        <v>2</v>
      </c>
      <c r="J152">
        <v>20</v>
      </c>
    </row>
    <row r="153" spans="1:10" x14ac:dyDescent="0.25">
      <c r="A153" t="s">
        <v>1010</v>
      </c>
      <c r="B153" t="s">
        <v>278</v>
      </c>
      <c r="C153" t="s">
        <v>51</v>
      </c>
      <c r="D153">
        <v>15</v>
      </c>
      <c r="E153">
        <v>0</v>
      </c>
      <c r="F153">
        <v>0</v>
      </c>
      <c r="G153">
        <v>0</v>
      </c>
      <c r="H153">
        <v>2</v>
      </c>
      <c r="I153">
        <v>0</v>
      </c>
      <c r="J153">
        <v>17</v>
      </c>
    </row>
    <row r="154" spans="1:10" x14ac:dyDescent="0.25">
      <c r="A154" t="s">
        <v>1108</v>
      </c>
      <c r="B154" t="s">
        <v>278</v>
      </c>
      <c r="C154" t="s">
        <v>51</v>
      </c>
      <c r="D154">
        <v>14</v>
      </c>
      <c r="E154">
        <v>0</v>
      </c>
      <c r="F154">
        <v>0</v>
      </c>
      <c r="G154">
        <v>0</v>
      </c>
      <c r="H154">
        <v>3</v>
      </c>
      <c r="I154">
        <v>0</v>
      </c>
      <c r="J154">
        <v>17</v>
      </c>
    </row>
    <row r="155" spans="1:10" x14ac:dyDescent="0.25">
      <c r="A155" t="s">
        <v>1010</v>
      </c>
      <c r="B155" t="s">
        <v>289</v>
      </c>
      <c r="C155" t="s">
        <v>53</v>
      </c>
      <c r="D155">
        <v>4</v>
      </c>
      <c r="E155">
        <v>2</v>
      </c>
      <c r="F155">
        <v>0</v>
      </c>
      <c r="G155">
        <v>0</v>
      </c>
      <c r="H155">
        <v>0</v>
      </c>
      <c r="I155">
        <v>2</v>
      </c>
      <c r="J155">
        <v>8</v>
      </c>
    </row>
    <row r="156" spans="1:10" x14ac:dyDescent="0.25">
      <c r="A156" t="s">
        <v>1010</v>
      </c>
      <c r="B156" t="s">
        <v>280</v>
      </c>
      <c r="C156" t="s">
        <v>54</v>
      </c>
      <c r="D156">
        <v>19</v>
      </c>
      <c r="E156">
        <v>0</v>
      </c>
      <c r="F156">
        <v>0</v>
      </c>
      <c r="G156">
        <v>2</v>
      </c>
      <c r="H156">
        <v>0</v>
      </c>
      <c r="I156">
        <v>1</v>
      </c>
      <c r="J156">
        <v>22</v>
      </c>
    </row>
    <row r="157" spans="1:10" x14ac:dyDescent="0.25">
      <c r="A157" t="s">
        <v>1061</v>
      </c>
      <c r="B157" t="s">
        <v>281</v>
      </c>
      <c r="C157" t="s">
        <v>55</v>
      </c>
      <c r="D157">
        <v>19</v>
      </c>
      <c r="E157">
        <v>0</v>
      </c>
      <c r="F157">
        <v>0</v>
      </c>
      <c r="G157">
        <v>0</v>
      </c>
      <c r="H157">
        <v>1</v>
      </c>
      <c r="I157">
        <v>1</v>
      </c>
      <c r="J157">
        <v>21</v>
      </c>
    </row>
    <row r="158" spans="1:10" x14ac:dyDescent="0.25">
      <c r="A158" t="s">
        <v>1061</v>
      </c>
      <c r="B158" t="s">
        <v>284</v>
      </c>
      <c r="C158" t="s">
        <v>58</v>
      </c>
      <c r="D158">
        <v>9</v>
      </c>
      <c r="E158">
        <v>0</v>
      </c>
      <c r="F158">
        <v>0</v>
      </c>
      <c r="G158">
        <v>1</v>
      </c>
      <c r="H158">
        <v>2</v>
      </c>
      <c r="I158">
        <v>3</v>
      </c>
      <c r="J158">
        <v>15</v>
      </c>
    </row>
    <row r="159" spans="1:10" x14ac:dyDescent="0.25">
      <c r="A159" t="s">
        <v>1010</v>
      </c>
      <c r="B159" t="s">
        <v>290</v>
      </c>
      <c r="C159" t="s">
        <v>59</v>
      </c>
      <c r="D159">
        <v>4</v>
      </c>
      <c r="E159">
        <v>1</v>
      </c>
      <c r="F159">
        <v>1</v>
      </c>
      <c r="G159">
        <v>0</v>
      </c>
      <c r="H159">
        <v>0</v>
      </c>
      <c r="I159">
        <v>1</v>
      </c>
      <c r="J159">
        <v>7</v>
      </c>
    </row>
    <row r="160" spans="1:10" x14ac:dyDescent="0.25">
      <c r="A160" t="s">
        <v>1108</v>
      </c>
      <c r="B160" t="s">
        <v>290</v>
      </c>
      <c r="C160" t="s">
        <v>59</v>
      </c>
      <c r="D160">
        <v>5</v>
      </c>
      <c r="E160">
        <v>0</v>
      </c>
      <c r="F160">
        <v>1</v>
      </c>
      <c r="G160">
        <v>0</v>
      </c>
      <c r="H160">
        <v>0</v>
      </c>
      <c r="I160">
        <v>1</v>
      </c>
      <c r="J160">
        <v>7</v>
      </c>
    </row>
    <row r="161" spans="1:10" x14ac:dyDescent="0.25">
      <c r="A161" t="s">
        <v>917</v>
      </c>
      <c r="B161" t="s">
        <v>285</v>
      </c>
      <c r="C161" t="s">
        <v>31</v>
      </c>
      <c r="D161">
        <v>7</v>
      </c>
      <c r="E161">
        <v>1</v>
      </c>
      <c r="F161">
        <v>6</v>
      </c>
      <c r="G161">
        <v>2</v>
      </c>
      <c r="H161">
        <v>0</v>
      </c>
      <c r="I161">
        <v>2</v>
      </c>
      <c r="J161">
        <v>18</v>
      </c>
    </row>
    <row r="162" spans="1:10" x14ac:dyDescent="0.25">
      <c r="A162" t="s">
        <v>1010</v>
      </c>
      <c r="B162" t="s">
        <v>285</v>
      </c>
      <c r="C162" t="s">
        <v>31</v>
      </c>
      <c r="D162">
        <v>7</v>
      </c>
      <c r="E162">
        <v>1</v>
      </c>
      <c r="F162">
        <v>4</v>
      </c>
      <c r="G162">
        <v>2</v>
      </c>
      <c r="H162">
        <v>0</v>
      </c>
      <c r="I162">
        <v>4</v>
      </c>
      <c r="J162">
        <v>18</v>
      </c>
    </row>
    <row r="163" spans="1:10" x14ac:dyDescent="0.25">
      <c r="A163" t="s">
        <v>1010</v>
      </c>
      <c r="B163" t="s">
        <v>292</v>
      </c>
      <c r="C163" t="s">
        <v>33</v>
      </c>
      <c r="D163">
        <v>11</v>
      </c>
      <c r="E163">
        <v>0</v>
      </c>
      <c r="F163">
        <v>1</v>
      </c>
      <c r="G163">
        <v>0</v>
      </c>
      <c r="H163">
        <v>0</v>
      </c>
      <c r="I163">
        <v>1</v>
      </c>
      <c r="J163">
        <v>13</v>
      </c>
    </row>
    <row r="164" spans="1:10" x14ac:dyDescent="0.25">
      <c r="A164" t="s">
        <v>917</v>
      </c>
      <c r="B164" t="s">
        <v>267</v>
      </c>
      <c r="C164" t="s">
        <v>36</v>
      </c>
      <c r="D164">
        <v>21</v>
      </c>
      <c r="E164">
        <v>1</v>
      </c>
      <c r="F164">
        <v>0</v>
      </c>
      <c r="G164">
        <v>3</v>
      </c>
      <c r="H164">
        <v>0</v>
      </c>
      <c r="I164">
        <v>3</v>
      </c>
      <c r="J164">
        <v>28</v>
      </c>
    </row>
    <row r="165" spans="1:10" x14ac:dyDescent="0.25">
      <c r="A165" t="s">
        <v>1010</v>
      </c>
      <c r="B165" t="s">
        <v>267</v>
      </c>
      <c r="C165" t="s">
        <v>36</v>
      </c>
      <c r="D165">
        <v>21</v>
      </c>
      <c r="E165">
        <v>1</v>
      </c>
      <c r="F165">
        <v>0</v>
      </c>
      <c r="G165">
        <v>3</v>
      </c>
      <c r="H165">
        <v>0</v>
      </c>
      <c r="I165">
        <v>3</v>
      </c>
      <c r="J165">
        <v>28</v>
      </c>
    </row>
    <row r="166" spans="1:10" x14ac:dyDescent="0.25">
      <c r="A166" t="s">
        <v>1010</v>
      </c>
      <c r="B166" t="s">
        <v>293</v>
      </c>
      <c r="C166" t="s">
        <v>37</v>
      </c>
      <c r="D166">
        <v>7</v>
      </c>
      <c r="E166">
        <v>2</v>
      </c>
      <c r="F166">
        <v>2</v>
      </c>
      <c r="G166">
        <v>1</v>
      </c>
      <c r="H166">
        <v>0</v>
      </c>
      <c r="I166">
        <v>7</v>
      </c>
      <c r="J166">
        <v>19</v>
      </c>
    </row>
    <row r="167" spans="1:10" x14ac:dyDescent="0.25">
      <c r="A167" t="s">
        <v>760</v>
      </c>
      <c r="B167" t="s">
        <v>268</v>
      </c>
      <c r="C167" t="s">
        <v>38</v>
      </c>
      <c r="D167">
        <v>9</v>
      </c>
      <c r="E167">
        <v>1</v>
      </c>
      <c r="F167">
        <v>1</v>
      </c>
      <c r="G167">
        <v>0</v>
      </c>
      <c r="H167">
        <v>0</v>
      </c>
      <c r="I167">
        <v>0</v>
      </c>
      <c r="J167">
        <v>11</v>
      </c>
    </row>
    <row r="168" spans="1:10" x14ac:dyDescent="0.25">
      <c r="A168" t="s">
        <v>1061</v>
      </c>
      <c r="B168" t="s">
        <v>268</v>
      </c>
      <c r="C168" t="s">
        <v>38</v>
      </c>
      <c r="D168">
        <v>9</v>
      </c>
      <c r="E168">
        <v>1</v>
      </c>
      <c r="F168">
        <v>1</v>
      </c>
      <c r="G168">
        <v>0</v>
      </c>
      <c r="H168">
        <v>0</v>
      </c>
      <c r="I168">
        <v>0</v>
      </c>
      <c r="J168">
        <v>11</v>
      </c>
    </row>
    <row r="169" spans="1:10" x14ac:dyDescent="0.25">
      <c r="A169" t="s">
        <v>1108</v>
      </c>
      <c r="B169" t="s">
        <v>295</v>
      </c>
      <c r="C169" t="s">
        <v>39</v>
      </c>
      <c r="D169">
        <v>3</v>
      </c>
      <c r="E169">
        <v>0</v>
      </c>
      <c r="F169">
        <v>2</v>
      </c>
      <c r="G169">
        <v>0</v>
      </c>
      <c r="H169">
        <v>0</v>
      </c>
      <c r="I169">
        <v>1</v>
      </c>
      <c r="J169">
        <v>6</v>
      </c>
    </row>
    <row r="170" spans="1:10" x14ac:dyDescent="0.25">
      <c r="A170" t="s">
        <v>1010</v>
      </c>
      <c r="B170" t="s">
        <v>269</v>
      </c>
      <c r="C170" t="s">
        <v>40</v>
      </c>
      <c r="D170">
        <v>8</v>
      </c>
      <c r="E170">
        <v>0</v>
      </c>
      <c r="F170">
        <v>0</v>
      </c>
      <c r="G170">
        <v>0</v>
      </c>
      <c r="H170">
        <v>0</v>
      </c>
      <c r="I170">
        <v>1</v>
      </c>
      <c r="J170">
        <v>9</v>
      </c>
    </row>
    <row r="171" spans="1:10" x14ac:dyDescent="0.25">
      <c r="A171" t="s">
        <v>760</v>
      </c>
      <c r="B171" t="s">
        <v>270</v>
      </c>
      <c r="C171" t="s">
        <v>41</v>
      </c>
      <c r="D171">
        <v>2</v>
      </c>
      <c r="E171">
        <v>0</v>
      </c>
      <c r="F171">
        <v>0</v>
      </c>
      <c r="G171">
        <v>0</v>
      </c>
      <c r="H171">
        <v>0</v>
      </c>
      <c r="I171">
        <v>0</v>
      </c>
      <c r="J171">
        <v>2</v>
      </c>
    </row>
    <row r="172" spans="1:10" x14ac:dyDescent="0.25">
      <c r="A172" t="s">
        <v>1108</v>
      </c>
      <c r="B172" t="s">
        <v>921</v>
      </c>
      <c r="C172" t="s">
        <v>117</v>
      </c>
      <c r="D172">
        <v>17</v>
      </c>
      <c r="E172">
        <v>2</v>
      </c>
      <c r="F172">
        <v>0</v>
      </c>
      <c r="G172">
        <v>3</v>
      </c>
      <c r="H172">
        <v>0</v>
      </c>
      <c r="I172">
        <v>5</v>
      </c>
      <c r="J172">
        <v>27</v>
      </c>
    </row>
    <row r="173" spans="1:10" x14ac:dyDescent="0.25">
      <c r="A173" t="s">
        <v>760</v>
      </c>
      <c r="B173" t="s">
        <v>273</v>
      </c>
      <c r="C173" t="s">
        <v>44</v>
      </c>
      <c r="D173">
        <v>65</v>
      </c>
      <c r="E173">
        <v>2</v>
      </c>
      <c r="F173">
        <v>3</v>
      </c>
      <c r="G173">
        <v>3</v>
      </c>
      <c r="H173">
        <v>8</v>
      </c>
      <c r="I173">
        <v>2</v>
      </c>
      <c r="J173">
        <v>83</v>
      </c>
    </row>
    <row r="174" spans="1:10" x14ac:dyDescent="0.25">
      <c r="A174" t="s">
        <v>1061</v>
      </c>
      <c r="B174" t="s">
        <v>273</v>
      </c>
      <c r="C174" t="s">
        <v>44</v>
      </c>
      <c r="D174">
        <v>65</v>
      </c>
      <c r="E174">
        <v>1</v>
      </c>
      <c r="F174">
        <v>1</v>
      </c>
      <c r="G174">
        <v>3</v>
      </c>
      <c r="H174">
        <v>3</v>
      </c>
      <c r="I174">
        <v>2</v>
      </c>
      <c r="J174">
        <v>75</v>
      </c>
    </row>
    <row r="175" spans="1:10" x14ac:dyDescent="0.25">
      <c r="A175" t="s">
        <v>1010</v>
      </c>
      <c r="B175" t="s">
        <v>274</v>
      </c>
      <c r="C175" t="s">
        <v>45</v>
      </c>
      <c r="D175">
        <v>6</v>
      </c>
      <c r="E175">
        <v>1</v>
      </c>
      <c r="F175">
        <v>0</v>
      </c>
      <c r="G175">
        <v>0</v>
      </c>
      <c r="H175">
        <v>0</v>
      </c>
      <c r="I175">
        <v>0</v>
      </c>
      <c r="J175">
        <v>7</v>
      </c>
    </row>
    <row r="176" spans="1:10" x14ac:dyDescent="0.25">
      <c r="A176" t="s">
        <v>760</v>
      </c>
      <c r="B176" t="s">
        <v>276</v>
      </c>
      <c r="C176" t="s">
        <v>47</v>
      </c>
      <c r="D176">
        <v>13</v>
      </c>
      <c r="E176">
        <v>0</v>
      </c>
      <c r="F176">
        <v>1</v>
      </c>
      <c r="G176">
        <v>1</v>
      </c>
      <c r="H176">
        <v>2</v>
      </c>
      <c r="I176">
        <v>3</v>
      </c>
      <c r="J176">
        <v>20</v>
      </c>
    </row>
    <row r="177" spans="1:10" x14ac:dyDescent="0.25">
      <c r="A177" t="s">
        <v>917</v>
      </c>
      <c r="B177" t="s">
        <v>276</v>
      </c>
      <c r="C177" t="s">
        <v>47</v>
      </c>
      <c r="D177">
        <v>13</v>
      </c>
      <c r="E177">
        <v>0</v>
      </c>
      <c r="F177">
        <v>1</v>
      </c>
      <c r="G177">
        <v>1</v>
      </c>
      <c r="H177">
        <v>2</v>
      </c>
      <c r="I177">
        <v>4</v>
      </c>
      <c r="J177">
        <v>21</v>
      </c>
    </row>
    <row r="178" spans="1:10" x14ac:dyDescent="0.25">
      <c r="A178" t="s">
        <v>1061</v>
      </c>
      <c r="B178" t="s">
        <v>276</v>
      </c>
      <c r="C178" t="s">
        <v>47</v>
      </c>
      <c r="D178">
        <v>13</v>
      </c>
      <c r="E178">
        <v>0</v>
      </c>
      <c r="F178">
        <v>1</v>
      </c>
      <c r="G178">
        <v>1</v>
      </c>
      <c r="H178">
        <v>2</v>
      </c>
      <c r="I178">
        <v>4</v>
      </c>
      <c r="J178">
        <v>21</v>
      </c>
    </row>
    <row r="179" spans="1:10" x14ac:dyDescent="0.25">
      <c r="A179" t="s">
        <v>1108</v>
      </c>
      <c r="B179" t="s">
        <v>922</v>
      </c>
      <c r="C179" t="s">
        <v>50</v>
      </c>
      <c r="D179">
        <v>9</v>
      </c>
      <c r="E179">
        <v>1</v>
      </c>
      <c r="F179">
        <v>1</v>
      </c>
      <c r="G179">
        <v>1</v>
      </c>
      <c r="H179">
        <v>0</v>
      </c>
      <c r="I179">
        <v>4</v>
      </c>
      <c r="J179">
        <v>16</v>
      </c>
    </row>
    <row r="180" spans="1:10" x14ac:dyDescent="0.25">
      <c r="A180" t="s">
        <v>760</v>
      </c>
      <c r="B180" t="s">
        <v>278</v>
      </c>
      <c r="C180" t="s">
        <v>51</v>
      </c>
      <c r="D180">
        <v>16</v>
      </c>
      <c r="E180">
        <v>0</v>
      </c>
      <c r="F180">
        <v>0</v>
      </c>
      <c r="G180">
        <v>0</v>
      </c>
      <c r="H180">
        <v>1</v>
      </c>
      <c r="I180">
        <v>0</v>
      </c>
      <c r="J180">
        <v>17</v>
      </c>
    </row>
    <row r="181" spans="1:10" x14ac:dyDescent="0.25">
      <c r="A181" t="s">
        <v>760</v>
      </c>
      <c r="B181" t="s">
        <v>945</v>
      </c>
      <c r="C181" t="s">
        <v>52</v>
      </c>
      <c r="D181">
        <v>15</v>
      </c>
      <c r="E181">
        <v>1</v>
      </c>
      <c r="F181">
        <v>3</v>
      </c>
      <c r="G181">
        <v>1</v>
      </c>
      <c r="H181">
        <v>3</v>
      </c>
      <c r="I181">
        <v>0</v>
      </c>
      <c r="J181">
        <v>23</v>
      </c>
    </row>
    <row r="182" spans="1:10" x14ac:dyDescent="0.25">
      <c r="A182" t="s">
        <v>917</v>
      </c>
      <c r="B182" t="s">
        <v>945</v>
      </c>
      <c r="C182" t="s">
        <v>52</v>
      </c>
      <c r="D182">
        <v>15</v>
      </c>
      <c r="E182">
        <v>1</v>
      </c>
      <c r="F182">
        <v>2</v>
      </c>
      <c r="G182">
        <v>1</v>
      </c>
      <c r="H182">
        <v>3</v>
      </c>
      <c r="I182">
        <v>0</v>
      </c>
      <c r="J182">
        <v>22</v>
      </c>
    </row>
    <row r="183" spans="1:10" x14ac:dyDescent="0.25">
      <c r="A183" t="s">
        <v>1061</v>
      </c>
      <c r="B183" t="s">
        <v>945</v>
      </c>
      <c r="C183" t="s">
        <v>52</v>
      </c>
      <c r="D183">
        <v>15</v>
      </c>
      <c r="E183">
        <v>1</v>
      </c>
      <c r="F183">
        <v>0</v>
      </c>
      <c r="G183">
        <v>1</v>
      </c>
      <c r="H183">
        <v>3</v>
      </c>
      <c r="I183">
        <v>1</v>
      </c>
      <c r="J183">
        <v>21</v>
      </c>
    </row>
    <row r="184" spans="1:10" x14ac:dyDescent="0.25">
      <c r="A184" t="s">
        <v>1061</v>
      </c>
      <c r="B184" t="s">
        <v>289</v>
      </c>
      <c r="C184" t="s">
        <v>53</v>
      </c>
      <c r="D184">
        <v>4</v>
      </c>
      <c r="E184">
        <v>2</v>
      </c>
      <c r="F184">
        <v>0</v>
      </c>
      <c r="G184">
        <v>0</v>
      </c>
      <c r="H184">
        <v>0</v>
      </c>
      <c r="I184">
        <v>3</v>
      </c>
      <c r="J184">
        <v>9</v>
      </c>
    </row>
    <row r="185" spans="1:10" x14ac:dyDescent="0.25">
      <c r="A185" t="s">
        <v>1061</v>
      </c>
      <c r="B185" t="s">
        <v>280</v>
      </c>
      <c r="C185" t="s">
        <v>54</v>
      </c>
      <c r="D185">
        <v>17</v>
      </c>
      <c r="E185">
        <v>0</v>
      </c>
      <c r="F185">
        <v>0</v>
      </c>
      <c r="G185">
        <v>2</v>
      </c>
      <c r="H185">
        <v>0</v>
      </c>
      <c r="I185">
        <v>2</v>
      </c>
      <c r="J185">
        <v>21</v>
      </c>
    </row>
    <row r="186" spans="1:10" x14ac:dyDescent="0.25">
      <c r="A186" t="s">
        <v>1010</v>
      </c>
      <c r="B186" t="s">
        <v>281</v>
      </c>
      <c r="C186" t="s">
        <v>55</v>
      </c>
      <c r="D186">
        <v>15</v>
      </c>
      <c r="E186">
        <v>0</v>
      </c>
      <c r="F186">
        <v>0</v>
      </c>
      <c r="G186">
        <v>0</v>
      </c>
      <c r="H186">
        <v>1</v>
      </c>
      <c r="I186">
        <v>1</v>
      </c>
      <c r="J186">
        <v>17</v>
      </c>
    </row>
    <row r="187" spans="1:10" x14ac:dyDescent="0.25">
      <c r="A187" t="s">
        <v>760</v>
      </c>
      <c r="B187" t="s">
        <v>282</v>
      </c>
      <c r="C187" t="s">
        <v>56</v>
      </c>
      <c r="D187">
        <v>7</v>
      </c>
      <c r="E187">
        <v>1</v>
      </c>
      <c r="F187">
        <v>0</v>
      </c>
      <c r="G187">
        <v>1</v>
      </c>
      <c r="H187">
        <v>0</v>
      </c>
      <c r="I187">
        <v>0</v>
      </c>
      <c r="J187">
        <v>9</v>
      </c>
    </row>
    <row r="188" spans="1:10" x14ac:dyDescent="0.25">
      <c r="A188" t="s">
        <v>917</v>
      </c>
      <c r="B188" t="s">
        <v>282</v>
      </c>
      <c r="C188" t="s">
        <v>56</v>
      </c>
      <c r="D188">
        <v>7</v>
      </c>
      <c r="E188">
        <v>1</v>
      </c>
      <c r="F188">
        <v>0</v>
      </c>
      <c r="G188">
        <v>1</v>
      </c>
      <c r="H188">
        <v>0</v>
      </c>
      <c r="I188">
        <v>0</v>
      </c>
      <c r="J188">
        <v>9</v>
      </c>
    </row>
    <row r="189" spans="1:10" x14ac:dyDescent="0.25">
      <c r="A189" t="s">
        <v>1061</v>
      </c>
      <c r="B189" t="s">
        <v>282</v>
      </c>
      <c r="C189" t="s">
        <v>56</v>
      </c>
      <c r="D189">
        <v>7</v>
      </c>
      <c r="E189">
        <v>1</v>
      </c>
      <c r="F189">
        <v>0</v>
      </c>
      <c r="G189">
        <v>1</v>
      </c>
      <c r="H189">
        <v>0</v>
      </c>
      <c r="I189">
        <v>0</v>
      </c>
      <c r="J189">
        <v>9</v>
      </c>
    </row>
    <row r="190" spans="1:10" x14ac:dyDescent="0.25">
      <c r="A190" t="s">
        <v>239</v>
      </c>
      <c r="B190" t="s">
        <v>283</v>
      </c>
      <c r="C190" t="s">
        <v>57</v>
      </c>
      <c r="D190">
        <v>14</v>
      </c>
      <c r="E190">
        <v>1</v>
      </c>
      <c r="F190">
        <v>1</v>
      </c>
      <c r="G190">
        <v>2</v>
      </c>
      <c r="H190">
        <v>0</v>
      </c>
      <c r="I190">
        <v>6</v>
      </c>
      <c r="J190">
        <v>24</v>
      </c>
    </row>
    <row r="191" spans="1:10" x14ac:dyDescent="0.25">
      <c r="A191" t="s">
        <v>1108</v>
      </c>
      <c r="B191" t="s">
        <v>283</v>
      </c>
      <c r="C191" t="s">
        <v>57</v>
      </c>
      <c r="D191">
        <v>15</v>
      </c>
      <c r="E191">
        <v>0</v>
      </c>
      <c r="F191">
        <v>1</v>
      </c>
      <c r="G191">
        <v>2</v>
      </c>
      <c r="H191">
        <v>0</v>
      </c>
      <c r="I191">
        <v>5</v>
      </c>
      <c r="J191">
        <v>23</v>
      </c>
    </row>
    <row r="192" spans="1:10" x14ac:dyDescent="0.25">
      <c r="A192" t="s">
        <v>239</v>
      </c>
      <c r="B192" t="s">
        <v>284</v>
      </c>
      <c r="C192" t="s">
        <v>58</v>
      </c>
      <c r="D192">
        <v>9</v>
      </c>
      <c r="E192">
        <v>0</v>
      </c>
      <c r="F192">
        <v>0</v>
      </c>
      <c r="G192">
        <v>1</v>
      </c>
      <c r="H192">
        <v>2</v>
      </c>
      <c r="I192">
        <v>3</v>
      </c>
      <c r="J192">
        <v>15</v>
      </c>
    </row>
    <row r="193" spans="1:10" x14ac:dyDescent="0.25">
      <c r="A193" t="s">
        <v>1108</v>
      </c>
      <c r="B193" t="s">
        <v>291</v>
      </c>
      <c r="C193" t="s">
        <v>60</v>
      </c>
      <c r="D193">
        <v>8</v>
      </c>
      <c r="E193">
        <v>0</v>
      </c>
      <c r="F193">
        <v>0</v>
      </c>
      <c r="G193">
        <v>1</v>
      </c>
      <c r="H193">
        <v>0</v>
      </c>
      <c r="I193">
        <v>1</v>
      </c>
      <c r="J193">
        <v>10</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D9B3FF"/>
    <pageSetUpPr fitToPage="1"/>
  </sheetPr>
  <dimension ref="A1:N46"/>
  <sheetViews>
    <sheetView showGridLines="0" workbookViewId="0">
      <pane ySplit="2" topLeftCell="A3" activePane="bottomLeft" state="frozen"/>
      <selection pane="bottomLeft" sqref="A1:I1"/>
    </sheetView>
  </sheetViews>
  <sheetFormatPr defaultRowHeight="15" x14ac:dyDescent="0.25"/>
  <cols>
    <col min="1" max="1" width="17.7109375" customWidth="1"/>
    <col min="2" max="2" width="28.7109375" customWidth="1"/>
    <col min="3" max="9" width="14.5703125" customWidth="1"/>
  </cols>
  <sheetData>
    <row r="1" spans="1:9" ht="15.75" x14ac:dyDescent="0.25">
      <c r="A1" s="993" t="s">
        <v>582</v>
      </c>
      <c r="B1" s="993"/>
      <c r="C1" s="993"/>
      <c r="D1" s="993"/>
      <c r="E1" s="993"/>
      <c r="F1" s="993"/>
      <c r="G1" s="993"/>
      <c r="H1" s="993"/>
      <c r="I1" s="993"/>
    </row>
    <row r="2" spans="1:9" ht="18" x14ac:dyDescent="0.25">
      <c r="A2" s="507" t="s">
        <v>511</v>
      </c>
      <c r="B2" s="1"/>
      <c r="C2" s="1"/>
      <c r="D2" s="1"/>
      <c r="E2" s="1"/>
      <c r="F2" s="1"/>
      <c r="G2" s="1"/>
      <c r="H2" s="1"/>
      <c r="I2" s="1"/>
    </row>
    <row r="3" spans="1:9" ht="18" x14ac:dyDescent="0.25">
      <c r="A3" s="1"/>
      <c r="B3" s="1"/>
      <c r="C3" s="1"/>
      <c r="D3" s="1"/>
      <c r="E3" s="1"/>
      <c r="F3" s="1"/>
      <c r="G3" s="1"/>
      <c r="H3" s="1"/>
      <c r="I3" s="1"/>
    </row>
    <row r="4" spans="1:9" ht="15.75" x14ac:dyDescent="0.25">
      <c r="A4" s="447" t="s">
        <v>587</v>
      </c>
      <c r="B4" s="447"/>
      <c r="C4" s="447"/>
      <c r="D4" s="447"/>
      <c r="E4" s="447"/>
      <c r="F4" s="447"/>
      <c r="G4" s="447"/>
      <c r="H4" s="447"/>
      <c r="I4" s="447"/>
    </row>
    <row r="5" spans="1:9" x14ac:dyDescent="0.25">
      <c r="A5" t="s">
        <v>328</v>
      </c>
      <c r="B5" t="s">
        <v>640</v>
      </c>
    </row>
    <row r="6" spans="1:9" x14ac:dyDescent="0.25">
      <c r="A6" t="s">
        <v>329</v>
      </c>
      <c r="B6" t="s">
        <v>331</v>
      </c>
    </row>
    <row r="7" spans="1:9" x14ac:dyDescent="0.25">
      <c r="A7" t="s">
        <v>330</v>
      </c>
      <c r="B7" t="s">
        <v>332</v>
      </c>
      <c r="D7" s="317"/>
    </row>
    <row r="9" spans="1:9" ht="45" customHeight="1" x14ac:dyDescent="0.25">
      <c r="A9" s="42" t="s">
        <v>458</v>
      </c>
      <c r="B9" s="42" t="s">
        <v>30</v>
      </c>
      <c r="C9" s="203" t="s">
        <v>118</v>
      </c>
      <c r="D9" s="203" t="s">
        <v>178</v>
      </c>
      <c r="E9" s="203" t="s">
        <v>194</v>
      </c>
      <c r="F9" s="203" t="s">
        <v>187</v>
      </c>
      <c r="G9" s="203" t="s">
        <v>206</v>
      </c>
      <c r="H9" s="203" t="s">
        <v>629</v>
      </c>
      <c r="I9" s="203" t="s">
        <v>195</v>
      </c>
    </row>
    <row r="10" spans="1:9" ht="21" customHeight="1" x14ac:dyDescent="0.25">
      <c r="A10" s="398" t="s">
        <v>285</v>
      </c>
      <c r="B10" s="45" t="s">
        <v>31</v>
      </c>
      <c r="C10" s="204">
        <f>AppliancesLAPivot!B4</f>
        <v>7</v>
      </c>
      <c r="D10" s="204">
        <f>AppliancesLAPivot!C4</f>
        <v>1</v>
      </c>
      <c r="E10" s="204">
        <f>AppliancesLAPivot!D4</f>
        <v>2</v>
      </c>
      <c r="F10" s="204">
        <f>AppliancesLAPivot!E4</f>
        <v>0</v>
      </c>
      <c r="G10" s="204">
        <f>AppliancesLAPivot!F4</f>
        <v>4</v>
      </c>
      <c r="H10" s="204">
        <f>AppliancesLAPivot!G4</f>
        <v>3</v>
      </c>
      <c r="I10" s="205">
        <f>AppliancesLAPivot!H4</f>
        <v>17</v>
      </c>
    </row>
    <row r="11" spans="1:9" x14ac:dyDescent="0.25">
      <c r="A11" s="89" t="s">
        <v>286</v>
      </c>
      <c r="B11" s="48" t="s">
        <v>32</v>
      </c>
      <c r="C11" s="204">
        <f>AppliancesLAPivot!B5</f>
        <v>31</v>
      </c>
      <c r="D11" s="204">
        <f>AppliancesLAPivot!C5</f>
        <v>0</v>
      </c>
      <c r="E11" s="204">
        <f>AppliancesLAPivot!D5</f>
        <v>0</v>
      </c>
      <c r="F11" s="204">
        <f>AppliancesLAPivot!E5</f>
        <v>0</v>
      </c>
      <c r="G11" s="204">
        <f>AppliancesLAPivot!F5</f>
        <v>3</v>
      </c>
      <c r="H11" s="204">
        <f>AppliancesLAPivot!G5</f>
        <v>1</v>
      </c>
      <c r="I11" s="205">
        <f>AppliancesLAPivot!H5</f>
        <v>35</v>
      </c>
    </row>
    <row r="12" spans="1:9" x14ac:dyDescent="0.25">
      <c r="A12" s="89" t="s">
        <v>292</v>
      </c>
      <c r="B12" s="48" t="s">
        <v>33</v>
      </c>
      <c r="C12" s="204">
        <f>AppliancesLAPivot!B6</f>
        <v>12</v>
      </c>
      <c r="D12" s="204">
        <f>AppliancesLAPivot!C6</f>
        <v>0</v>
      </c>
      <c r="E12" s="204">
        <f>AppliancesLAPivot!D6</f>
        <v>0</v>
      </c>
      <c r="F12" s="204">
        <f>AppliancesLAPivot!E6</f>
        <v>0</v>
      </c>
      <c r="G12" s="204">
        <f>AppliancesLAPivot!F6</f>
        <v>1</v>
      </c>
      <c r="H12" s="204">
        <f>AppliancesLAPivot!G6</f>
        <v>1</v>
      </c>
      <c r="I12" s="205">
        <f>AppliancesLAPivot!H6</f>
        <v>14</v>
      </c>
    </row>
    <row r="13" spans="1:9" x14ac:dyDescent="0.25">
      <c r="A13" s="89" t="s">
        <v>287</v>
      </c>
      <c r="B13" s="48" t="s">
        <v>34</v>
      </c>
      <c r="C13" s="204">
        <f>AppliancesLAPivot!B7</f>
        <v>26</v>
      </c>
      <c r="D13" s="204">
        <f>AppliancesLAPivot!C7</f>
        <v>1</v>
      </c>
      <c r="E13" s="204">
        <f>AppliancesLAPivot!D7</f>
        <v>1</v>
      </c>
      <c r="F13" s="204">
        <f>AppliancesLAPivot!E7</f>
        <v>17</v>
      </c>
      <c r="G13" s="204">
        <f>AppliancesLAPivot!F7</f>
        <v>4</v>
      </c>
      <c r="H13" s="204">
        <f>AppliancesLAPivot!G7</f>
        <v>0</v>
      </c>
      <c r="I13" s="205">
        <f>AppliancesLAPivot!H7</f>
        <v>49</v>
      </c>
    </row>
    <row r="14" spans="1:9" x14ac:dyDescent="0.25">
      <c r="A14" s="89" t="s">
        <v>288</v>
      </c>
      <c r="B14" s="48" t="s">
        <v>243</v>
      </c>
      <c r="C14" s="204">
        <f>AppliancesLAPivot!B8</f>
        <v>12</v>
      </c>
      <c r="D14" s="204">
        <f>AppliancesLAPivot!C8</f>
        <v>2</v>
      </c>
      <c r="E14" s="204">
        <f>AppliancesLAPivot!D8</f>
        <v>3</v>
      </c>
      <c r="F14" s="204">
        <f>AppliancesLAPivot!E8</f>
        <v>0</v>
      </c>
      <c r="G14" s="204">
        <f>AppliancesLAPivot!F8</f>
        <v>3</v>
      </c>
      <c r="H14" s="204">
        <f>AppliancesLAPivot!G8</f>
        <v>4</v>
      </c>
      <c r="I14" s="205">
        <f>AppliancesLAPivot!H8</f>
        <v>24</v>
      </c>
    </row>
    <row r="15" spans="1:9" x14ac:dyDescent="0.25">
      <c r="A15" s="89" t="s">
        <v>266</v>
      </c>
      <c r="B15" s="48" t="s">
        <v>35</v>
      </c>
      <c r="C15" s="204">
        <f>AppliancesLAPivot!B9</f>
        <v>3</v>
      </c>
      <c r="D15" s="204">
        <f>AppliancesLAPivot!C9</f>
        <v>0</v>
      </c>
      <c r="E15" s="204">
        <f>AppliancesLAPivot!D9</f>
        <v>0</v>
      </c>
      <c r="F15" s="204">
        <f>AppliancesLAPivot!E9</f>
        <v>0</v>
      </c>
      <c r="G15" s="204">
        <f>AppliancesLAPivot!F9</f>
        <v>1</v>
      </c>
      <c r="H15" s="204">
        <f>AppliancesLAPivot!G9</f>
        <v>0</v>
      </c>
      <c r="I15" s="205">
        <f>AppliancesLAPivot!H9</f>
        <v>4</v>
      </c>
    </row>
    <row r="16" spans="1:9" x14ac:dyDescent="0.25">
      <c r="A16" s="89" t="s">
        <v>267</v>
      </c>
      <c r="B16" s="48" t="s">
        <v>36</v>
      </c>
      <c r="C16" s="204">
        <f>AppliancesLAPivot!B10</f>
        <v>21</v>
      </c>
      <c r="D16" s="204">
        <f>AppliancesLAPivot!C10</f>
        <v>1</v>
      </c>
      <c r="E16" s="204">
        <f>AppliancesLAPivot!D10</f>
        <v>3</v>
      </c>
      <c r="F16" s="204">
        <f>AppliancesLAPivot!E10</f>
        <v>0</v>
      </c>
      <c r="G16" s="204">
        <f>AppliancesLAPivot!F10</f>
        <v>3</v>
      </c>
      <c r="H16" s="204">
        <f>AppliancesLAPivot!G10</f>
        <v>0</v>
      </c>
      <c r="I16" s="205">
        <f>AppliancesLAPivot!H10</f>
        <v>28</v>
      </c>
    </row>
    <row r="17" spans="1:9" x14ac:dyDescent="0.25">
      <c r="A17" s="89" t="s">
        <v>293</v>
      </c>
      <c r="B17" s="48" t="s">
        <v>37</v>
      </c>
      <c r="C17" s="204">
        <f>AppliancesLAPivot!B11</f>
        <v>7</v>
      </c>
      <c r="D17" s="204">
        <f>AppliancesLAPivot!C11</f>
        <v>1</v>
      </c>
      <c r="E17" s="204">
        <f>AppliancesLAPivot!D11</f>
        <v>1</v>
      </c>
      <c r="F17" s="204">
        <f>AppliancesLAPivot!E11</f>
        <v>0</v>
      </c>
      <c r="G17" s="204">
        <f>AppliancesLAPivot!F11</f>
        <v>7</v>
      </c>
      <c r="H17" s="204">
        <f>AppliancesLAPivot!G11</f>
        <v>2</v>
      </c>
      <c r="I17" s="205">
        <f>AppliancesLAPivot!H11</f>
        <v>18</v>
      </c>
    </row>
    <row r="18" spans="1:9" x14ac:dyDescent="0.25">
      <c r="A18" s="89" t="s">
        <v>268</v>
      </c>
      <c r="B18" s="48" t="s">
        <v>38</v>
      </c>
      <c r="C18" s="204">
        <f>AppliancesLAPivot!B12</f>
        <v>9</v>
      </c>
      <c r="D18" s="204">
        <f>AppliancesLAPivot!C12</f>
        <v>1</v>
      </c>
      <c r="E18" s="204">
        <f>AppliancesLAPivot!D12</f>
        <v>0</v>
      </c>
      <c r="F18" s="204">
        <f>AppliancesLAPivot!E12</f>
        <v>0</v>
      </c>
      <c r="G18" s="204">
        <f>AppliancesLAPivot!F12</f>
        <v>0</v>
      </c>
      <c r="H18" s="204">
        <f>AppliancesLAPivot!G12</f>
        <v>1</v>
      </c>
      <c r="I18" s="205">
        <f>AppliancesLAPivot!H12</f>
        <v>11</v>
      </c>
    </row>
    <row r="19" spans="1:9" x14ac:dyDescent="0.25">
      <c r="A19" s="89" t="s">
        <v>295</v>
      </c>
      <c r="B19" s="48" t="s">
        <v>39</v>
      </c>
      <c r="C19" s="204">
        <f>AppliancesLAPivot!B13</f>
        <v>3</v>
      </c>
      <c r="D19" s="204">
        <f>AppliancesLAPivot!C13</f>
        <v>0</v>
      </c>
      <c r="E19" s="204">
        <f>AppliancesLAPivot!D13</f>
        <v>0</v>
      </c>
      <c r="F19" s="204">
        <f>AppliancesLAPivot!E13</f>
        <v>0</v>
      </c>
      <c r="G19" s="204">
        <f>AppliancesLAPivot!F13</f>
        <v>1</v>
      </c>
      <c r="H19" s="204">
        <f>AppliancesLAPivot!G13</f>
        <v>2</v>
      </c>
      <c r="I19" s="205">
        <f>AppliancesLAPivot!H13</f>
        <v>6</v>
      </c>
    </row>
    <row r="20" spans="1:9" x14ac:dyDescent="0.25">
      <c r="A20" s="89" t="s">
        <v>269</v>
      </c>
      <c r="B20" s="48" t="s">
        <v>40</v>
      </c>
      <c r="C20" s="204">
        <f>AppliancesLAPivot!B14</f>
        <v>8</v>
      </c>
      <c r="D20" s="204">
        <f>AppliancesLAPivot!C14</f>
        <v>0</v>
      </c>
      <c r="E20" s="204">
        <f>AppliancesLAPivot!D14</f>
        <v>0</v>
      </c>
      <c r="F20" s="204">
        <f>AppliancesLAPivot!E14</f>
        <v>0</v>
      </c>
      <c r="G20" s="204">
        <f>AppliancesLAPivot!F14</f>
        <v>0</v>
      </c>
      <c r="H20" s="204">
        <f>AppliancesLAPivot!G14</f>
        <v>0</v>
      </c>
      <c r="I20" s="205">
        <f>AppliancesLAPivot!H14</f>
        <v>8</v>
      </c>
    </row>
    <row r="21" spans="1:9" x14ac:dyDescent="0.25">
      <c r="A21" s="89" t="s">
        <v>270</v>
      </c>
      <c r="B21" s="48" t="s">
        <v>41</v>
      </c>
      <c r="C21" s="204">
        <f>AppliancesLAPivot!B15</f>
        <v>2</v>
      </c>
      <c r="D21" s="204">
        <f>AppliancesLAPivot!C15</f>
        <v>0</v>
      </c>
      <c r="E21" s="204">
        <f>AppliancesLAPivot!D15</f>
        <v>0</v>
      </c>
      <c r="F21" s="204">
        <f>AppliancesLAPivot!E15</f>
        <v>0</v>
      </c>
      <c r="G21" s="204">
        <f>AppliancesLAPivot!F15</f>
        <v>0</v>
      </c>
      <c r="H21" s="204">
        <f>AppliancesLAPivot!G15</f>
        <v>0</v>
      </c>
      <c r="I21" s="205">
        <f>AppliancesLAPivot!H15</f>
        <v>2</v>
      </c>
    </row>
    <row r="22" spans="1:9" x14ac:dyDescent="0.25">
      <c r="A22" s="89" t="s">
        <v>272</v>
      </c>
      <c r="B22" s="48" t="s">
        <v>42</v>
      </c>
      <c r="C22" s="204">
        <f>AppliancesLAPivot!B16</f>
        <v>9</v>
      </c>
      <c r="D22" s="204">
        <f>AppliancesLAPivot!C16</f>
        <v>1</v>
      </c>
      <c r="E22" s="204">
        <f>AppliancesLAPivot!D16</f>
        <v>0</v>
      </c>
      <c r="F22" s="204">
        <f>AppliancesLAPivot!E16</f>
        <v>0</v>
      </c>
      <c r="G22" s="204">
        <f>AppliancesLAPivot!F16</f>
        <v>5</v>
      </c>
      <c r="H22" s="204">
        <f>AppliancesLAPivot!G16</f>
        <v>1</v>
      </c>
      <c r="I22" s="205">
        <f>AppliancesLAPivot!H16</f>
        <v>16</v>
      </c>
    </row>
    <row r="23" spans="1:9" x14ac:dyDescent="0.25">
      <c r="A23" s="89" t="s">
        <v>297</v>
      </c>
      <c r="B23" s="48" t="s">
        <v>43</v>
      </c>
      <c r="C23" s="204">
        <f>AppliancesLAPivot!B17</f>
        <v>18</v>
      </c>
      <c r="D23" s="204">
        <f>AppliancesLAPivot!C17</f>
        <v>1</v>
      </c>
      <c r="E23" s="204">
        <f>AppliancesLAPivot!D17</f>
        <v>2</v>
      </c>
      <c r="F23" s="204">
        <f>AppliancesLAPivot!E17</f>
        <v>0</v>
      </c>
      <c r="G23" s="204">
        <f>AppliancesLAPivot!F17</f>
        <v>5</v>
      </c>
      <c r="H23" s="204">
        <f>AppliancesLAPivot!G17</f>
        <v>0</v>
      </c>
      <c r="I23" s="205">
        <f>AppliancesLAPivot!H17</f>
        <v>26</v>
      </c>
    </row>
    <row r="24" spans="1:9" x14ac:dyDescent="0.25">
      <c r="A24" s="89" t="str">
        <f>IF(D7 = "2019-20","S12000049","S12000046")</f>
        <v>S12000046</v>
      </c>
      <c r="B24" s="48" t="s">
        <v>117</v>
      </c>
      <c r="C24" s="204">
        <f>AppliancesLAPivot!B18</f>
        <v>17</v>
      </c>
      <c r="D24" s="204">
        <f>AppliancesLAPivot!C18</f>
        <v>2</v>
      </c>
      <c r="E24" s="204">
        <f>AppliancesLAPivot!D18</f>
        <v>3</v>
      </c>
      <c r="F24" s="204">
        <f>AppliancesLAPivot!E18</f>
        <v>0</v>
      </c>
      <c r="G24" s="204">
        <f>AppliancesLAPivot!F18</f>
        <v>5</v>
      </c>
      <c r="H24" s="204">
        <f>AppliancesLAPivot!G18</f>
        <v>0</v>
      </c>
      <c r="I24" s="205">
        <f>AppliancesLAPivot!H18</f>
        <v>27</v>
      </c>
    </row>
    <row r="25" spans="1:9" x14ac:dyDescent="0.25">
      <c r="A25" s="89" t="s">
        <v>273</v>
      </c>
      <c r="B25" s="48" t="s">
        <v>44</v>
      </c>
      <c r="C25" s="204">
        <f>AppliancesLAPivot!B19</f>
        <v>64</v>
      </c>
      <c r="D25" s="204">
        <f>AppliancesLAPivot!C19</f>
        <v>1</v>
      </c>
      <c r="E25" s="204">
        <f>AppliancesLAPivot!D19</f>
        <v>3</v>
      </c>
      <c r="F25" s="204">
        <f>AppliancesLAPivot!E19</f>
        <v>6</v>
      </c>
      <c r="G25" s="204">
        <f>AppliancesLAPivot!F19</f>
        <v>2</v>
      </c>
      <c r="H25" s="204">
        <f>AppliancesLAPivot!G19</f>
        <v>2</v>
      </c>
      <c r="I25" s="205">
        <f>AppliancesLAPivot!H19</f>
        <v>78</v>
      </c>
    </row>
    <row r="26" spans="1:9" x14ac:dyDescent="0.25">
      <c r="A26" s="89" t="s">
        <v>274</v>
      </c>
      <c r="B26" s="48" t="s">
        <v>45</v>
      </c>
      <c r="C26" s="204">
        <f>AppliancesLAPivot!B20</f>
        <v>6</v>
      </c>
      <c r="D26" s="204">
        <f>AppliancesLAPivot!C20</f>
        <v>1</v>
      </c>
      <c r="E26" s="204">
        <f>AppliancesLAPivot!D20</f>
        <v>0</v>
      </c>
      <c r="F26" s="204">
        <f>AppliancesLAPivot!E20</f>
        <v>0</v>
      </c>
      <c r="G26" s="204">
        <f>AppliancesLAPivot!F20</f>
        <v>0</v>
      </c>
      <c r="H26" s="204">
        <f>AppliancesLAPivot!G20</f>
        <v>0</v>
      </c>
      <c r="I26" s="205">
        <f>AppliancesLAPivot!H20</f>
        <v>7</v>
      </c>
    </row>
    <row r="27" spans="1:9" x14ac:dyDescent="0.25">
      <c r="A27" s="89" t="s">
        <v>275</v>
      </c>
      <c r="B27" s="48" t="s">
        <v>46</v>
      </c>
      <c r="C27" s="204">
        <f>AppliancesLAPivot!B21</f>
        <v>2</v>
      </c>
      <c r="D27" s="204">
        <f>AppliancesLAPivot!C21</f>
        <v>0</v>
      </c>
      <c r="E27" s="204">
        <f>AppliancesLAPivot!D21</f>
        <v>0</v>
      </c>
      <c r="F27" s="204">
        <f>AppliancesLAPivot!E21</f>
        <v>0</v>
      </c>
      <c r="G27" s="204">
        <f>AppliancesLAPivot!F21</f>
        <v>1</v>
      </c>
      <c r="H27" s="204">
        <f>AppliancesLAPivot!G21</f>
        <v>0</v>
      </c>
      <c r="I27" s="205">
        <f>AppliancesLAPivot!H21</f>
        <v>3</v>
      </c>
    </row>
    <row r="28" spans="1:9" x14ac:dyDescent="0.25">
      <c r="A28" s="89" t="s">
        <v>276</v>
      </c>
      <c r="B28" s="48" t="s">
        <v>47</v>
      </c>
      <c r="C28" s="204">
        <f>AppliancesLAPivot!B22</f>
        <v>13</v>
      </c>
      <c r="D28" s="204">
        <f>AppliancesLAPivot!C22</f>
        <v>0</v>
      </c>
      <c r="E28" s="204">
        <f>AppliancesLAPivot!D22</f>
        <v>1</v>
      </c>
      <c r="F28" s="204">
        <f>AppliancesLAPivot!E22</f>
        <v>2</v>
      </c>
      <c r="G28" s="204">
        <f>AppliancesLAPivot!F22</f>
        <v>3</v>
      </c>
      <c r="H28" s="204">
        <f>AppliancesLAPivot!G22</f>
        <v>1</v>
      </c>
      <c r="I28" s="205">
        <f>AppliancesLAPivot!H22</f>
        <v>20</v>
      </c>
    </row>
    <row r="29" spans="1:9" x14ac:dyDescent="0.25">
      <c r="A29" s="89" t="s">
        <v>271</v>
      </c>
      <c r="B29" s="48" t="s">
        <v>48</v>
      </c>
      <c r="C29" s="204">
        <f>AppliancesLAPivot!B23</f>
        <v>16</v>
      </c>
      <c r="D29" s="204">
        <f>AppliancesLAPivot!C23</f>
        <v>0</v>
      </c>
      <c r="E29" s="204">
        <f>AppliancesLAPivot!D23</f>
        <v>0</v>
      </c>
      <c r="F29" s="204">
        <f>AppliancesLAPivot!E23</f>
        <v>0</v>
      </c>
      <c r="G29" s="204">
        <f>AppliancesLAPivot!F23</f>
        <v>1</v>
      </c>
      <c r="H29" s="204">
        <f>AppliancesLAPivot!G23</f>
        <v>0</v>
      </c>
      <c r="I29" s="205">
        <f>AppliancesLAPivot!H23</f>
        <v>17</v>
      </c>
    </row>
    <row r="30" spans="1:9" x14ac:dyDescent="0.25">
      <c r="A30" s="89" t="s">
        <v>277</v>
      </c>
      <c r="B30" s="48" t="s">
        <v>49</v>
      </c>
      <c r="C30" s="204">
        <f>AppliancesLAPivot!B24</f>
        <v>16</v>
      </c>
      <c r="D30" s="204">
        <f>AppliancesLAPivot!C24</f>
        <v>0</v>
      </c>
      <c r="E30" s="204">
        <f>AppliancesLAPivot!D24</f>
        <v>0</v>
      </c>
      <c r="F30" s="204">
        <f>AppliancesLAPivot!E24</f>
        <v>1</v>
      </c>
      <c r="G30" s="204">
        <f>AppliancesLAPivot!F24</f>
        <v>2</v>
      </c>
      <c r="H30" s="204">
        <f>AppliancesLAPivot!G24</f>
        <v>0</v>
      </c>
      <c r="I30" s="205">
        <f>AppliancesLAPivot!H24</f>
        <v>19</v>
      </c>
    </row>
    <row r="31" spans="1:9" x14ac:dyDescent="0.25">
      <c r="A31" s="89" t="str">
        <f>IF(D7="2019-20","S12000050","S12000044")</f>
        <v>S12000044</v>
      </c>
      <c r="B31" s="48" t="s">
        <v>50</v>
      </c>
      <c r="C31" s="204">
        <f>AppliancesLAPivot!B25</f>
        <v>9</v>
      </c>
      <c r="D31" s="204">
        <f>AppliancesLAPivot!C25</f>
        <v>1</v>
      </c>
      <c r="E31" s="204">
        <f>AppliancesLAPivot!D25</f>
        <v>1</v>
      </c>
      <c r="F31" s="204">
        <f>AppliancesLAPivot!E25</f>
        <v>0</v>
      </c>
      <c r="G31" s="204">
        <f>AppliancesLAPivot!F25</f>
        <v>4</v>
      </c>
      <c r="H31" s="204">
        <f>AppliancesLAPivot!G25</f>
        <v>1</v>
      </c>
      <c r="I31" s="205">
        <f>AppliancesLAPivot!H25</f>
        <v>16</v>
      </c>
    </row>
    <row r="32" spans="1:9" x14ac:dyDescent="0.25">
      <c r="A32" s="89" t="s">
        <v>278</v>
      </c>
      <c r="B32" s="48" t="s">
        <v>51</v>
      </c>
      <c r="C32" s="204">
        <f>AppliancesLAPivot!B26</f>
        <v>14</v>
      </c>
      <c r="D32" s="204">
        <f>AppliancesLAPivot!C26</f>
        <v>0</v>
      </c>
      <c r="E32" s="204">
        <f>AppliancesLAPivot!D26</f>
        <v>0</v>
      </c>
      <c r="F32" s="204">
        <f>AppliancesLAPivot!E26</f>
        <v>3</v>
      </c>
      <c r="G32" s="204">
        <f>AppliancesLAPivot!F26</f>
        <v>0</v>
      </c>
      <c r="H32" s="204">
        <f>AppliancesLAPivot!G26</f>
        <v>0</v>
      </c>
      <c r="I32" s="205">
        <f>AppliancesLAPivot!H26</f>
        <v>17</v>
      </c>
    </row>
    <row r="33" spans="1:14" x14ac:dyDescent="0.25">
      <c r="A33" s="89" t="s">
        <v>279</v>
      </c>
      <c r="B33" s="48" t="s">
        <v>52</v>
      </c>
      <c r="C33" s="204">
        <f>AppliancesLAPivot!B27</f>
        <v>15</v>
      </c>
      <c r="D33" s="204">
        <f>AppliancesLAPivot!C27</f>
        <v>1</v>
      </c>
      <c r="E33" s="204">
        <f>AppliancesLAPivot!D27</f>
        <v>1</v>
      </c>
      <c r="F33" s="204">
        <f>AppliancesLAPivot!E27</f>
        <v>3</v>
      </c>
      <c r="G33" s="204">
        <f>AppliancesLAPivot!F27</f>
        <v>1</v>
      </c>
      <c r="H33" s="204">
        <f>AppliancesLAPivot!G27</f>
        <v>0</v>
      </c>
      <c r="I33" s="205">
        <f>AppliancesLAPivot!H27</f>
        <v>21</v>
      </c>
    </row>
    <row r="34" spans="1:14" x14ac:dyDescent="0.25">
      <c r="A34" s="89" t="s">
        <v>289</v>
      </c>
      <c r="B34" s="48" t="s">
        <v>53</v>
      </c>
      <c r="C34" s="204">
        <f>AppliancesLAPivot!B28</f>
        <v>5</v>
      </c>
      <c r="D34" s="204">
        <f>AppliancesLAPivot!C28</f>
        <v>1</v>
      </c>
      <c r="E34" s="204">
        <f>AppliancesLAPivot!D28</f>
        <v>0</v>
      </c>
      <c r="F34" s="204">
        <f>AppliancesLAPivot!E28</f>
        <v>0</v>
      </c>
      <c r="G34" s="204">
        <f>AppliancesLAPivot!F28</f>
        <v>3</v>
      </c>
      <c r="H34" s="204">
        <f>AppliancesLAPivot!G28</f>
        <v>0</v>
      </c>
      <c r="I34" s="205">
        <f>AppliancesLAPivot!H28</f>
        <v>9</v>
      </c>
    </row>
    <row r="35" spans="1:14" x14ac:dyDescent="0.25">
      <c r="A35" s="89" t="s">
        <v>280</v>
      </c>
      <c r="B35" s="48" t="s">
        <v>54</v>
      </c>
      <c r="C35" s="204">
        <f>AppliancesLAPivot!B29</f>
        <v>18</v>
      </c>
      <c r="D35" s="204">
        <f>AppliancesLAPivot!C29</f>
        <v>0</v>
      </c>
      <c r="E35" s="204">
        <f>AppliancesLAPivot!D29</f>
        <v>2</v>
      </c>
      <c r="F35" s="204">
        <f>AppliancesLAPivot!E29</f>
        <v>0</v>
      </c>
      <c r="G35" s="204">
        <f>AppliancesLAPivot!F29</f>
        <v>2</v>
      </c>
      <c r="H35" s="204">
        <f>AppliancesLAPivot!G29</f>
        <v>0</v>
      </c>
      <c r="I35" s="205">
        <f>AppliancesLAPivot!H29</f>
        <v>22</v>
      </c>
    </row>
    <row r="36" spans="1:14" x14ac:dyDescent="0.25">
      <c r="A36" s="89" t="s">
        <v>281</v>
      </c>
      <c r="B36" s="48" t="s">
        <v>55</v>
      </c>
      <c r="C36" s="204">
        <f>AppliancesLAPivot!B30</f>
        <v>16</v>
      </c>
      <c r="D36" s="204">
        <f>AppliancesLAPivot!C30</f>
        <v>0</v>
      </c>
      <c r="E36" s="204">
        <f>AppliancesLAPivot!D30</f>
        <v>0</v>
      </c>
      <c r="F36" s="204">
        <f>AppliancesLAPivot!E30</f>
        <v>1</v>
      </c>
      <c r="G36" s="204">
        <f>AppliancesLAPivot!F30</f>
        <v>1</v>
      </c>
      <c r="H36" s="204">
        <f>AppliancesLAPivot!G30</f>
        <v>0</v>
      </c>
      <c r="I36" s="205">
        <f>AppliancesLAPivot!H30</f>
        <v>18</v>
      </c>
    </row>
    <row r="37" spans="1:14" x14ac:dyDescent="0.25">
      <c r="A37" s="89" t="s">
        <v>282</v>
      </c>
      <c r="B37" s="48" t="s">
        <v>56</v>
      </c>
      <c r="C37" s="204">
        <f>AppliancesLAPivot!B31</f>
        <v>8</v>
      </c>
      <c r="D37" s="204">
        <f>AppliancesLAPivot!C31</f>
        <v>0</v>
      </c>
      <c r="E37" s="204">
        <f>AppliancesLAPivot!D31</f>
        <v>1</v>
      </c>
      <c r="F37" s="204">
        <f>AppliancesLAPivot!E31</f>
        <v>0</v>
      </c>
      <c r="G37" s="204">
        <f>AppliancesLAPivot!F31</f>
        <v>0</v>
      </c>
      <c r="H37" s="204">
        <f>AppliancesLAPivot!G31</f>
        <v>0</v>
      </c>
      <c r="I37" s="205">
        <f>AppliancesLAPivot!H31</f>
        <v>9</v>
      </c>
    </row>
    <row r="38" spans="1:14" x14ac:dyDescent="0.25">
      <c r="A38" s="89" t="s">
        <v>283</v>
      </c>
      <c r="B38" s="48" t="s">
        <v>57</v>
      </c>
      <c r="C38" s="204">
        <f>AppliancesLAPivot!B32</f>
        <v>15</v>
      </c>
      <c r="D38" s="204">
        <f>AppliancesLAPivot!C32</f>
        <v>0</v>
      </c>
      <c r="E38" s="204">
        <f>AppliancesLAPivot!D32</f>
        <v>2</v>
      </c>
      <c r="F38" s="204">
        <f>AppliancesLAPivot!E32</f>
        <v>0</v>
      </c>
      <c r="G38" s="204">
        <f>AppliancesLAPivot!F32</f>
        <v>5</v>
      </c>
      <c r="H38" s="204">
        <f>AppliancesLAPivot!G32</f>
        <v>1</v>
      </c>
      <c r="I38" s="205">
        <f>AppliancesLAPivot!H32</f>
        <v>23</v>
      </c>
    </row>
    <row r="39" spans="1:14" x14ac:dyDescent="0.25">
      <c r="A39" s="89" t="s">
        <v>284</v>
      </c>
      <c r="B39" s="48" t="s">
        <v>58</v>
      </c>
      <c r="C39" s="204">
        <f>AppliancesLAPivot!B33</f>
        <v>9</v>
      </c>
      <c r="D39" s="204">
        <f>AppliancesLAPivot!C33</f>
        <v>0</v>
      </c>
      <c r="E39" s="204">
        <f>AppliancesLAPivot!D33</f>
        <v>1</v>
      </c>
      <c r="F39" s="204">
        <f>AppliancesLAPivot!E33</f>
        <v>2</v>
      </c>
      <c r="G39" s="204">
        <f>AppliancesLAPivot!F33</f>
        <v>4</v>
      </c>
      <c r="H39" s="204">
        <f>AppliancesLAPivot!G33</f>
        <v>0</v>
      </c>
      <c r="I39" s="205">
        <f>AppliancesLAPivot!H33</f>
        <v>16</v>
      </c>
    </row>
    <row r="40" spans="1:14" x14ac:dyDescent="0.25">
      <c r="A40" s="89" t="s">
        <v>290</v>
      </c>
      <c r="B40" s="48" t="s">
        <v>59</v>
      </c>
      <c r="C40" s="204">
        <f>AppliancesLAPivot!B34</f>
        <v>5</v>
      </c>
      <c r="D40" s="204">
        <f>AppliancesLAPivot!C34</f>
        <v>0</v>
      </c>
      <c r="E40" s="204">
        <f>AppliancesLAPivot!D34</f>
        <v>0</v>
      </c>
      <c r="F40" s="204">
        <f>AppliancesLAPivot!E34</f>
        <v>0</v>
      </c>
      <c r="G40" s="204">
        <f>AppliancesLAPivot!F34</f>
        <v>1</v>
      </c>
      <c r="H40" s="204">
        <f>AppliancesLAPivot!G34</f>
        <v>1</v>
      </c>
      <c r="I40" s="205">
        <f>AppliancesLAPivot!H34</f>
        <v>7</v>
      </c>
    </row>
    <row r="41" spans="1:14" x14ac:dyDescent="0.25">
      <c r="A41" s="89" t="s">
        <v>291</v>
      </c>
      <c r="B41" s="48" t="s">
        <v>60</v>
      </c>
      <c r="C41" s="204">
        <f>AppliancesLAPivot!B35</f>
        <v>8</v>
      </c>
      <c r="D41" s="204">
        <f>AppliancesLAPivot!C35</f>
        <v>0</v>
      </c>
      <c r="E41" s="204">
        <f>AppliancesLAPivot!D35</f>
        <v>1</v>
      </c>
      <c r="F41" s="204">
        <f>AppliancesLAPivot!E35</f>
        <v>0</v>
      </c>
      <c r="G41" s="204">
        <f>AppliancesLAPivot!F35</f>
        <v>1</v>
      </c>
      <c r="H41" s="204">
        <f>AppliancesLAPivot!G35</f>
        <v>0</v>
      </c>
      <c r="I41" s="205">
        <f>AppliancesLAPivot!H35</f>
        <v>10</v>
      </c>
    </row>
    <row r="42" spans="1:14" ht="24.75" customHeight="1" thickBot="1" x14ac:dyDescent="0.3">
      <c r="A42" s="206"/>
      <c r="B42" s="206" t="s">
        <v>758</v>
      </c>
      <c r="C42" s="329">
        <f t="shared" ref="C42:H42" si="0">SUM(C10:C41)</f>
        <v>424</v>
      </c>
      <c r="D42" s="329">
        <f t="shared" si="0"/>
        <v>16</v>
      </c>
      <c r="E42" s="329">
        <f t="shared" si="0"/>
        <v>28</v>
      </c>
      <c r="F42" s="329">
        <f t="shared" si="0"/>
        <v>35</v>
      </c>
      <c r="G42" s="329">
        <f t="shared" si="0"/>
        <v>73</v>
      </c>
      <c r="H42" s="329">
        <f t="shared" si="0"/>
        <v>21</v>
      </c>
      <c r="I42" s="329">
        <f>SUM(I10:I41)</f>
        <v>597</v>
      </c>
    </row>
    <row r="43" spans="1:14" x14ac:dyDescent="0.25">
      <c r="B43" s="6"/>
      <c r="C43" s="207"/>
      <c r="D43" s="207"/>
      <c r="E43" s="207"/>
      <c r="F43" s="207"/>
      <c r="G43" s="207"/>
      <c r="H43" s="207"/>
      <c r="I43" s="85"/>
    </row>
    <row r="44" spans="1:14" x14ac:dyDescent="0.25">
      <c r="A44" s="317" t="s">
        <v>8</v>
      </c>
      <c r="I44" s="131"/>
    </row>
    <row r="45" spans="1:14" ht="30.75" customHeight="1" x14ac:dyDescent="0.25">
      <c r="A45" s="992" t="s">
        <v>829</v>
      </c>
      <c r="B45" s="992"/>
      <c r="C45" s="992"/>
      <c r="D45" s="992"/>
      <c r="E45" s="992"/>
      <c r="F45" s="992"/>
      <c r="G45" s="992"/>
      <c r="H45" s="992"/>
      <c r="I45" s="992"/>
      <c r="J45" s="468"/>
      <c r="K45" s="468"/>
      <c r="L45" s="468"/>
      <c r="M45" s="468"/>
      <c r="N45" s="468"/>
    </row>
    <row r="46" spans="1:14" x14ac:dyDescent="0.25">
      <c r="A46" t="s">
        <v>223</v>
      </c>
    </row>
  </sheetData>
  <sheetProtection algorithmName="SHA-512" hashValue="N0eq/aLtPIiyb3/Z9tFw2VFe8CXG3sVzchbKtjXl29oM8tYQsBGCoiNgdrOx+HMty3K2xQYsRfrOTmgF6nYs+A==" saltValue="4WRXHtt5VvlQefqtjPZohA==" spinCount="100000" sheet="1" scenarios="1" formatCells="0" sort="0" autoFilter="0" pivotTables="0"/>
  <mergeCells count="2">
    <mergeCell ref="A1:I1"/>
    <mergeCell ref="A45:I45"/>
  </mergeCells>
  <hyperlinks>
    <hyperlink ref="A2" location="'Table of Contents'!A1" display="Back to Table of Contents" xr:uid="{00000000-0004-0000-1800-000000000000}"/>
  </hyperlinks>
  <pageMargins left="0.70866141732283472" right="0.70866141732283472" top="0.74803149606299213" bottom="0.74803149606299213" header="0.31496062992125984" footer="0.31496062992125984"/>
  <pageSetup paperSize="9" scale="68" fitToHeight="0" orientation="portrait" r:id="rId1"/>
  <colBreaks count="1" manualBreakCount="1">
    <brk id="7" max="1048575" man="1"/>
  </colBreaks>
  <drawing r:id="rId2"/>
  <extLst>
    <ext xmlns:x14="http://schemas.microsoft.com/office/spreadsheetml/2009/9/main" uri="{A8765BA9-456A-4dab-B4F3-ACF838C121DE}">
      <x14:slicerList>
        <x14:slicer r:id="rId3"/>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2C9B3-8AB9-4608-9723-3D96134EF9F3}">
  <dimension ref="A1:G36"/>
  <sheetViews>
    <sheetView workbookViewId="0">
      <selection activeCell="B13" sqref="B13"/>
    </sheetView>
  </sheetViews>
  <sheetFormatPr defaultRowHeight="15" x14ac:dyDescent="0.25"/>
  <cols>
    <col min="1" max="1" width="12.42578125" bestFit="1" customWidth="1"/>
    <col min="2" max="2" width="27.42578125" bestFit="1" customWidth="1"/>
    <col min="3" max="3" width="25.85546875" bestFit="1" customWidth="1"/>
    <col min="4" max="4" width="17.7109375" bestFit="1" customWidth="1"/>
    <col min="5" max="5" width="13.42578125" bestFit="1" customWidth="1"/>
    <col min="6" max="6" width="13.85546875" bestFit="1" customWidth="1"/>
    <col min="7" max="7" width="15.5703125" bestFit="1" customWidth="1"/>
  </cols>
  <sheetData>
    <row r="1" spans="1:7" x14ac:dyDescent="0.25">
      <c r="A1" s="394" t="s">
        <v>231</v>
      </c>
      <c r="B1" t="s">
        <v>1126</v>
      </c>
      <c r="C1" t="s">
        <v>978</v>
      </c>
      <c r="D1" t="s">
        <v>772</v>
      </c>
      <c r="E1" t="s">
        <v>246</v>
      </c>
      <c r="F1" t="s">
        <v>247</v>
      </c>
      <c r="G1" t="s">
        <v>316</v>
      </c>
    </row>
    <row r="2" spans="1:7" x14ac:dyDescent="0.25">
      <c r="A2" s="395" t="s">
        <v>923</v>
      </c>
      <c r="B2">
        <v>4206</v>
      </c>
      <c r="C2">
        <v>3066</v>
      </c>
      <c r="E2">
        <v>233</v>
      </c>
      <c r="F2">
        <v>1114</v>
      </c>
      <c r="G2">
        <v>437</v>
      </c>
    </row>
    <row r="3" spans="1:7" x14ac:dyDescent="0.25">
      <c r="A3" s="395" t="s">
        <v>309</v>
      </c>
      <c r="B3">
        <v>4159</v>
      </c>
      <c r="C3">
        <v>3052</v>
      </c>
      <c r="E3">
        <v>234</v>
      </c>
      <c r="F3">
        <v>1136</v>
      </c>
      <c r="G3">
        <v>459</v>
      </c>
    </row>
    <row r="4" spans="1:7" x14ac:dyDescent="0.25">
      <c r="A4" s="395" t="s">
        <v>193</v>
      </c>
      <c r="B4">
        <v>4151</v>
      </c>
      <c r="C4">
        <v>3076</v>
      </c>
      <c r="E4">
        <v>234</v>
      </c>
      <c r="F4">
        <v>1086</v>
      </c>
      <c r="G4">
        <v>417</v>
      </c>
    </row>
    <row r="5" spans="1:7" x14ac:dyDescent="0.25">
      <c r="A5" s="395" t="s">
        <v>192</v>
      </c>
      <c r="B5">
        <v>4001</v>
      </c>
      <c r="C5">
        <v>2940</v>
      </c>
      <c r="E5">
        <v>223</v>
      </c>
      <c r="F5">
        <v>961</v>
      </c>
      <c r="G5">
        <v>359</v>
      </c>
    </row>
    <row r="6" spans="1:7" x14ac:dyDescent="0.25">
      <c r="A6" s="395" t="s">
        <v>191</v>
      </c>
      <c r="B6">
        <v>3856</v>
      </c>
      <c r="C6">
        <v>2950</v>
      </c>
      <c r="E6">
        <v>230</v>
      </c>
      <c r="F6">
        <v>867</v>
      </c>
      <c r="G6">
        <v>382</v>
      </c>
    </row>
    <row r="7" spans="1:7" x14ac:dyDescent="0.25">
      <c r="A7" s="395" t="s">
        <v>190</v>
      </c>
      <c r="B7">
        <v>3690</v>
      </c>
      <c r="C7">
        <v>2870</v>
      </c>
      <c r="E7">
        <v>203</v>
      </c>
      <c r="F7">
        <v>828</v>
      </c>
      <c r="G7">
        <v>342</v>
      </c>
    </row>
    <row r="8" spans="1:7" x14ac:dyDescent="0.25">
      <c r="A8" s="395" t="s">
        <v>257</v>
      </c>
      <c r="B8">
        <v>3645</v>
      </c>
      <c r="C8">
        <v>2870</v>
      </c>
      <c r="E8">
        <v>165</v>
      </c>
      <c r="F8">
        <v>838</v>
      </c>
      <c r="G8">
        <v>320</v>
      </c>
    </row>
    <row r="9" spans="1:7" x14ac:dyDescent="0.25">
      <c r="A9" s="395" t="s">
        <v>240</v>
      </c>
      <c r="B9">
        <v>3546</v>
      </c>
      <c r="C9">
        <v>2863</v>
      </c>
      <c r="E9">
        <v>189</v>
      </c>
      <c r="F9">
        <v>846</v>
      </c>
      <c r="G9">
        <v>336</v>
      </c>
    </row>
    <row r="10" spans="1:7" x14ac:dyDescent="0.25">
      <c r="A10" s="395" t="s">
        <v>239</v>
      </c>
      <c r="B10">
        <v>3637</v>
      </c>
      <c r="C10">
        <v>2935</v>
      </c>
      <c r="D10">
        <v>18</v>
      </c>
      <c r="E10">
        <v>207</v>
      </c>
      <c r="F10">
        <v>792</v>
      </c>
      <c r="G10">
        <v>321</v>
      </c>
    </row>
    <row r="11" spans="1:7" x14ac:dyDescent="0.25">
      <c r="A11" s="395" t="s">
        <v>760</v>
      </c>
      <c r="B11">
        <v>3636</v>
      </c>
      <c r="C11">
        <v>2937</v>
      </c>
      <c r="D11">
        <v>36</v>
      </c>
      <c r="E11">
        <v>188</v>
      </c>
      <c r="F11">
        <v>817</v>
      </c>
      <c r="G11">
        <v>315</v>
      </c>
    </row>
    <row r="12" spans="1:7" x14ac:dyDescent="0.25">
      <c r="A12" s="395" t="s">
        <v>917</v>
      </c>
      <c r="B12">
        <v>3581</v>
      </c>
      <c r="C12">
        <v>2872</v>
      </c>
      <c r="D12">
        <v>54</v>
      </c>
      <c r="E12">
        <v>182</v>
      </c>
      <c r="F12">
        <v>835</v>
      </c>
      <c r="G12">
        <v>303</v>
      </c>
    </row>
    <row r="13" spans="1:7" x14ac:dyDescent="0.25">
      <c r="A13" s="395" t="s">
        <v>1010</v>
      </c>
      <c r="B13">
        <v>3530</v>
      </c>
      <c r="C13">
        <v>2758</v>
      </c>
      <c r="D13">
        <v>53</v>
      </c>
      <c r="E13">
        <v>174</v>
      </c>
      <c r="F13">
        <v>920</v>
      </c>
      <c r="G13">
        <v>277</v>
      </c>
    </row>
    <row r="14" spans="1:7" x14ac:dyDescent="0.25">
      <c r="A14" s="395" t="s">
        <v>1061</v>
      </c>
      <c r="B14">
        <v>3490</v>
      </c>
      <c r="C14">
        <v>2735</v>
      </c>
      <c r="D14">
        <v>55</v>
      </c>
      <c r="E14">
        <v>172</v>
      </c>
      <c r="F14">
        <v>901</v>
      </c>
      <c r="G14">
        <v>266</v>
      </c>
    </row>
    <row r="15" spans="1:7" x14ac:dyDescent="0.25">
      <c r="A15" s="395" t="s">
        <v>1108</v>
      </c>
      <c r="B15">
        <v>3422</v>
      </c>
      <c r="C15">
        <v>2708</v>
      </c>
      <c r="D15">
        <v>55</v>
      </c>
      <c r="E15">
        <v>171</v>
      </c>
      <c r="F15">
        <v>887</v>
      </c>
      <c r="G15">
        <v>269</v>
      </c>
    </row>
    <row r="16" spans="1:7" x14ac:dyDescent="0.25">
      <c r="A16" s="395" t="s">
        <v>236</v>
      </c>
      <c r="B16">
        <v>52550</v>
      </c>
      <c r="C16">
        <v>40632</v>
      </c>
      <c r="D16">
        <v>271</v>
      </c>
      <c r="E16">
        <v>2805</v>
      </c>
      <c r="F16">
        <v>12828</v>
      </c>
      <c r="G16">
        <v>4803</v>
      </c>
    </row>
    <row r="22" spans="1:6" x14ac:dyDescent="0.25">
      <c r="A22" s="394" t="s">
        <v>231</v>
      </c>
      <c r="B22" t="s">
        <v>1126</v>
      </c>
      <c r="C22" t="s">
        <v>978</v>
      </c>
      <c r="D22" t="s">
        <v>772</v>
      </c>
      <c r="E22" t="s">
        <v>246</v>
      </c>
      <c r="F22" t="s">
        <v>247</v>
      </c>
    </row>
    <row r="23" spans="1:6" x14ac:dyDescent="0.25">
      <c r="A23" s="395" t="s">
        <v>309</v>
      </c>
      <c r="B23">
        <v>4159</v>
      </c>
      <c r="C23">
        <v>2813</v>
      </c>
      <c r="E23">
        <v>225</v>
      </c>
      <c r="F23">
        <v>961</v>
      </c>
    </row>
    <row r="24" spans="1:6" x14ac:dyDescent="0.25">
      <c r="A24" s="395" t="s">
        <v>193</v>
      </c>
      <c r="B24">
        <v>4151</v>
      </c>
      <c r="C24">
        <v>2787</v>
      </c>
      <c r="E24">
        <v>224</v>
      </c>
      <c r="F24">
        <v>927</v>
      </c>
    </row>
    <row r="25" spans="1:6" x14ac:dyDescent="0.25">
      <c r="A25" s="395" t="s">
        <v>192</v>
      </c>
      <c r="B25">
        <v>4001</v>
      </c>
      <c r="C25">
        <v>2665</v>
      </c>
      <c r="E25">
        <v>213</v>
      </c>
      <c r="F25">
        <v>811</v>
      </c>
    </row>
    <row r="26" spans="1:6" x14ac:dyDescent="0.25">
      <c r="A26" s="395" t="s">
        <v>191</v>
      </c>
      <c r="B26">
        <v>3856</v>
      </c>
      <c r="C26">
        <v>2669</v>
      </c>
      <c r="E26">
        <v>221</v>
      </c>
      <c r="F26">
        <v>744</v>
      </c>
    </row>
    <row r="27" spans="1:6" x14ac:dyDescent="0.25">
      <c r="A27" s="395" t="s">
        <v>190</v>
      </c>
      <c r="B27">
        <v>3690</v>
      </c>
      <c r="C27">
        <v>2527</v>
      </c>
      <c r="E27">
        <v>195</v>
      </c>
      <c r="F27">
        <v>719</v>
      </c>
    </row>
    <row r="28" spans="1:6" x14ac:dyDescent="0.25">
      <c r="A28" s="395" t="s">
        <v>257</v>
      </c>
      <c r="B28">
        <v>3644</v>
      </c>
      <c r="C28">
        <v>2546</v>
      </c>
      <c r="E28">
        <v>160</v>
      </c>
      <c r="F28">
        <v>745</v>
      </c>
    </row>
    <row r="29" spans="1:6" x14ac:dyDescent="0.25">
      <c r="A29" s="395" t="s">
        <v>240</v>
      </c>
      <c r="B29">
        <v>3544</v>
      </c>
      <c r="C29">
        <v>2545</v>
      </c>
      <c r="E29">
        <v>184</v>
      </c>
      <c r="F29">
        <v>759</v>
      </c>
    </row>
    <row r="30" spans="1:6" x14ac:dyDescent="0.25">
      <c r="A30" s="395" t="s">
        <v>239</v>
      </c>
      <c r="B30">
        <v>3635.9300000000003</v>
      </c>
      <c r="C30">
        <v>2583.98</v>
      </c>
      <c r="D30">
        <v>18</v>
      </c>
      <c r="E30">
        <v>202.32999999999998</v>
      </c>
      <c r="F30">
        <v>745.56000000000006</v>
      </c>
    </row>
    <row r="31" spans="1:6" x14ac:dyDescent="0.25">
      <c r="A31" s="395" t="s">
        <v>760</v>
      </c>
      <c r="B31">
        <v>3633.93</v>
      </c>
      <c r="C31">
        <v>2551.73</v>
      </c>
      <c r="D31">
        <v>36</v>
      </c>
      <c r="E31">
        <v>183.82999999999998</v>
      </c>
      <c r="F31">
        <v>764.4</v>
      </c>
    </row>
    <row r="32" spans="1:6" x14ac:dyDescent="0.25">
      <c r="A32" s="395" t="s">
        <v>917</v>
      </c>
      <c r="B32">
        <v>3578.43</v>
      </c>
      <c r="C32">
        <v>2482.48</v>
      </c>
      <c r="D32">
        <v>54</v>
      </c>
      <c r="E32">
        <v>176.06</v>
      </c>
      <c r="F32">
        <v>786.29</v>
      </c>
    </row>
    <row r="33" spans="1:6" x14ac:dyDescent="0.25">
      <c r="A33" s="395" t="s">
        <v>1010</v>
      </c>
      <c r="B33">
        <v>3528.43</v>
      </c>
      <c r="C33">
        <v>2375.48</v>
      </c>
      <c r="D33">
        <v>53</v>
      </c>
      <c r="E33">
        <v>170.46</v>
      </c>
      <c r="F33">
        <v>862.45999999999992</v>
      </c>
    </row>
    <row r="34" spans="1:6" x14ac:dyDescent="0.25">
      <c r="A34" s="395" t="s">
        <v>1061</v>
      </c>
      <c r="B34">
        <v>3487.43</v>
      </c>
      <c r="C34">
        <v>2333.12</v>
      </c>
      <c r="D34">
        <v>55</v>
      </c>
      <c r="E34">
        <v>168.06</v>
      </c>
      <c r="F34">
        <v>850.35</v>
      </c>
    </row>
    <row r="35" spans="1:6" x14ac:dyDescent="0.25">
      <c r="A35" s="395" t="s">
        <v>1108</v>
      </c>
      <c r="B35">
        <v>3419.08</v>
      </c>
      <c r="C35">
        <v>2289.77</v>
      </c>
      <c r="D35">
        <v>55</v>
      </c>
      <c r="E35">
        <v>166.21</v>
      </c>
      <c r="F35">
        <v>829.4</v>
      </c>
    </row>
    <row r="36" spans="1:6" x14ac:dyDescent="0.25">
      <c r="A36" s="395" t="s">
        <v>236</v>
      </c>
      <c r="B36">
        <v>48328.23</v>
      </c>
      <c r="C36">
        <v>33168.559999999998</v>
      </c>
      <c r="D36">
        <v>271</v>
      </c>
      <c r="E36">
        <v>2488.9499999999998</v>
      </c>
      <c r="F36">
        <v>10504.46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9B89D-7BB5-447F-AEBE-B751AAD93DC9}">
  <dimension ref="A1:G37"/>
  <sheetViews>
    <sheetView workbookViewId="0">
      <selection activeCell="B9" sqref="B9"/>
    </sheetView>
  </sheetViews>
  <sheetFormatPr defaultRowHeight="15" x14ac:dyDescent="0.25"/>
  <cols>
    <col min="1" max="1" width="7.5703125" bestFit="1" customWidth="1"/>
    <col min="2" max="2" width="23.42578125" bestFit="1" customWidth="1"/>
    <col min="3" max="3" width="21.5703125" bestFit="1" customWidth="1"/>
    <col min="4" max="4" width="13.5703125" bestFit="1" customWidth="1"/>
    <col min="5" max="5" width="9.42578125" bestFit="1" customWidth="1"/>
    <col min="6" max="6" width="9.85546875" bestFit="1" customWidth="1"/>
    <col min="7" max="7" width="11.42578125" bestFit="1" customWidth="1"/>
  </cols>
  <sheetData>
    <row r="1" spans="1:7" x14ac:dyDescent="0.25">
      <c r="A1" t="s">
        <v>1</v>
      </c>
      <c r="B1" t="s">
        <v>1125</v>
      </c>
      <c r="C1" t="s">
        <v>28</v>
      </c>
      <c r="D1" t="s">
        <v>761</v>
      </c>
      <c r="E1" t="s">
        <v>2</v>
      </c>
      <c r="F1" t="s">
        <v>3</v>
      </c>
      <c r="G1" t="s">
        <v>29</v>
      </c>
    </row>
    <row r="2" spans="1:7" x14ac:dyDescent="0.25">
      <c r="A2" t="s">
        <v>1061</v>
      </c>
      <c r="B2">
        <v>3490</v>
      </c>
      <c r="C2">
        <v>2735</v>
      </c>
      <c r="D2">
        <v>55</v>
      </c>
      <c r="E2">
        <v>172</v>
      </c>
      <c r="F2">
        <v>901</v>
      </c>
      <c r="G2">
        <v>266</v>
      </c>
    </row>
    <row r="3" spans="1:7" x14ac:dyDescent="0.25">
      <c r="A3" t="s">
        <v>192</v>
      </c>
      <c r="B3">
        <v>4001</v>
      </c>
      <c r="C3">
        <v>2940</v>
      </c>
      <c r="E3">
        <v>223</v>
      </c>
      <c r="F3">
        <v>961</v>
      </c>
      <c r="G3">
        <v>359</v>
      </c>
    </row>
    <row r="4" spans="1:7" x14ac:dyDescent="0.25">
      <c r="A4" t="s">
        <v>240</v>
      </c>
      <c r="B4">
        <v>3546</v>
      </c>
      <c r="C4">
        <v>2863</v>
      </c>
      <c r="E4">
        <v>189</v>
      </c>
      <c r="F4">
        <v>846</v>
      </c>
      <c r="G4">
        <v>336</v>
      </c>
    </row>
    <row r="5" spans="1:7" x14ac:dyDescent="0.25">
      <c r="A5" t="s">
        <v>309</v>
      </c>
      <c r="B5">
        <v>4159</v>
      </c>
      <c r="C5">
        <v>3052</v>
      </c>
      <c r="E5">
        <v>234</v>
      </c>
      <c r="F5">
        <v>1136</v>
      </c>
      <c r="G5">
        <v>459</v>
      </c>
    </row>
    <row r="6" spans="1:7" x14ac:dyDescent="0.25">
      <c r="A6" t="s">
        <v>1108</v>
      </c>
      <c r="B6">
        <v>3422</v>
      </c>
      <c r="C6">
        <v>2708</v>
      </c>
      <c r="D6">
        <v>55</v>
      </c>
      <c r="E6">
        <v>171</v>
      </c>
      <c r="F6">
        <v>887</v>
      </c>
      <c r="G6">
        <v>269</v>
      </c>
    </row>
    <row r="7" spans="1:7" x14ac:dyDescent="0.25">
      <c r="A7" t="s">
        <v>193</v>
      </c>
      <c r="B7">
        <v>4151</v>
      </c>
      <c r="C7">
        <v>3076</v>
      </c>
      <c r="E7">
        <v>234</v>
      </c>
      <c r="F7">
        <v>1086</v>
      </c>
      <c r="G7">
        <v>417</v>
      </c>
    </row>
    <row r="8" spans="1:7" x14ac:dyDescent="0.25">
      <c r="A8" t="s">
        <v>191</v>
      </c>
      <c r="B8">
        <v>3856</v>
      </c>
      <c r="C8">
        <v>2950</v>
      </c>
      <c r="E8">
        <v>230</v>
      </c>
      <c r="F8">
        <v>867</v>
      </c>
      <c r="G8">
        <v>382</v>
      </c>
    </row>
    <row r="9" spans="1:7" x14ac:dyDescent="0.25">
      <c r="A9" t="s">
        <v>239</v>
      </c>
      <c r="B9">
        <v>3637</v>
      </c>
      <c r="C9">
        <v>2935</v>
      </c>
      <c r="D9">
        <v>18</v>
      </c>
      <c r="E9">
        <v>207</v>
      </c>
      <c r="F9">
        <v>792</v>
      </c>
      <c r="G9">
        <v>321</v>
      </c>
    </row>
    <row r="10" spans="1:7" x14ac:dyDescent="0.25">
      <c r="A10" t="s">
        <v>760</v>
      </c>
      <c r="B10">
        <v>3636</v>
      </c>
      <c r="C10">
        <v>2937</v>
      </c>
      <c r="D10">
        <v>36</v>
      </c>
      <c r="E10">
        <v>188</v>
      </c>
      <c r="F10">
        <v>817</v>
      </c>
      <c r="G10">
        <v>315</v>
      </c>
    </row>
    <row r="11" spans="1:7" x14ac:dyDescent="0.25">
      <c r="A11" t="s">
        <v>190</v>
      </c>
      <c r="B11">
        <v>3690</v>
      </c>
      <c r="C11">
        <v>2870</v>
      </c>
      <c r="E11">
        <v>203</v>
      </c>
      <c r="F11">
        <v>828</v>
      </c>
      <c r="G11">
        <v>342</v>
      </c>
    </row>
    <row r="12" spans="1:7" x14ac:dyDescent="0.25">
      <c r="A12" t="s">
        <v>257</v>
      </c>
      <c r="B12">
        <v>3645</v>
      </c>
      <c r="C12">
        <v>2870</v>
      </c>
      <c r="E12">
        <v>165</v>
      </c>
      <c r="F12">
        <v>838</v>
      </c>
      <c r="G12">
        <v>320</v>
      </c>
    </row>
    <row r="13" spans="1:7" x14ac:dyDescent="0.25">
      <c r="A13" t="s">
        <v>917</v>
      </c>
      <c r="B13">
        <v>3581</v>
      </c>
      <c r="C13">
        <v>2872</v>
      </c>
      <c r="D13">
        <v>54</v>
      </c>
      <c r="E13">
        <v>182</v>
      </c>
      <c r="F13">
        <v>835</v>
      </c>
      <c r="G13">
        <v>303</v>
      </c>
    </row>
    <row r="14" spans="1:7" x14ac:dyDescent="0.25">
      <c r="A14" t="s">
        <v>923</v>
      </c>
      <c r="B14">
        <v>4206</v>
      </c>
      <c r="C14">
        <v>3066</v>
      </c>
      <c r="E14">
        <v>233</v>
      </c>
      <c r="F14">
        <v>1114</v>
      </c>
      <c r="G14">
        <v>437</v>
      </c>
    </row>
    <row r="15" spans="1:7" x14ac:dyDescent="0.25">
      <c r="A15" t="s">
        <v>1010</v>
      </c>
      <c r="B15">
        <v>3530</v>
      </c>
      <c r="C15">
        <v>2758</v>
      </c>
      <c r="D15">
        <v>53</v>
      </c>
      <c r="E15">
        <v>174</v>
      </c>
      <c r="F15">
        <v>920</v>
      </c>
      <c r="G15">
        <v>277</v>
      </c>
    </row>
    <row r="24" spans="1:6" x14ac:dyDescent="0.25">
      <c r="A24" t="s">
        <v>1</v>
      </c>
      <c r="B24" t="s">
        <v>1125</v>
      </c>
      <c r="C24" t="s">
        <v>28</v>
      </c>
      <c r="D24" t="s">
        <v>761</v>
      </c>
      <c r="E24" t="s">
        <v>2</v>
      </c>
      <c r="F24" t="s">
        <v>3</v>
      </c>
    </row>
    <row r="25" spans="1:6" x14ac:dyDescent="0.25">
      <c r="A25" t="s">
        <v>239</v>
      </c>
      <c r="B25">
        <v>3635.9300000000003</v>
      </c>
      <c r="C25">
        <v>2583.98</v>
      </c>
      <c r="D25">
        <v>18</v>
      </c>
      <c r="E25">
        <v>202.32999999999998</v>
      </c>
      <c r="F25">
        <v>745.56000000000006</v>
      </c>
    </row>
    <row r="26" spans="1:6" x14ac:dyDescent="0.25">
      <c r="A26" t="s">
        <v>192</v>
      </c>
      <c r="B26">
        <v>4001</v>
      </c>
      <c r="C26">
        <v>2665</v>
      </c>
      <c r="E26">
        <v>213</v>
      </c>
      <c r="F26">
        <v>811</v>
      </c>
    </row>
    <row r="27" spans="1:6" x14ac:dyDescent="0.25">
      <c r="A27" t="s">
        <v>190</v>
      </c>
      <c r="B27">
        <v>3690</v>
      </c>
      <c r="C27">
        <v>2527</v>
      </c>
      <c r="E27">
        <v>195</v>
      </c>
      <c r="F27">
        <v>719</v>
      </c>
    </row>
    <row r="28" spans="1:6" x14ac:dyDescent="0.25">
      <c r="A28" t="s">
        <v>760</v>
      </c>
      <c r="B28">
        <v>3633.93</v>
      </c>
      <c r="C28">
        <v>2551.73</v>
      </c>
      <c r="D28">
        <v>36</v>
      </c>
      <c r="E28">
        <v>183.82999999999998</v>
      </c>
      <c r="F28">
        <v>764.4</v>
      </c>
    </row>
    <row r="29" spans="1:6" x14ac:dyDescent="0.25">
      <c r="A29" t="s">
        <v>1061</v>
      </c>
      <c r="B29">
        <v>3487.43</v>
      </c>
      <c r="C29">
        <v>2333.12</v>
      </c>
      <c r="D29">
        <v>55</v>
      </c>
      <c r="E29">
        <v>168.06</v>
      </c>
      <c r="F29">
        <v>850.35</v>
      </c>
    </row>
    <row r="30" spans="1:6" x14ac:dyDescent="0.25">
      <c r="A30" t="s">
        <v>193</v>
      </c>
      <c r="B30">
        <v>4151</v>
      </c>
      <c r="C30">
        <v>2787</v>
      </c>
      <c r="E30">
        <v>224</v>
      </c>
      <c r="F30">
        <v>927</v>
      </c>
    </row>
    <row r="31" spans="1:6" x14ac:dyDescent="0.25">
      <c r="A31" t="s">
        <v>257</v>
      </c>
      <c r="B31">
        <v>3644</v>
      </c>
      <c r="C31">
        <v>2546</v>
      </c>
      <c r="E31">
        <v>160</v>
      </c>
      <c r="F31">
        <v>745</v>
      </c>
    </row>
    <row r="32" spans="1:6" x14ac:dyDescent="0.25">
      <c r="A32" t="s">
        <v>1010</v>
      </c>
      <c r="B32">
        <v>3528.43</v>
      </c>
      <c r="C32">
        <v>2375.48</v>
      </c>
      <c r="D32">
        <v>53</v>
      </c>
      <c r="E32">
        <v>170.46</v>
      </c>
      <c r="F32">
        <v>862.45999999999992</v>
      </c>
    </row>
    <row r="33" spans="1:6" x14ac:dyDescent="0.25">
      <c r="A33" t="s">
        <v>309</v>
      </c>
      <c r="B33">
        <v>4159</v>
      </c>
      <c r="C33">
        <v>2813</v>
      </c>
      <c r="E33">
        <v>225</v>
      </c>
      <c r="F33">
        <v>961</v>
      </c>
    </row>
    <row r="34" spans="1:6" x14ac:dyDescent="0.25">
      <c r="A34" t="s">
        <v>191</v>
      </c>
      <c r="B34">
        <v>3856</v>
      </c>
      <c r="C34">
        <v>2669</v>
      </c>
      <c r="E34">
        <v>221</v>
      </c>
      <c r="F34">
        <v>744</v>
      </c>
    </row>
    <row r="35" spans="1:6" x14ac:dyDescent="0.25">
      <c r="A35" t="s">
        <v>240</v>
      </c>
      <c r="B35">
        <v>3544</v>
      </c>
      <c r="C35">
        <v>2545</v>
      </c>
      <c r="E35">
        <v>184</v>
      </c>
      <c r="F35">
        <v>759</v>
      </c>
    </row>
    <row r="36" spans="1:6" x14ac:dyDescent="0.25">
      <c r="A36" t="s">
        <v>917</v>
      </c>
      <c r="B36">
        <v>3578.43</v>
      </c>
      <c r="C36">
        <v>2482.48</v>
      </c>
      <c r="D36">
        <v>54</v>
      </c>
      <c r="E36">
        <v>176.06</v>
      </c>
      <c r="F36">
        <v>786.29</v>
      </c>
    </row>
    <row r="37" spans="1:6" x14ac:dyDescent="0.25">
      <c r="A37" t="s">
        <v>1108</v>
      </c>
      <c r="B37">
        <v>3419.08</v>
      </c>
      <c r="C37">
        <v>2289.77</v>
      </c>
      <c r="D37">
        <v>55</v>
      </c>
      <c r="E37">
        <v>166.21</v>
      </c>
      <c r="F37">
        <v>829.4</v>
      </c>
    </row>
  </sheetData>
  <pageMargins left="0.7" right="0.7" top="0.75" bottom="0.75" header="0.3" footer="0.3"/>
  <tableParts count="2">
    <tablePart r:id="rId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
    <tabColor theme="9" tint="0.39997558519241921"/>
    <pageSetUpPr fitToPage="1"/>
  </sheetPr>
  <dimension ref="A1:XFA78"/>
  <sheetViews>
    <sheetView showGridLines="0" zoomScaleNormal="100" workbookViewId="0">
      <pane ySplit="2" topLeftCell="A3" activePane="bottomLeft" state="frozen"/>
      <selection pane="bottomLeft" sqref="A1:J1"/>
    </sheetView>
  </sheetViews>
  <sheetFormatPr defaultRowHeight="15" x14ac:dyDescent="0.25"/>
  <cols>
    <col min="1" max="1" width="33.5703125" bestFit="1" customWidth="1"/>
    <col min="2" max="2" width="21.85546875" bestFit="1" customWidth="1"/>
    <col min="3" max="3" width="19.7109375" bestFit="1" customWidth="1"/>
    <col min="4" max="4" width="17.28515625" customWidth="1"/>
    <col min="5" max="5" width="11.85546875" customWidth="1"/>
    <col min="6" max="6" width="11.140625" customWidth="1"/>
    <col min="7" max="7" width="14.42578125" customWidth="1"/>
    <col min="8" max="8" width="11.85546875" customWidth="1"/>
    <col min="9" max="9" width="4.42578125" customWidth="1"/>
    <col min="10" max="10" width="11.42578125" customWidth="1"/>
    <col min="12" max="12" width="35.140625" bestFit="1" customWidth="1"/>
  </cols>
  <sheetData>
    <row r="1" spans="1:21" ht="15.75" x14ac:dyDescent="0.25">
      <c r="A1" s="993" t="s">
        <v>450</v>
      </c>
      <c r="B1" s="993"/>
      <c r="C1" s="993"/>
      <c r="D1" s="993"/>
      <c r="E1" s="993"/>
      <c r="F1" s="993"/>
      <c r="G1" s="993"/>
      <c r="H1" s="993"/>
      <c r="I1" s="993"/>
      <c r="J1" s="993"/>
    </row>
    <row r="2" spans="1:21" ht="15" customHeight="1" x14ac:dyDescent="0.25">
      <c r="A2" s="507" t="s">
        <v>511</v>
      </c>
      <c r="B2" s="1"/>
      <c r="C2" s="1"/>
      <c r="D2" s="1"/>
      <c r="E2" s="1"/>
      <c r="F2" s="1"/>
      <c r="G2" s="1"/>
      <c r="H2" s="1"/>
      <c r="I2" s="1"/>
      <c r="J2" s="1"/>
      <c r="K2" s="1"/>
    </row>
    <row r="3" spans="1:21" ht="15" customHeight="1" x14ac:dyDescent="0.25">
      <c r="A3" s="1"/>
      <c r="B3" s="1"/>
      <c r="C3" s="1"/>
      <c r="D3" s="1"/>
      <c r="E3" s="1"/>
      <c r="F3" s="1"/>
      <c r="G3" s="1"/>
      <c r="H3" s="1"/>
      <c r="I3" s="1"/>
      <c r="J3" s="1"/>
      <c r="K3" s="1"/>
    </row>
    <row r="4" spans="1:21" ht="24" customHeight="1" x14ac:dyDescent="0.25">
      <c r="A4" s="447" t="s">
        <v>477</v>
      </c>
      <c r="B4" s="447"/>
      <c r="C4" s="447"/>
      <c r="D4" s="447"/>
      <c r="E4" s="447"/>
      <c r="F4" s="447"/>
      <c r="G4" s="447"/>
      <c r="H4" s="447"/>
      <c r="I4" s="447"/>
      <c r="J4" s="447"/>
      <c r="K4" s="1"/>
    </row>
    <row r="5" spans="1:21" ht="15.75" customHeight="1" x14ac:dyDescent="0.25">
      <c r="A5" t="s">
        <v>328</v>
      </c>
      <c r="B5" t="s">
        <v>644</v>
      </c>
      <c r="U5" s="403"/>
    </row>
    <row r="6" spans="1:21" ht="15.75" customHeight="1" x14ac:dyDescent="0.25">
      <c r="A6" t="s">
        <v>329</v>
      </c>
      <c r="B6" t="s">
        <v>331</v>
      </c>
      <c r="U6" s="403"/>
    </row>
    <row r="7" spans="1:21" ht="15.75" customHeight="1" x14ac:dyDescent="0.25">
      <c r="A7" t="s">
        <v>330</v>
      </c>
      <c r="B7" t="s">
        <v>332</v>
      </c>
      <c r="U7" s="403"/>
    </row>
    <row r="8" spans="1:21" ht="15" customHeight="1" x14ac:dyDescent="0.25">
      <c r="U8" s="403"/>
    </row>
    <row r="9" spans="1:21" ht="39" x14ac:dyDescent="0.25">
      <c r="A9" s="534" t="s">
        <v>1</v>
      </c>
      <c r="B9" s="661" t="s">
        <v>27</v>
      </c>
      <c r="C9" s="661" t="s">
        <v>28</v>
      </c>
      <c r="D9" s="661" t="s">
        <v>831</v>
      </c>
      <c r="E9" s="661" t="s">
        <v>2</v>
      </c>
      <c r="F9" s="661" t="s">
        <v>3</v>
      </c>
      <c r="G9" s="661" t="s">
        <v>29</v>
      </c>
      <c r="H9" s="3" t="s">
        <v>4</v>
      </c>
      <c r="I9" s="3"/>
      <c r="J9" s="3" t="s">
        <v>5</v>
      </c>
      <c r="K9" s="15"/>
      <c r="U9" s="403"/>
    </row>
    <row r="10" spans="1:21" x14ac:dyDescent="0.25">
      <c r="A10" s="317" t="s">
        <v>309</v>
      </c>
      <c r="B10" s="614">
        <f>GETPIVOTDATA("Sum of WholeTime Operational",StaffingPivot!$A$1,"Year",A10)</f>
        <v>4159</v>
      </c>
      <c r="C10" s="614">
        <f>GETPIVOTDATA("Sum of Retained Duty System",StaffingPivot!$A$1,"Year",A10)</f>
        <v>3052</v>
      </c>
      <c r="D10" s="623"/>
      <c r="E10" s="614">
        <f>GETPIVOTDATA("Sum of Control",StaffingPivot!$A$1,"Year",A10)</f>
        <v>234</v>
      </c>
      <c r="F10" s="614">
        <f>GETPIVOTDATA("Sum of Support",StaffingPivot!$A$1,"Year",A10)</f>
        <v>1136</v>
      </c>
      <c r="G10" s="614">
        <f>GETPIVOTDATA("Sum of Volunteer",StaffingPivot!$A$1,"Year",A10)</f>
        <v>459</v>
      </c>
      <c r="H10" s="721">
        <f>SUM(B10:G10)</f>
        <v>9040</v>
      </c>
      <c r="I10" s="721"/>
      <c r="J10" s="721">
        <f>H10-G10</f>
        <v>8581</v>
      </c>
      <c r="K10" s="15"/>
      <c r="U10" s="403"/>
    </row>
    <row r="11" spans="1:21" x14ac:dyDescent="0.25">
      <c r="A11" s="317" t="s">
        <v>193</v>
      </c>
      <c r="B11" s="614">
        <f>GETPIVOTDATA("Sum of WholeTime Operational",StaffingPivot!$A$1,"Year",A11)</f>
        <v>4151</v>
      </c>
      <c r="C11" s="614">
        <f>GETPIVOTDATA("Sum of Retained Duty System",StaffingPivot!$A$1,"Year",A11)</f>
        <v>3076</v>
      </c>
      <c r="D11" s="623"/>
      <c r="E11" s="614">
        <f>GETPIVOTDATA("Sum of Control",StaffingPivot!$A$1,"Year",A11)</f>
        <v>234</v>
      </c>
      <c r="F11" s="614">
        <f>GETPIVOTDATA("Sum of Support",StaffingPivot!$A$1,"Year",A11)</f>
        <v>1086</v>
      </c>
      <c r="G11" s="614">
        <f>GETPIVOTDATA("Sum of Volunteer",StaffingPivot!$A$1,"Year",A11)</f>
        <v>417</v>
      </c>
      <c r="H11" s="721">
        <f t="shared" ref="H11:H19" si="0">SUM(B11:G11)</f>
        <v>8964</v>
      </c>
      <c r="I11" s="721"/>
      <c r="J11" s="721">
        <f t="shared" ref="J11:J21" si="1">H11-G11</f>
        <v>8547</v>
      </c>
      <c r="K11" s="15"/>
      <c r="U11" s="403"/>
    </row>
    <row r="12" spans="1:21" x14ac:dyDescent="0.25">
      <c r="A12" s="317" t="s">
        <v>192</v>
      </c>
      <c r="B12" s="614">
        <f>GETPIVOTDATA("Sum of WholeTime Operational",StaffingPivot!$A$1,"Year",A12)</f>
        <v>4001</v>
      </c>
      <c r="C12" s="614">
        <f>GETPIVOTDATA("Sum of Retained Duty System",StaffingPivot!$A$1,"Year",A12)</f>
        <v>2940</v>
      </c>
      <c r="D12" s="623"/>
      <c r="E12" s="614">
        <f>GETPIVOTDATA("Sum of Control",StaffingPivot!$A$1,"Year",A12)</f>
        <v>223</v>
      </c>
      <c r="F12" s="614">
        <f>GETPIVOTDATA("Sum of Support",StaffingPivot!$A$1,"Year",A12)</f>
        <v>961</v>
      </c>
      <c r="G12" s="614">
        <f>GETPIVOTDATA("Sum of Volunteer",StaffingPivot!$A$1,"Year",A12)</f>
        <v>359</v>
      </c>
      <c r="H12" s="721">
        <f t="shared" si="0"/>
        <v>8484</v>
      </c>
      <c r="I12" s="721"/>
      <c r="J12" s="721">
        <f t="shared" si="1"/>
        <v>8125</v>
      </c>
      <c r="K12" s="15"/>
      <c r="U12" s="403"/>
    </row>
    <row r="13" spans="1:21" x14ac:dyDescent="0.25">
      <c r="A13" s="317" t="s">
        <v>191</v>
      </c>
      <c r="B13" s="614">
        <f>GETPIVOTDATA("Sum of WholeTime Operational",StaffingPivot!$A$1,"Year",A13)</f>
        <v>3856</v>
      </c>
      <c r="C13" s="614">
        <f>GETPIVOTDATA("Sum of Retained Duty System",StaffingPivot!$A$1,"Year",A13)</f>
        <v>2950</v>
      </c>
      <c r="D13" s="623"/>
      <c r="E13" s="614">
        <f>GETPIVOTDATA("Sum of Control",StaffingPivot!$A$1,"Year",A13)</f>
        <v>230</v>
      </c>
      <c r="F13" s="614">
        <f>GETPIVOTDATA("Sum of Support",StaffingPivot!$A$1,"Year",A13)</f>
        <v>867</v>
      </c>
      <c r="G13" s="614">
        <f>GETPIVOTDATA("Sum of Volunteer",StaffingPivot!$A$1,"Year",A13)</f>
        <v>382</v>
      </c>
      <c r="H13" s="721">
        <f t="shared" si="0"/>
        <v>8285</v>
      </c>
      <c r="I13" s="721"/>
      <c r="J13" s="721">
        <f t="shared" si="1"/>
        <v>7903</v>
      </c>
      <c r="K13" s="269"/>
      <c r="U13" s="403"/>
    </row>
    <row r="14" spans="1:21" x14ac:dyDescent="0.25">
      <c r="A14" s="317" t="s">
        <v>190</v>
      </c>
      <c r="B14" s="614">
        <f>GETPIVOTDATA("Sum of WholeTime Operational",StaffingPivot!$A$1,"Year",A14)</f>
        <v>3690</v>
      </c>
      <c r="C14" s="614">
        <f>GETPIVOTDATA("Sum of Retained Duty System",StaffingPivot!$A$1,"Year",A14)</f>
        <v>2870</v>
      </c>
      <c r="D14" s="623"/>
      <c r="E14" s="614">
        <f>GETPIVOTDATA("Sum of Control",StaffingPivot!$A$1,"Year",A14)</f>
        <v>203</v>
      </c>
      <c r="F14" s="614">
        <f>GETPIVOTDATA("Sum of Support",StaffingPivot!$A$1,"Year",A14)</f>
        <v>828</v>
      </c>
      <c r="G14" s="614">
        <f>GETPIVOTDATA("Sum of Volunteer",StaffingPivot!$A$1,"Year",A14)</f>
        <v>342</v>
      </c>
      <c r="H14" s="721">
        <f t="shared" si="0"/>
        <v>7933</v>
      </c>
      <c r="I14" s="721"/>
      <c r="J14" s="721">
        <f t="shared" si="1"/>
        <v>7591</v>
      </c>
      <c r="K14" s="269"/>
      <c r="U14" s="403"/>
    </row>
    <row r="15" spans="1:21" x14ac:dyDescent="0.25">
      <c r="A15" s="317" t="s">
        <v>257</v>
      </c>
      <c r="B15" s="614">
        <f>GETPIVOTDATA("Sum of WholeTime Operational",StaffingPivot!$A$1,"Year",A15)</f>
        <v>3645</v>
      </c>
      <c r="C15" s="614">
        <f>GETPIVOTDATA("Sum of Retained Duty System",StaffingPivot!$A$1,"Year",A15)</f>
        <v>2870</v>
      </c>
      <c r="D15" s="623"/>
      <c r="E15" s="614">
        <f>GETPIVOTDATA("Sum of Control",StaffingPivot!$A$1,"Year",A15)</f>
        <v>165</v>
      </c>
      <c r="F15" s="614">
        <f>GETPIVOTDATA("Sum of Support",StaffingPivot!$A$1,"Year",A15)</f>
        <v>838</v>
      </c>
      <c r="G15" s="614">
        <f>GETPIVOTDATA("Sum of Volunteer",StaffingPivot!$A$1,"Year",A15)</f>
        <v>320</v>
      </c>
      <c r="H15" s="721">
        <f t="shared" si="0"/>
        <v>7838</v>
      </c>
      <c r="I15" s="722"/>
      <c r="J15" s="721">
        <f t="shared" si="1"/>
        <v>7518</v>
      </c>
      <c r="K15" s="271"/>
      <c r="U15" s="403"/>
    </row>
    <row r="16" spans="1:21" x14ac:dyDescent="0.25">
      <c r="A16" s="317" t="s">
        <v>240</v>
      </c>
      <c r="B16" s="614">
        <f>GETPIVOTDATA("Sum of WholeTime Operational",StaffingPivot!$A$1,"Year",A16)</f>
        <v>3546</v>
      </c>
      <c r="C16" s="614">
        <f>GETPIVOTDATA("Sum of Retained Duty System",StaffingPivot!$A$1,"Year",A16)</f>
        <v>2863</v>
      </c>
      <c r="D16" s="623"/>
      <c r="E16" s="614">
        <f>GETPIVOTDATA("Sum of Control",StaffingPivot!$A$1,"Year",A16)</f>
        <v>189</v>
      </c>
      <c r="F16" s="614">
        <f>GETPIVOTDATA("Sum of Support",StaffingPivot!$A$1,"Year",A16)</f>
        <v>846</v>
      </c>
      <c r="G16" s="614">
        <f>GETPIVOTDATA("Sum of Volunteer",StaffingPivot!$A$1,"Year",A16)</f>
        <v>336</v>
      </c>
      <c r="H16" s="721">
        <f t="shared" si="0"/>
        <v>7780</v>
      </c>
      <c r="I16" s="722"/>
      <c r="J16" s="721">
        <f t="shared" si="1"/>
        <v>7444</v>
      </c>
      <c r="K16" s="271"/>
      <c r="U16" s="403"/>
    </row>
    <row r="17" spans="1:21" x14ac:dyDescent="0.25">
      <c r="A17" s="317" t="s">
        <v>239</v>
      </c>
      <c r="B17" s="614">
        <f>GETPIVOTDATA("Sum of WholeTime Operational",StaffingPivot!$A$1,"Year",A17)</f>
        <v>3637</v>
      </c>
      <c r="C17" s="614">
        <f>GETPIVOTDATA("Sum of Retained Duty System",StaffingPivot!$A$1,"Year",A17)</f>
        <v>2935</v>
      </c>
      <c r="D17" s="623">
        <f>GETPIVOTDATA("Sum of RDS Fulltime",StaffingPivot!$A$1,"Year",A17)</f>
        <v>18</v>
      </c>
      <c r="E17" s="614">
        <f>GETPIVOTDATA("Sum of Control",StaffingPivot!$A$1,"Year",A17)</f>
        <v>207</v>
      </c>
      <c r="F17" s="614">
        <f>GETPIVOTDATA("Sum of Support",StaffingPivot!$A$1,"Year",A17)</f>
        <v>792</v>
      </c>
      <c r="G17" s="614">
        <f>GETPIVOTDATA("Sum of Volunteer",StaffingPivot!$A$1,"Year",A17)</f>
        <v>321</v>
      </c>
      <c r="H17" s="721">
        <f t="shared" si="0"/>
        <v>7910</v>
      </c>
      <c r="I17" s="722"/>
      <c r="J17" s="721">
        <f t="shared" si="1"/>
        <v>7589</v>
      </c>
      <c r="K17" s="271"/>
      <c r="U17" s="403"/>
    </row>
    <row r="18" spans="1:21" x14ac:dyDescent="0.25">
      <c r="A18" s="317" t="s">
        <v>760</v>
      </c>
      <c r="B18" s="614">
        <f>GETPIVOTDATA("Sum of WholeTime Operational",StaffingPivot!$A$1,"Year",A18)</f>
        <v>3636</v>
      </c>
      <c r="C18" s="614">
        <f>GETPIVOTDATA("Sum of Retained Duty System",StaffingPivot!$A$1,"Year",A18)</f>
        <v>2937</v>
      </c>
      <c r="D18" s="623">
        <f>GETPIVOTDATA("Sum of RDS Fulltime",StaffingPivot!$A$1,"Year",A18)</f>
        <v>36</v>
      </c>
      <c r="E18" s="614">
        <f>GETPIVOTDATA("Sum of Control",StaffingPivot!$A$1,"Year",A18)</f>
        <v>188</v>
      </c>
      <c r="F18" s="614">
        <f>GETPIVOTDATA("Sum of Support",StaffingPivot!$A$1,"Year",A18)</f>
        <v>817</v>
      </c>
      <c r="G18" s="614">
        <f>GETPIVOTDATA("Sum of Volunteer",StaffingPivot!$A$1,"Year",A18)</f>
        <v>315</v>
      </c>
      <c r="H18" s="721">
        <f t="shared" si="0"/>
        <v>7929</v>
      </c>
      <c r="I18" s="722"/>
      <c r="J18" s="721">
        <f t="shared" si="1"/>
        <v>7614</v>
      </c>
      <c r="K18" s="271"/>
      <c r="U18" s="403"/>
    </row>
    <row r="19" spans="1:21" x14ac:dyDescent="0.25">
      <c r="A19" s="317" t="s">
        <v>917</v>
      </c>
      <c r="B19" s="614">
        <f>GETPIVOTDATA("Sum of WholeTime Operational",StaffingPivot!$A$1,"Year",A19)</f>
        <v>3581</v>
      </c>
      <c r="C19" s="614">
        <f>GETPIVOTDATA("Sum of Retained Duty System",StaffingPivot!$A$1,"Year",A19)</f>
        <v>2872</v>
      </c>
      <c r="D19" s="623">
        <f>GETPIVOTDATA("Sum of RDS Fulltime",StaffingPivot!$A$1,"Year",A19)</f>
        <v>54</v>
      </c>
      <c r="E19" s="614">
        <f>GETPIVOTDATA("Sum of Control",StaffingPivot!$A$1,"Year",A19)</f>
        <v>182</v>
      </c>
      <c r="F19" s="614">
        <f>GETPIVOTDATA("Sum of Support",StaffingPivot!$A$1,"Year",A19)</f>
        <v>835</v>
      </c>
      <c r="G19" s="614">
        <f>GETPIVOTDATA("Sum of Volunteer",StaffingPivot!$A$1,"Year",A19)</f>
        <v>303</v>
      </c>
      <c r="H19" s="721">
        <f t="shared" si="0"/>
        <v>7827</v>
      </c>
      <c r="I19" s="723"/>
      <c r="J19" s="721">
        <f t="shared" si="1"/>
        <v>7524</v>
      </c>
      <c r="K19" s="269"/>
      <c r="U19" s="403"/>
    </row>
    <row r="20" spans="1:21" x14ac:dyDescent="0.25">
      <c r="A20" s="317" t="s">
        <v>1010</v>
      </c>
      <c r="B20" s="614">
        <f>GETPIVOTDATA("Sum of WholeTime Operational",StaffingPivot!$A$1,"Year",A20)</f>
        <v>3530</v>
      </c>
      <c r="C20" s="614">
        <f>GETPIVOTDATA("Sum of Retained Duty System",StaffingPivot!$A$1,"Year",A20)</f>
        <v>2758</v>
      </c>
      <c r="D20" s="623">
        <f>GETPIVOTDATA("Sum of RDS Fulltime",StaffingPivot!$A$1,"Year",A20)</f>
        <v>53</v>
      </c>
      <c r="E20" s="614">
        <f>GETPIVOTDATA("Sum of Control",StaffingPivot!$A$1,"Year",A20)</f>
        <v>174</v>
      </c>
      <c r="F20" s="614">
        <f>GETPIVOTDATA("Sum of Support",StaffingPivot!$A$1,"Year",A20)</f>
        <v>920</v>
      </c>
      <c r="G20" s="614">
        <f>GETPIVOTDATA("Sum of Volunteer",StaffingPivot!$A$1,"Year",A20)</f>
        <v>277</v>
      </c>
      <c r="H20" s="721">
        <f>SUM(B20:G20)</f>
        <v>7712</v>
      </c>
      <c r="I20" s="723"/>
      <c r="J20" s="721">
        <f>H20-G20</f>
        <v>7435</v>
      </c>
    </row>
    <row r="21" spans="1:21" x14ac:dyDescent="0.25">
      <c r="A21" s="317" t="s">
        <v>1061</v>
      </c>
      <c r="B21" s="614">
        <f>GETPIVOTDATA("Sum of WholeTime Operational",StaffingPivot!$A$1,"Year",A21)</f>
        <v>3490</v>
      </c>
      <c r="C21" s="614">
        <f>GETPIVOTDATA("Sum of Retained Duty System",StaffingPivot!$A$1,"Year",A21)</f>
        <v>2735</v>
      </c>
      <c r="D21" s="623">
        <f>GETPIVOTDATA("Sum of RDS Fulltime",StaffingPivot!$A$1,"Year",A21)</f>
        <v>55</v>
      </c>
      <c r="E21" s="614">
        <f>GETPIVOTDATA("Sum of Control",StaffingPivot!$A$1,"Year",A21)</f>
        <v>172</v>
      </c>
      <c r="F21" s="614">
        <f>GETPIVOTDATA("Sum of Support",StaffingPivot!$A$1,"Year",A21)</f>
        <v>901</v>
      </c>
      <c r="G21" s="614">
        <f>GETPIVOTDATA("Sum of Volunteer",StaffingPivot!$A$1,"Year",A21)</f>
        <v>266</v>
      </c>
      <c r="H21" s="721">
        <f>SUM(B21:G21)</f>
        <v>7619</v>
      </c>
      <c r="I21" s="723"/>
      <c r="J21" s="721">
        <f t="shared" si="1"/>
        <v>7353</v>
      </c>
    </row>
    <row r="22" spans="1:21" ht="14.1" customHeight="1" thickBot="1" x14ac:dyDescent="0.3">
      <c r="A22" s="533" t="s">
        <v>1108</v>
      </c>
      <c r="B22" s="619">
        <f>GETPIVOTDATA("Sum of WholeTime Operational",StaffingPivot!$A$1,"Year",A22)</f>
        <v>3422</v>
      </c>
      <c r="C22" s="619">
        <f>GETPIVOTDATA("Sum of Retained Duty System",StaffingPivot!$A$1,"Year",A22)</f>
        <v>2708</v>
      </c>
      <c r="D22" s="838">
        <f>GETPIVOTDATA("Sum of RDS Fulltime",StaffingPivot!$A$1,"Year",A22)</f>
        <v>55</v>
      </c>
      <c r="E22" s="619">
        <f>GETPIVOTDATA("Sum of Control",StaffingPivot!$A$1,"Year",A22)</f>
        <v>171</v>
      </c>
      <c r="F22" s="619">
        <f>GETPIVOTDATA("Sum of Support",StaffingPivot!$A$1,"Year",A22)</f>
        <v>887</v>
      </c>
      <c r="G22" s="619">
        <f>GETPIVOTDATA("Sum of Volunteer",StaffingPivot!$A$1,"Year",A22)</f>
        <v>269</v>
      </c>
      <c r="H22" s="812">
        <f>SUM(B22:G22)</f>
        <v>7512</v>
      </c>
      <c r="I22" s="724"/>
      <c r="J22" s="812">
        <f t="shared" ref="J22" si="2">H22-G22</f>
        <v>7243</v>
      </c>
      <c r="K22" s="15"/>
      <c r="U22" s="403"/>
    </row>
    <row r="23" spans="1:21" ht="14.1" customHeight="1" x14ac:dyDescent="0.25">
      <c r="A23" s="317"/>
      <c r="K23" s="15"/>
      <c r="U23" s="403"/>
    </row>
    <row r="24" spans="1:21" ht="14.1" customHeight="1" x14ac:dyDescent="0.25">
      <c r="A24" s="663" t="str">
        <f>"One Year Change " &amp; A21 &amp; " to " &amp; A22</f>
        <v>One Year Change 2022-23 to 2023-24</v>
      </c>
      <c r="B24" s="663"/>
      <c r="C24" s="663"/>
      <c r="D24" s="576"/>
      <c r="E24" s="273"/>
      <c r="F24" s="273"/>
      <c r="G24" s="273"/>
      <c r="H24" s="273"/>
      <c r="I24" s="272"/>
      <c r="J24" s="273"/>
      <c r="K24" s="15"/>
      <c r="U24" s="403"/>
    </row>
    <row r="25" spans="1:21" ht="18" customHeight="1" x14ac:dyDescent="0.25">
      <c r="A25" s="8" t="s">
        <v>6</v>
      </c>
      <c r="B25" s="9">
        <f>B22-B21</f>
        <v>-68</v>
      </c>
      <c r="C25" s="9">
        <f t="shared" ref="C25:J25" si="3">C22-C21</f>
        <v>-27</v>
      </c>
      <c r="D25" s="9">
        <f t="shared" si="3"/>
        <v>0</v>
      </c>
      <c r="E25" s="9">
        <f t="shared" si="3"/>
        <v>-1</v>
      </c>
      <c r="F25" s="9">
        <f t="shared" si="3"/>
        <v>-14</v>
      </c>
      <c r="G25" s="9">
        <f t="shared" si="3"/>
        <v>3</v>
      </c>
      <c r="H25" s="9">
        <f t="shared" si="3"/>
        <v>-107</v>
      </c>
      <c r="I25" s="9"/>
      <c r="J25" s="9">
        <f t="shared" si="3"/>
        <v>-110</v>
      </c>
      <c r="K25" s="301"/>
      <c r="U25" s="403"/>
    </row>
    <row r="26" spans="1:21" ht="14.1" customHeight="1" thickBot="1" x14ac:dyDescent="0.3">
      <c r="A26" s="10" t="s">
        <v>7</v>
      </c>
      <c r="B26" s="274">
        <f>B25/B21</f>
        <v>-1.9484240687679084E-2</v>
      </c>
      <c r="C26" s="274">
        <f t="shared" ref="C26:J26" si="4">C25/C21</f>
        <v>-9.872029250457038E-3</v>
      </c>
      <c r="D26" s="274">
        <f t="shared" si="4"/>
        <v>0</v>
      </c>
      <c r="E26" s="274">
        <f>E25/E21</f>
        <v>-5.8139534883720929E-3</v>
      </c>
      <c r="F26" s="274">
        <f t="shared" si="4"/>
        <v>-1.5538290788013319E-2</v>
      </c>
      <c r="G26" s="274">
        <f t="shared" si="4"/>
        <v>1.1278195488721804E-2</v>
      </c>
      <c r="H26" s="274">
        <f t="shared" si="4"/>
        <v>-1.4043837773986087E-2</v>
      </c>
      <c r="I26" s="274"/>
      <c r="J26" s="274">
        <f t="shared" si="4"/>
        <v>-1.4959880320957433E-2</v>
      </c>
      <c r="K26" s="15"/>
      <c r="U26" s="403"/>
    </row>
    <row r="27" spans="1:21" ht="18" customHeight="1" x14ac:dyDescent="0.25">
      <c r="A27" s="12"/>
      <c r="B27" s="13"/>
      <c r="C27" s="13"/>
      <c r="D27" s="13"/>
      <c r="E27" s="13"/>
      <c r="F27" s="13"/>
      <c r="G27" s="13"/>
      <c r="H27" s="14"/>
      <c r="I27" s="13"/>
      <c r="J27" s="13"/>
      <c r="K27" s="301"/>
      <c r="U27" s="403"/>
    </row>
    <row r="28" spans="1:21" ht="18" customHeight="1" x14ac:dyDescent="0.25">
      <c r="A28" s="663" t="str">
        <f>"Five Year Change " &amp; A17 &amp; " to " &amp; A22</f>
        <v>Five Year Change 2018-19 to 2023-24</v>
      </c>
      <c r="B28" s="663"/>
      <c r="C28" s="663"/>
      <c r="D28" s="576"/>
      <c r="E28" s="273"/>
      <c r="F28" s="273"/>
      <c r="G28" s="273"/>
      <c r="H28" s="273"/>
      <c r="I28" s="272"/>
      <c r="J28" s="273"/>
      <c r="K28" s="301"/>
      <c r="U28" s="403"/>
    </row>
    <row r="29" spans="1:21" ht="18" customHeight="1" x14ac:dyDescent="0.25">
      <c r="A29" s="8" t="s">
        <v>6</v>
      </c>
      <c r="B29" s="9">
        <f>B22-B17</f>
        <v>-215</v>
      </c>
      <c r="C29" s="9">
        <f t="shared" ref="C29:J29" si="5">C22-C17</f>
        <v>-227</v>
      </c>
      <c r="D29" s="9">
        <f t="shared" si="5"/>
        <v>37</v>
      </c>
      <c r="E29" s="9">
        <f t="shared" si="5"/>
        <v>-36</v>
      </c>
      <c r="F29" s="9">
        <f t="shared" si="5"/>
        <v>95</v>
      </c>
      <c r="G29" s="9">
        <f t="shared" si="5"/>
        <v>-52</v>
      </c>
      <c r="H29" s="9">
        <f t="shared" si="5"/>
        <v>-398</v>
      </c>
      <c r="I29" s="9"/>
      <c r="J29" s="9">
        <f t="shared" si="5"/>
        <v>-346</v>
      </c>
      <c r="K29" s="15"/>
      <c r="U29" s="403"/>
    </row>
    <row r="30" spans="1:21" ht="15" customHeight="1" thickBot="1" x14ac:dyDescent="0.3">
      <c r="A30" s="10" t="s">
        <v>7</v>
      </c>
      <c r="B30" s="274">
        <f>B29/B17</f>
        <v>-5.9114654935386306E-2</v>
      </c>
      <c r="C30" s="274">
        <f t="shared" ref="C30:J30" si="6">C29/C17</f>
        <v>-7.7342419080068142E-2</v>
      </c>
      <c r="D30" s="274"/>
      <c r="E30" s="274">
        <f t="shared" si="6"/>
        <v>-0.17391304347826086</v>
      </c>
      <c r="F30" s="274">
        <f t="shared" si="6"/>
        <v>0.11994949494949494</v>
      </c>
      <c r="G30" s="274">
        <f t="shared" si="6"/>
        <v>-0.16199376947040497</v>
      </c>
      <c r="H30" s="274">
        <f t="shared" si="6"/>
        <v>-5.031605562579014E-2</v>
      </c>
      <c r="I30" s="274"/>
      <c r="J30" s="274">
        <f t="shared" si="6"/>
        <v>-4.5592304651469233E-2</v>
      </c>
      <c r="K30" s="15"/>
      <c r="U30" s="403"/>
    </row>
    <row r="31" spans="1:21" ht="15" customHeight="1" x14ac:dyDescent="0.25">
      <c r="A31" s="437"/>
      <c r="B31" s="438"/>
      <c r="C31" s="438"/>
      <c r="D31" s="438"/>
      <c r="E31" s="438"/>
      <c r="F31" s="438"/>
      <c r="G31" s="438"/>
      <c r="H31" s="438"/>
      <c r="I31" s="438"/>
      <c r="J31" s="438"/>
      <c r="K31" s="15"/>
      <c r="U31" s="403"/>
    </row>
    <row r="32" spans="1:21" ht="28.5" customHeight="1" x14ac:dyDescent="0.25">
      <c r="A32" s="317" t="s">
        <v>8</v>
      </c>
      <c r="B32" s="438"/>
      <c r="C32" s="438"/>
      <c r="D32" s="438"/>
      <c r="E32" s="438"/>
      <c r="F32" s="438"/>
      <c r="G32" s="438"/>
      <c r="H32" s="438"/>
      <c r="I32" s="438"/>
      <c r="J32" s="438"/>
      <c r="K32" s="15"/>
      <c r="U32" s="403"/>
    </row>
    <row r="33" spans="1:16381" ht="32.1" customHeight="1" x14ac:dyDescent="0.25">
      <c r="A33" s="1003" t="s">
        <v>830</v>
      </c>
      <c r="B33" s="1003"/>
      <c r="C33" s="1003"/>
      <c r="D33" s="1003"/>
      <c r="E33" s="1003"/>
      <c r="F33" s="1003"/>
      <c r="G33" s="1003"/>
      <c r="H33" s="581"/>
      <c r="I33" s="581"/>
      <c r="J33" s="581"/>
      <c r="K33" s="15"/>
      <c r="U33" s="403"/>
    </row>
    <row r="34" spans="1:16381" x14ac:dyDescent="0.25">
      <c r="A34" s="1003" t="s">
        <v>1106</v>
      </c>
      <c r="B34" s="1003"/>
      <c r="C34" s="1003"/>
      <c r="D34" s="1003"/>
      <c r="E34" s="581"/>
      <c r="F34" s="581"/>
      <c r="G34" s="581"/>
      <c r="H34" s="581"/>
      <c r="I34" s="581"/>
      <c r="J34" s="581"/>
      <c r="K34" s="15"/>
      <c r="U34" s="403"/>
    </row>
    <row r="35" spans="1:16381" ht="24" customHeight="1" x14ac:dyDescent="0.25">
      <c r="A35" s="15"/>
      <c r="B35" s="15"/>
      <c r="C35" s="15"/>
      <c r="D35" s="15"/>
      <c r="E35" s="15"/>
      <c r="F35" s="15"/>
      <c r="G35" s="15"/>
      <c r="H35" s="15"/>
      <c r="I35" s="15"/>
      <c r="J35" s="15"/>
      <c r="K35" s="15"/>
      <c r="U35" s="403"/>
    </row>
    <row r="36" spans="1:16381" ht="15" customHeight="1" x14ac:dyDescent="0.25">
      <c r="A36" s="447" t="s">
        <v>478</v>
      </c>
      <c r="B36" s="447"/>
      <c r="C36" s="447"/>
      <c r="D36" s="447"/>
      <c r="E36" s="447"/>
      <c r="F36" s="447"/>
      <c r="G36" s="447"/>
      <c r="H36" s="447"/>
      <c r="I36" s="447"/>
      <c r="J36" s="447"/>
      <c r="K36" s="15"/>
      <c r="U36" s="403"/>
    </row>
    <row r="37" spans="1:16381" ht="15" customHeight="1" x14ac:dyDescent="0.25">
      <c r="A37" t="s">
        <v>328</v>
      </c>
      <c r="B37" t="s">
        <v>645</v>
      </c>
      <c r="E37" s="232"/>
      <c r="F37" s="232"/>
      <c r="G37" s="232"/>
      <c r="H37" s="232"/>
      <c r="I37" s="232"/>
      <c r="J37" s="232"/>
      <c r="K37" s="15"/>
      <c r="U37" s="403"/>
    </row>
    <row r="38" spans="1:16381" ht="15" customHeight="1" x14ac:dyDescent="0.25">
      <c r="A38" t="s">
        <v>329</v>
      </c>
      <c r="B38" t="s">
        <v>331</v>
      </c>
      <c r="E38" s="232"/>
      <c r="F38" s="232"/>
      <c r="G38" s="232"/>
      <c r="H38" s="232"/>
      <c r="I38" s="232"/>
      <c r="J38" s="232"/>
      <c r="K38" s="15"/>
      <c r="U38" s="403"/>
    </row>
    <row r="39" spans="1:16381" ht="15.95" customHeight="1" x14ac:dyDescent="0.25">
      <c r="A39" t="s">
        <v>330</v>
      </c>
      <c r="B39" t="s">
        <v>332</v>
      </c>
      <c r="E39" s="232"/>
      <c r="F39" s="232"/>
      <c r="G39" s="232"/>
      <c r="H39" s="232"/>
      <c r="I39" s="232"/>
      <c r="J39" s="232"/>
      <c r="K39" s="15"/>
      <c r="U39" s="403"/>
    </row>
    <row r="40" spans="1:16381" ht="15.75" x14ac:dyDescent="0.25">
      <c r="A40" s="317"/>
      <c r="B40" s="317"/>
      <c r="C40" s="317"/>
      <c r="D40" s="317"/>
      <c r="E40" s="317"/>
      <c r="F40" s="317"/>
      <c r="G40" s="317"/>
      <c r="H40" s="232"/>
      <c r="I40" s="232"/>
      <c r="J40" s="232"/>
      <c r="K40" s="15"/>
      <c r="U40" s="403"/>
    </row>
    <row r="41" spans="1:16381" ht="45" x14ac:dyDescent="0.25">
      <c r="A41" s="504" t="s">
        <v>1</v>
      </c>
      <c r="B41" s="657" t="s">
        <v>27</v>
      </c>
      <c r="C41" s="657" t="s">
        <v>28</v>
      </c>
      <c r="D41" s="657" t="s">
        <v>831</v>
      </c>
      <c r="E41" s="657" t="s">
        <v>2</v>
      </c>
      <c r="F41" s="657" t="s">
        <v>3</v>
      </c>
      <c r="G41" s="657" t="s">
        <v>5</v>
      </c>
      <c r="I41" s="268"/>
      <c r="J41" s="268"/>
      <c r="K41" s="15"/>
      <c r="U41" s="403"/>
    </row>
    <row r="42" spans="1:16381" x14ac:dyDescent="0.25">
      <c r="A42" s="317" t="s">
        <v>309</v>
      </c>
      <c r="B42" s="614">
        <f>GETPIVOTDATA("Sum of WholeTime Operational",StaffingPivot!$A$22,"Year",A42)</f>
        <v>4159</v>
      </c>
      <c r="C42" s="614">
        <f>GETPIVOTDATA("Sum of Retained Duty System",StaffingPivot!$A$22,"Year",A42)</f>
        <v>2813</v>
      </c>
      <c r="D42" s="623"/>
      <c r="E42" s="614">
        <f>GETPIVOTDATA("Sum of Control",StaffingPivot!$A$22,"Year",A42)</f>
        <v>225</v>
      </c>
      <c r="F42" s="614">
        <f>GETPIVOTDATA("Sum of Support",StaffingPivot!$A$22,"Year",A42)</f>
        <v>961</v>
      </c>
      <c r="G42" s="615">
        <f t="shared" ref="G42:G53" si="7">SUM(B42:F42)</f>
        <v>8158</v>
      </c>
      <c r="I42" s="268"/>
      <c r="J42" s="268"/>
      <c r="K42" s="15"/>
      <c r="U42" s="403"/>
    </row>
    <row r="43" spans="1:16381" x14ac:dyDescent="0.25">
      <c r="A43" s="317" t="s">
        <v>193</v>
      </c>
      <c r="B43" s="614">
        <f>GETPIVOTDATA("Sum of WholeTime Operational",StaffingPivot!$A$22,"Year",A43)</f>
        <v>4151</v>
      </c>
      <c r="C43" s="614">
        <f>GETPIVOTDATA("Sum of Retained Duty System",StaffingPivot!$A$22,"Year",A43)</f>
        <v>2787</v>
      </c>
      <c r="D43" s="623"/>
      <c r="E43" s="614">
        <f>GETPIVOTDATA("Sum of Control",StaffingPivot!$A$22,"Year",A43)</f>
        <v>224</v>
      </c>
      <c r="F43" s="614">
        <f>GETPIVOTDATA("Sum of Support",StaffingPivot!$A$22,"Year",A43)</f>
        <v>927</v>
      </c>
      <c r="G43" s="615">
        <f t="shared" si="7"/>
        <v>8089</v>
      </c>
      <c r="I43" s="268"/>
      <c r="J43" s="268"/>
      <c r="K43" s="15"/>
      <c r="U43" s="403"/>
    </row>
    <row r="44" spans="1:16381" ht="15" customHeight="1" x14ac:dyDescent="0.25">
      <c r="A44" s="317" t="s">
        <v>192</v>
      </c>
      <c r="B44" s="614">
        <f>GETPIVOTDATA("Sum of WholeTime Operational",StaffingPivot!$A$22,"Year",A44)</f>
        <v>4001</v>
      </c>
      <c r="C44" s="614">
        <f>GETPIVOTDATA("Sum of Retained Duty System",StaffingPivot!$A$22,"Year",A44)</f>
        <v>2665</v>
      </c>
      <c r="D44" s="623"/>
      <c r="E44" s="614">
        <f>GETPIVOTDATA("Sum of Control",StaffingPivot!$A$22,"Year",A44)</f>
        <v>213</v>
      </c>
      <c r="F44" s="614">
        <f>GETPIVOTDATA("Sum of Support",StaffingPivot!$A$22,"Year",A44)</f>
        <v>811</v>
      </c>
      <c r="G44" s="615">
        <f t="shared" si="7"/>
        <v>7690</v>
      </c>
      <c r="I44" s="268"/>
      <c r="J44" s="268"/>
      <c r="K44" s="1004"/>
      <c r="L44" s="1004"/>
      <c r="M44" s="1004"/>
      <c r="N44" s="1004"/>
      <c r="O44" s="1004"/>
      <c r="P44" s="1004"/>
      <c r="Q44" s="1004"/>
      <c r="R44" s="1004"/>
      <c r="S44" s="1004"/>
      <c r="T44" s="1004"/>
      <c r="U44" s="1004"/>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004"/>
      <c r="AQ44" s="1004"/>
      <c r="AR44" s="1004"/>
      <c r="AS44" s="1004"/>
      <c r="AT44" s="1004"/>
      <c r="AU44" s="1004"/>
      <c r="AV44" s="1004"/>
      <c r="AW44" s="1004"/>
      <c r="AX44" s="1004"/>
      <c r="AY44" s="1004"/>
      <c r="AZ44" s="1004"/>
      <c r="BA44" s="1004"/>
      <c r="BB44" s="1004"/>
      <c r="BC44" s="1004"/>
      <c r="BD44" s="1004"/>
      <c r="BE44" s="1004"/>
      <c r="BF44" s="1004"/>
      <c r="BG44" s="1004"/>
      <c r="BH44" s="1004"/>
      <c r="BI44" s="1004"/>
      <c r="BJ44" s="1004"/>
      <c r="BK44" s="1004"/>
      <c r="BL44" s="1004"/>
      <c r="BM44" s="1004"/>
      <c r="BN44" s="1004"/>
      <c r="BO44" s="1004"/>
      <c r="BP44" s="1004"/>
      <c r="BQ44" s="1004"/>
      <c r="BR44" s="1004"/>
      <c r="BS44" s="1004"/>
      <c r="BT44" s="1004"/>
      <c r="BU44" s="1004"/>
      <c r="BV44" s="1004"/>
      <c r="BW44" s="1004"/>
      <c r="BX44" s="1004"/>
      <c r="BY44" s="1004"/>
      <c r="BZ44" s="1004"/>
      <c r="CA44" s="1004"/>
      <c r="CB44" s="1004"/>
      <c r="CC44" s="1004"/>
      <c r="CD44" s="1004"/>
      <c r="CE44" s="1004"/>
      <c r="CF44" s="1004"/>
      <c r="CG44" s="1004"/>
      <c r="CH44" s="1004"/>
      <c r="CI44" s="1004"/>
      <c r="CJ44" s="1004"/>
      <c r="CK44" s="1004"/>
      <c r="CL44" s="1004"/>
      <c r="CM44" s="1004"/>
      <c r="CN44" s="1004"/>
      <c r="CO44" s="1004"/>
      <c r="CP44" s="1004"/>
      <c r="CQ44" s="1004"/>
      <c r="CR44" s="1004"/>
      <c r="CS44" s="1004"/>
      <c r="CT44" s="1004"/>
      <c r="CU44" s="1004"/>
      <c r="CV44" s="1004"/>
      <c r="CW44" s="1004"/>
      <c r="CX44" s="1004"/>
      <c r="CY44" s="1004"/>
      <c r="CZ44" s="1004"/>
      <c r="DA44" s="1004"/>
      <c r="DB44" s="1004"/>
      <c r="DC44" s="1004"/>
      <c r="DD44" s="1004"/>
      <c r="DE44" s="1004"/>
      <c r="DF44" s="1004"/>
      <c r="DG44" s="1004"/>
      <c r="DH44" s="1004"/>
      <c r="DI44" s="1004"/>
      <c r="DJ44" s="1004"/>
      <c r="DK44" s="1004"/>
      <c r="DL44" s="1004"/>
      <c r="DM44" s="1004"/>
      <c r="DN44" s="1004"/>
      <c r="DO44" s="1004"/>
      <c r="DP44" s="1004"/>
      <c r="DQ44" s="1004"/>
      <c r="DR44" s="1004"/>
      <c r="DS44" s="1004"/>
      <c r="DT44" s="1004"/>
      <c r="DU44" s="1004"/>
      <c r="DV44" s="1004"/>
      <c r="DW44" s="1004"/>
      <c r="DX44" s="1004"/>
      <c r="DY44" s="1004"/>
      <c r="DZ44" s="1004"/>
      <c r="EA44" s="1004"/>
      <c r="EB44" s="1004"/>
      <c r="EC44" s="1004"/>
      <c r="ED44" s="1004"/>
      <c r="EE44" s="1004"/>
      <c r="EF44" s="1004"/>
      <c r="EG44" s="1004"/>
      <c r="EH44" s="1004"/>
      <c r="EI44" s="1004"/>
      <c r="EJ44" s="1004"/>
      <c r="EK44" s="1004"/>
      <c r="EL44" s="1004"/>
      <c r="EM44" s="1004"/>
      <c r="EN44" s="1004"/>
      <c r="EO44" s="1004"/>
      <c r="EP44" s="1004"/>
      <c r="EQ44" s="1004"/>
      <c r="ER44" s="1004"/>
      <c r="ES44" s="1004"/>
      <c r="ET44" s="1004"/>
      <c r="EU44" s="1004"/>
      <c r="EV44" s="1004"/>
      <c r="EW44" s="1004"/>
      <c r="EX44" s="1004"/>
      <c r="EY44" s="1004"/>
      <c r="EZ44" s="1004"/>
      <c r="FA44" s="1004"/>
      <c r="FB44" s="1004"/>
      <c r="FC44" s="1004"/>
      <c r="FD44" s="1004"/>
      <c r="FE44" s="1004"/>
      <c r="FF44" s="1004"/>
      <c r="FG44" s="1004"/>
      <c r="FH44" s="1004"/>
      <c r="FI44" s="1004"/>
      <c r="FJ44" s="1004"/>
      <c r="FK44" s="1004"/>
      <c r="FL44" s="1004"/>
      <c r="FM44" s="1004"/>
      <c r="FN44" s="1004"/>
      <c r="FO44" s="1004"/>
      <c r="FP44" s="1004"/>
      <c r="FQ44" s="1004"/>
      <c r="FR44" s="1004"/>
      <c r="FS44" s="1004"/>
      <c r="FT44" s="1004"/>
      <c r="FU44" s="1004"/>
      <c r="FV44" s="1004"/>
      <c r="FW44" s="1004"/>
      <c r="FX44" s="1004"/>
      <c r="FY44" s="1004"/>
      <c r="FZ44" s="1004"/>
      <c r="GA44" s="1004"/>
      <c r="GB44" s="1004"/>
      <c r="GC44" s="1004"/>
      <c r="GD44" s="1004"/>
      <c r="GE44" s="1004"/>
      <c r="GF44" s="1004"/>
      <c r="GG44" s="1004"/>
      <c r="GH44" s="1004"/>
      <c r="GI44" s="1004"/>
      <c r="GJ44" s="1004"/>
      <c r="GK44" s="1004"/>
      <c r="GL44" s="1004"/>
      <c r="GM44" s="1004"/>
      <c r="GN44" s="1004"/>
      <c r="GO44" s="1004"/>
      <c r="GP44" s="1004"/>
      <c r="GQ44" s="1004"/>
      <c r="GR44" s="1004"/>
      <c r="GS44" s="1004"/>
      <c r="GT44" s="1004"/>
      <c r="GU44" s="1004"/>
      <c r="GV44" s="1004"/>
      <c r="GW44" s="1004"/>
      <c r="GX44" s="1004"/>
      <c r="GY44" s="1004"/>
      <c r="GZ44" s="1004"/>
      <c r="HA44" s="1004"/>
      <c r="HB44" s="1004"/>
      <c r="HC44" s="1004"/>
      <c r="HD44" s="1004"/>
      <c r="HE44" s="1004"/>
      <c r="HF44" s="1004"/>
      <c r="HG44" s="1004"/>
      <c r="HH44" s="1004"/>
      <c r="HI44" s="1004"/>
      <c r="HJ44" s="1004"/>
      <c r="HK44" s="1004"/>
      <c r="HL44" s="1004"/>
      <c r="HM44" s="1004"/>
      <c r="HN44" s="1004"/>
      <c r="HO44" s="1004"/>
      <c r="HP44" s="1004"/>
      <c r="HQ44" s="1004"/>
      <c r="HR44" s="1004"/>
      <c r="HS44" s="1004"/>
      <c r="HT44" s="1004"/>
      <c r="HU44" s="1004"/>
      <c r="HV44" s="1004"/>
      <c r="HW44" s="1004"/>
      <c r="HX44" s="1004"/>
      <c r="HY44" s="1004"/>
      <c r="HZ44" s="1004"/>
      <c r="IA44" s="1004"/>
      <c r="IB44" s="1004"/>
      <c r="IC44" s="1004"/>
      <c r="ID44" s="1004"/>
      <c r="IE44" s="1004"/>
      <c r="IF44" s="1004"/>
      <c r="IG44" s="1004"/>
      <c r="IH44" s="1004"/>
      <c r="II44" s="1004"/>
      <c r="IJ44" s="1004"/>
      <c r="IK44" s="1004"/>
      <c r="IL44" s="1004"/>
      <c r="IM44" s="1004"/>
      <c r="IN44" s="1004"/>
      <c r="IO44" s="1004"/>
      <c r="IP44" s="1004"/>
      <c r="IQ44" s="1004"/>
      <c r="IR44" s="1004"/>
      <c r="IS44" s="1004"/>
      <c r="IT44" s="1004"/>
      <c r="IU44" s="1004"/>
      <c r="IV44" s="1004"/>
      <c r="IW44" s="1004"/>
      <c r="IX44" s="1004"/>
      <c r="IY44" s="1004"/>
      <c r="IZ44" s="1004"/>
      <c r="JA44" s="1004"/>
      <c r="JB44" s="1004"/>
      <c r="JC44" s="1004"/>
      <c r="JD44" s="1004"/>
      <c r="JE44" s="1004"/>
      <c r="JF44" s="1004"/>
      <c r="JG44" s="1004"/>
      <c r="JH44" s="1004"/>
      <c r="JI44" s="1004"/>
      <c r="JJ44" s="1004"/>
      <c r="JK44" s="1004"/>
      <c r="JL44" s="1004"/>
      <c r="JM44" s="1004"/>
      <c r="JN44" s="1004"/>
      <c r="JO44" s="1004"/>
      <c r="JP44" s="1004"/>
      <c r="JQ44" s="1004"/>
      <c r="JR44" s="1004"/>
      <c r="JS44" s="1004"/>
      <c r="JT44" s="1004"/>
      <c r="JU44" s="1004"/>
      <c r="JV44" s="1004"/>
      <c r="JW44" s="1004"/>
      <c r="JX44" s="1004"/>
      <c r="JY44" s="1004"/>
      <c r="JZ44" s="1004"/>
      <c r="KA44" s="1004"/>
      <c r="KB44" s="1004"/>
      <c r="KC44" s="1004"/>
      <c r="KD44" s="1004"/>
      <c r="KE44" s="1004"/>
      <c r="KF44" s="1004"/>
      <c r="KG44" s="1004"/>
      <c r="KH44" s="1004"/>
      <c r="KI44" s="1004"/>
      <c r="KJ44" s="1004"/>
      <c r="KK44" s="1004"/>
      <c r="KL44" s="1004"/>
      <c r="KM44" s="1004"/>
      <c r="KN44" s="1004"/>
      <c r="KO44" s="1004"/>
      <c r="KP44" s="1004"/>
      <c r="KQ44" s="1004"/>
      <c r="KR44" s="1004"/>
      <c r="KS44" s="1004"/>
      <c r="KT44" s="1004"/>
      <c r="KU44" s="1004"/>
      <c r="KV44" s="1004"/>
      <c r="KW44" s="1004"/>
      <c r="KX44" s="1004"/>
      <c r="KY44" s="1004"/>
      <c r="KZ44" s="1004"/>
      <c r="LA44" s="1004"/>
      <c r="LB44" s="1004"/>
      <c r="LC44" s="1004"/>
      <c r="LD44" s="1004"/>
      <c r="LE44" s="1004"/>
      <c r="LF44" s="1004"/>
      <c r="LG44" s="1004"/>
      <c r="LH44" s="1004"/>
      <c r="LI44" s="1004"/>
      <c r="LJ44" s="1004"/>
      <c r="LK44" s="1004"/>
      <c r="LL44" s="1004"/>
      <c r="LM44" s="1004"/>
      <c r="LN44" s="1004"/>
      <c r="LO44" s="1004"/>
      <c r="LP44" s="1004"/>
      <c r="LQ44" s="1004"/>
      <c r="LR44" s="1004"/>
      <c r="LS44" s="1004"/>
      <c r="LT44" s="1004"/>
      <c r="LU44" s="1004"/>
      <c r="LV44" s="1004"/>
      <c r="LW44" s="1004"/>
      <c r="LX44" s="1004"/>
      <c r="LY44" s="1004"/>
      <c r="LZ44" s="1004"/>
      <c r="MA44" s="1004"/>
      <c r="MB44" s="1004"/>
      <c r="MC44" s="1004"/>
      <c r="MD44" s="1004"/>
      <c r="ME44" s="1004"/>
      <c r="MF44" s="1004"/>
      <c r="MG44" s="1004"/>
      <c r="MH44" s="1004"/>
      <c r="MI44" s="1004"/>
      <c r="MJ44" s="1004"/>
      <c r="MK44" s="1004"/>
      <c r="ML44" s="1004"/>
      <c r="MM44" s="1004"/>
      <c r="MN44" s="1004"/>
      <c r="MO44" s="1004"/>
      <c r="MP44" s="1004"/>
      <c r="MQ44" s="1004"/>
      <c r="MR44" s="1004"/>
      <c r="MS44" s="1004"/>
      <c r="MT44" s="1004"/>
      <c r="MU44" s="1004"/>
      <c r="MV44" s="1004"/>
      <c r="MW44" s="1004"/>
      <c r="MX44" s="1004"/>
      <c r="MY44" s="1004"/>
      <c r="MZ44" s="1004"/>
      <c r="NA44" s="1004"/>
      <c r="NB44" s="1004"/>
      <c r="NC44" s="1004"/>
      <c r="ND44" s="1004"/>
      <c r="NE44" s="1004"/>
      <c r="NF44" s="1004"/>
      <c r="NG44" s="1004"/>
      <c r="NH44" s="1004"/>
      <c r="NI44" s="1004"/>
      <c r="NJ44" s="1004"/>
      <c r="NK44" s="1004"/>
      <c r="NL44" s="1004"/>
      <c r="NM44" s="1004"/>
      <c r="NN44" s="1004"/>
      <c r="NO44" s="1004"/>
      <c r="NP44" s="1004"/>
      <c r="NQ44" s="1004"/>
      <c r="NR44" s="1004"/>
      <c r="NS44" s="1004"/>
      <c r="NT44" s="1004"/>
      <c r="NU44" s="1004"/>
      <c r="NV44" s="1004"/>
      <c r="NW44" s="1004"/>
      <c r="NX44" s="1004"/>
      <c r="NY44" s="1004"/>
      <c r="NZ44" s="1004"/>
      <c r="OA44" s="1004"/>
      <c r="OB44" s="1004"/>
      <c r="OC44" s="1004"/>
      <c r="OD44" s="1004"/>
      <c r="OE44" s="1004"/>
      <c r="OF44" s="1004"/>
      <c r="OG44" s="1004"/>
      <c r="OH44" s="1004"/>
      <c r="OI44" s="1004"/>
      <c r="OJ44" s="1004"/>
      <c r="OK44" s="1004"/>
      <c r="OL44" s="1004"/>
      <c r="OM44" s="1004"/>
      <c r="ON44" s="1004"/>
      <c r="OO44" s="1004"/>
      <c r="OP44" s="1004"/>
      <c r="OQ44" s="1004"/>
      <c r="OR44" s="1004"/>
      <c r="OS44" s="1004"/>
      <c r="OT44" s="1004"/>
      <c r="OU44" s="1004"/>
      <c r="OV44" s="1004"/>
      <c r="OW44" s="1004"/>
      <c r="OX44" s="1004"/>
      <c r="OY44" s="1004"/>
      <c r="OZ44" s="1004"/>
      <c r="PA44" s="1004"/>
      <c r="PB44" s="1004"/>
      <c r="PC44" s="1004"/>
      <c r="PD44" s="1004"/>
      <c r="PE44" s="1004"/>
      <c r="PF44" s="1004"/>
      <c r="PG44" s="1004"/>
      <c r="PH44" s="1004"/>
      <c r="PI44" s="1004"/>
      <c r="PJ44" s="1004"/>
      <c r="PK44" s="1004"/>
      <c r="PL44" s="1004"/>
      <c r="PM44" s="1004"/>
      <c r="PN44" s="1004"/>
      <c r="PO44" s="1004"/>
      <c r="PP44" s="1004"/>
      <c r="PQ44" s="1004"/>
      <c r="PR44" s="1004"/>
      <c r="PS44" s="1004"/>
      <c r="PT44" s="1004"/>
      <c r="PU44" s="1004"/>
      <c r="PV44" s="1004"/>
      <c r="PW44" s="1004"/>
      <c r="PX44" s="1004"/>
      <c r="PY44" s="1004"/>
      <c r="PZ44" s="1004"/>
      <c r="QA44" s="1004"/>
      <c r="QB44" s="1004"/>
      <c r="QC44" s="1004"/>
      <c r="QD44" s="1004"/>
      <c r="QE44" s="1004"/>
      <c r="QF44" s="1004"/>
      <c r="QG44" s="1004"/>
      <c r="QH44" s="1004"/>
      <c r="QI44" s="1004"/>
      <c r="QJ44" s="1004"/>
      <c r="QK44" s="1004"/>
      <c r="QL44" s="1004"/>
      <c r="QM44" s="1004"/>
      <c r="QN44" s="1004"/>
      <c r="QO44" s="1004"/>
      <c r="QP44" s="1004"/>
      <c r="QQ44" s="1004"/>
      <c r="QR44" s="1004"/>
      <c r="QS44" s="1004"/>
      <c r="QT44" s="1004"/>
      <c r="QU44" s="1004"/>
      <c r="QV44" s="1004"/>
      <c r="QW44" s="1004"/>
      <c r="QX44" s="1004"/>
      <c r="QY44" s="1004"/>
      <c r="QZ44" s="1004"/>
      <c r="RA44" s="1004"/>
      <c r="RB44" s="1004"/>
      <c r="RC44" s="1004"/>
      <c r="RD44" s="1004"/>
      <c r="RE44" s="1004"/>
      <c r="RF44" s="1004"/>
      <c r="RG44" s="1004"/>
      <c r="RH44" s="1004"/>
      <c r="RI44" s="1004"/>
      <c r="RJ44" s="1004"/>
      <c r="RK44" s="1004"/>
      <c r="RL44" s="1004"/>
      <c r="RM44" s="1004"/>
      <c r="RN44" s="1004"/>
      <c r="RO44" s="1004"/>
      <c r="RP44" s="1004"/>
      <c r="RQ44" s="1004"/>
      <c r="RR44" s="1004"/>
      <c r="RS44" s="1004"/>
      <c r="RT44" s="1004"/>
      <c r="RU44" s="1004"/>
      <c r="RV44" s="1004"/>
      <c r="RW44" s="1004"/>
      <c r="RX44" s="1004"/>
      <c r="RY44" s="1004"/>
      <c r="RZ44" s="1004"/>
      <c r="SA44" s="1004"/>
      <c r="SB44" s="1004"/>
      <c r="SC44" s="1004"/>
      <c r="SD44" s="1004"/>
      <c r="SE44" s="1004"/>
      <c r="SF44" s="1004"/>
      <c r="SG44" s="1004"/>
      <c r="SH44" s="1004"/>
      <c r="SI44" s="1004"/>
      <c r="SJ44" s="1004"/>
      <c r="SK44" s="1004"/>
      <c r="SL44" s="1004"/>
      <c r="SM44" s="1004"/>
      <c r="SN44" s="1004"/>
      <c r="SO44" s="1004"/>
      <c r="SP44" s="1004"/>
      <c r="SQ44" s="1004"/>
      <c r="SR44" s="1004"/>
      <c r="SS44" s="1004"/>
      <c r="ST44" s="1004"/>
      <c r="SU44" s="1004"/>
      <c r="SV44" s="1004"/>
      <c r="SW44" s="1004"/>
      <c r="SX44" s="1004"/>
      <c r="SY44" s="1004"/>
      <c r="SZ44" s="1004"/>
      <c r="TA44" s="1004"/>
      <c r="TB44" s="1004"/>
      <c r="TC44" s="1004"/>
      <c r="TD44" s="1004"/>
      <c r="TE44" s="1004"/>
      <c r="TF44" s="1004"/>
      <c r="TG44" s="1004"/>
      <c r="TH44" s="1004"/>
      <c r="TI44" s="1004"/>
      <c r="TJ44" s="1004"/>
      <c r="TK44" s="1004"/>
      <c r="TL44" s="1004"/>
      <c r="TM44" s="1004"/>
      <c r="TN44" s="1004"/>
      <c r="TO44" s="1004"/>
      <c r="TP44" s="1004"/>
      <c r="TQ44" s="1004"/>
      <c r="TR44" s="1004"/>
      <c r="TS44" s="1004"/>
      <c r="TT44" s="1004"/>
      <c r="TU44" s="1004"/>
      <c r="TV44" s="1004"/>
      <c r="TW44" s="1004"/>
      <c r="TX44" s="1004"/>
      <c r="TY44" s="1004"/>
      <c r="TZ44" s="1004"/>
      <c r="UA44" s="1004"/>
      <c r="UB44" s="1004"/>
      <c r="UC44" s="1004"/>
      <c r="UD44" s="1004"/>
      <c r="UE44" s="1004"/>
      <c r="UF44" s="1004"/>
      <c r="UG44" s="1004"/>
      <c r="UH44" s="1004"/>
      <c r="UI44" s="1004"/>
      <c r="UJ44" s="1004"/>
      <c r="UK44" s="1004"/>
      <c r="UL44" s="1004"/>
      <c r="UM44" s="1004"/>
      <c r="UN44" s="1004"/>
      <c r="UO44" s="1004"/>
      <c r="UP44" s="1004"/>
      <c r="UQ44" s="1004"/>
      <c r="UR44" s="1004"/>
      <c r="US44" s="1004"/>
      <c r="UT44" s="1004"/>
      <c r="UU44" s="1004"/>
      <c r="UV44" s="1004"/>
      <c r="UW44" s="1004"/>
      <c r="UX44" s="1004"/>
      <c r="UY44" s="1004"/>
      <c r="UZ44" s="1004"/>
      <c r="VA44" s="1004"/>
      <c r="VB44" s="1004"/>
      <c r="VC44" s="1004"/>
      <c r="VD44" s="1004"/>
      <c r="VE44" s="1004"/>
      <c r="VF44" s="1004"/>
      <c r="VG44" s="1004"/>
      <c r="VH44" s="1004"/>
      <c r="VI44" s="1004"/>
      <c r="VJ44" s="1004"/>
      <c r="VK44" s="1004"/>
      <c r="VL44" s="1004"/>
      <c r="VM44" s="1004"/>
      <c r="VN44" s="1004"/>
      <c r="VO44" s="1004"/>
      <c r="VP44" s="1004"/>
      <c r="VQ44" s="1004"/>
      <c r="VR44" s="1004"/>
      <c r="VS44" s="1004"/>
      <c r="VT44" s="1004"/>
      <c r="VU44" s="1004"/>
      <c r="VV44" s="1004"/>
      <c r="VW44" s="1004"/>
      <c r="VX44" s="1004"/>
      <c r="VY44" s="1004"/>
      <c r="VZ44" s="1004"/>
      <c r="WA44" s="1004"/>
      <c r="WB44" s="1004"/>
      <c r="WC44" s="1004"/>
      <c r="WD44" s="1004"/>
      <c r="WE44" s="1004"/>
      <c r="WF44" s="1004"/>
      <c r="WG44" s="1004"/>
      <c r="WH44" s="1004"/>
      <c r="WI44" s="1004"/>
      <c r="WJ44" s="1004"/>
      <c r="WK44" s="1004"/>
      <c r="WL44" s="1004"/>
      <c r="WM44" s="1004"/>
      <c r="WN44" s="1004"/>
      <c r="WO44" s="1004"/>
      <c r="WP44" s="1004"/>
      <c r="WQ44" s="1004"/>
      <c r="WR44" s="1004"/>
      <c r="WS44" s="1004"/>
      <c r="WT44" s="1004"/>
      <c r="WU44" s="1004"/>
      <c r="WV44" s="1004"/>
      <c r="WW44" s="1004"/>
      <c r="WX44" s="1004"/>
      <c r="WY44" s="1004"/>
      <c r="WZ44" s="1004"/>
      <c r="XA44" s="1004"/>
      <c r="XB44" s="1004"/>
      <c r="XC44" s="1004"/>
      <c r="XD44" s="1004"/>
      <c r="XE44" s="1004"/>
      <c r="XF44" s="1004"/>
      <c r="XG44" s="1004"/>
      <c r="XH44" s="1004"/>
      <c r="XI44" s="1004"/>
      <c r="XJ44" s="1004"/>
      <c r="XK44" s="1004"/>
      <c r="XL44" s="1004"/>
      <c r="XM44" s="1004"/>
      <c r="XN44" s="1004"/>
      <c r="XO44" s="1004"/>
      <c r="XP44" s="1004"/>
      <c r="XQ44" s="1004"/>
      <c r="XR44" s="1004"/>
      <c r="XS44" s="1004"/>
      <c r="XT44" s="1004"/>
      <c r="XU44" s="1004"/>
      <c r="XV44" s="1004"/>
      <c r="XW44" s="1004"/>
      <c r="XX44" s="1004"/>
      <c r="XY44" s="1004"/>
      <c r="XZ44" s="1004"/>
      <c r="YA44" s="1004"/>
      <c r="YB44" s="1004"/>
      <c r="YC44" s="1004"/>
      <c r="YD44" s="1004"/>
      <c r="YE44" s="1004"/>
      <c r="YF44" s="1004"/>
      <c r="YG44" s="1004"/>
      <c r="YH44" s="1004"/>
      <c r="YI44" s="1004"/>
      <c r="YJ44" s="1004"/>
      <c r="YK44" s="1004"/>
      <c r="YL44" s="1004"/>
      <c r="YM44" s="1004"/>
      <c r="YN44" s="1004"/>
      <c r="YO44" s="1004"/>
      <c r="YP44" s="1004"/>
      <c r="YQ44" s="1004"/>
      <c r="YR44" s="1004"/>
      <c r="YS44" s="1004"/>
      <c r="YT44" s="1004"/>
      <c r="YU44" s="1004"/>
      <c r="YV44" s="1004"/>
      <c r="YW44" s="1004"/>
      <c r="YX44" s="1004"/>
      <c r="YY44" s="1004"/>
      <c r="YZ44" s="1004"/>
      <c r="ZA44" s="1004"/>
      <c r="ZB44" s="1004"/>
      <c r="ZC44" s="1004"/>
      <c r="ZD44" s="1004"/>
      <c r="ZE44" s="1004"/>
      <c r="ZF44" s="1004"/>
      <c r="ZG44" s="1004"/>
      <c r="ZH44" s="1004"/>
      <c r="ZI44" s="1004"/>
      <c r="ZJ44" s="1004"/>
      <c r="ZK44" s="1004"/>
      <c r="ZL44" s="1004"/>
      <c r="ZM44" s="1004"/>
      <c r="ZN44" s="1004"/>
      <c r="ZO44" s="1004"/>
      <c r="ZP44" s="1004"/>
      <c r="ZQ44" s="1004"/>
      <c r="ZR44" s="1004"/>
      <c r="ZS44" s="1004"/>
      <c r="ZT44" s="1004"/>
      <c r="ZU44" s="1004"/>
      <c r="ZV44" s="1004"/>
      <c r="ZW44" s="1004"/>
      <c r="ZX44" s="1004"/>
      <c r="ZY44" s="1004"/>
      <c r="ZZ44" s="1004"/>
      <c r="AAA44" s="1004"/>
      <c r="AAB44" s="1004"/>
      <c r="AAC44" s="1004"/>
      <c r="AAD44" s="1004"/>
      <c r="AAE44" s="1004"/>
      <c r="AAF44" s="1004"/>
      <c r="AAG44" s="1004"/>
      <c r="AAH44" s="1004"/>
      <c r="AAI44" s="1004"/>
      <c r="AAJ44" s="1004"/>
      <c r="AAK44" s="1004"/>
      <c r="AAL44" s="1004"/>
      <c r="AAM44" s="1004"/>
      <c r="AAN44" s="1004"/>
      <c r="AAO44" s="1004"/>
      <c r="AAP44" s="1004"/>
      <c r="AAQ44" s="1004"/>
      <c r="AAR44" s="1004"/>
      <c r="AAS44" s="1004"/>
      <c r="AAT44" s="1004"/>
      <c r="AAU44" s="1004"/>
      <c r="AAV44" s="1004"/>
      <c r="AAW44" s="1004"/>
      <c r="AAX44" s="1004"/>
      <c r="AAY44" s="1004"/>
      <c r="AAZ44" s="1004"/>
      <c r="ABA44" s="1004"/>
      <c r="ABB44" s="1004"/>
      <c r="ABC44" s="1004"/>
      <c r="ABD44" s="1004"/>
      <c r="ABE44" s="1004"/>
      <c r="ABF44" s="1004"/>
      <c r="ABG44" s="1004"/>
      <c r="ABH44" s="1004"/>
      <c r="ABI44" s="1004"/>
      <c r="ABJ44" s="1004"/>
      <c r="ABK44" s="1004"/>
      <c r="ABL44" s="1004"/>
      <c r="ABM44" s="1004"/>
      <c r="ABN44" s="1004"/>
      <c r="ABO44" s="1004"/>
      <c r="ABP44" s="1004"/>
      <c r="ABQ44" s="1004"/>
      <c r="ABR44" s="1004"/>
      <c r="ABS44" s="1004"/>
      <c r="ABT44" s="1004"/>
      <c r="ABU44" s="1004"/>
      <c r="ABV44" s="1004"/>
      <c r="ABW44" s="1004"/>
      <c r="ABX44" s="1004"/>
      <c r="ABY44" s="1004"/>
      <c r="ABZ44" s="1004"/>
      <c r="ACA44" s="1004"/>
      <c r="ACB44" s="1004"/>
      <c r="ACC44" s="1004"/>
      <c r="ACD44" s="1004"/>
      <c r="ACE44" s="1004"/>
      <c r="ACF44" s="1004"/>
      <c r="ACG44" s="1004"/>
      <c r="ACH44" s="1004"/>
      <c r="ACI44" s="1004"/>
      <c r="ACJ44" s="1004"/>
      <c r="ACK44" s="1004"/>
      <c r="ACL44" s="1004"/>
      <c r="ACM44" s="1004"/>
      <c r="ACN44" s="1004"/>
      <c r="ACO44" s="1004"/>
      <c r="ACP44" s="1004"/>
      <c r="ACQ44" s="1004"/>
      <c r="ACR44" s="1004"/>
      <c r="ACS44" s="1004"/>
      <c r="ACT44" s="1004"/>
      <c r="ACU44" s="1004"/>
      <c r="ACV44" s="1004"/>
      <c r="ACW44" s="1004"/>
      <c r="ACX44" s="1004"/>
      <c r="ACY44" s="1004"/>
      <c r="ACZ44" s="1004"/>
      <c r="ADA44" s="1004"/>
      <c r="ADB44" s="1004"/>
      <c r="ADC44" s="1004"/>
      <c r="ADD44" s="1004"/>
      <c r="ADE44" s="1004"/>
      <c r="ADF44" s="1004"/>
      <c r="ADG44" s="1004"/>
      <c r="ADH44" s="1004"/>
      <c r="ADI44" s="1004"/>
      <c r="ADJ44" s="1004"/>
      <c r="ADK44" s="1004"/>
      <c r="ADL44" s="1004"/>
      <c r="ADM44" s="1004"/>
      <c r="ADN44" s="1004"/>
      <c r="ADO44" s="1004"/>
      <c r="ADP44" s="1004"/>
      <c r="ADQ44" s="1004"/>
      <c r="ADR44" s="1004"/>
      <c r="ADS44" s="1004"/>
      <c r="ADT44" s="1004"/>
      <c r="ADU44" s="1004"/>
      <c r="ADV44" s="1004"/>
      <c r="ADW44" s="1004"/>
      <c r="ADX44" s="1004"/>
      <c r="ADY44" s="1004"/>
      <c r="ADZ44" s="1004"/>
      <c r="AEA44" s="1004"/>
      <c r="AEB44" s="1004"/>
      <c r="AEC44" s="1004"/>
      <c r="AED44" s="1004"/>
      <c r="AEE44" s="1004"/>
      <c r="AEF44" s="1004"/>
      <c r="AEG44" s="1004"/>
      <c r="AEH44" s="1004"/>
      <c r="AEI44" s="1004"/>
      <c r="AEJ44" s="1004"/>
      <c r="AEK44" s="1004"/>
      <c r="AEL44" s="1004"/>
      <c r="AEM44" s="1004"/>
      <c r="AEN44" s="1004"/>
      <c r="AEO44" s="1004"/>
      <c r="AEP44" s="1004"/>
      <c r="AEQ44" s="1004"/>
      <c r="AER44" s="1004"/>
      <c r="AES44" s="1004"/>
      <c r="AET44" s="1004"/>
      <c r="AEU44" s="1004"/>
      <c r="AEV44" s="1004"/>
      <c r="AEW44" s="1004"/>
      <c r="AEX44" s="1004"/>
      <c r="AEY44" s="1004"/>
      <c r="AEZ44" s="1004"/>
      <c r="AFA44" s="1004"/>
      <c r="AFB44" s="1004"/>
      <c r="AFC44" s="1004"/>
      <c r="AFD44" s="1004"/>
      <c r="AFE44" s="1004"/>
      <c r="AFF44" s="1004"/>
      <c r="AFG44" s="1004"/>
      <c r="AFH44" s="1004"/>
      <c r="AFI44" s="1004"/>
      <c r="AFJ44" s="1004"/>
      <c r="AFK44" s="1004"/>
      <c r="AFL44" s="1004"/>
      <c r="AFM44" s="1004"/>
      <c r="AFN44" s="1004"/>
      <c r="AFO44" s="1004"/>
      <c r="AFP44" s="1004"/>
      <c r="AFQ44" s="1004"/>
      <c r="AFR44" s="1004"/>
      <c r="AFS44" s="1004"/>
      <c r="AFT44" s="1004"/>
      <c r="AFU44" s="1004"/>
      <c r="AFV44" s="1004"/>
      <c r="AFW44" s="1004"/>
      <c r="AFX44" s="1004"/>
      <c r="AFY44" s="1004"/>
      <c r="AFZ44" s="1004"/>
      <c r="AGA44" s="1004"/>
      <c r="AGB44" s="1004"/>
      <c r="AGC44" s="1004"/>
      <c r="AGD44" s="1004"/>
      <c r="AGE44" s="1004"/>
      <c r="AGF44" s="1004"/>
      <c r="AGG44" s="1004"/>
      <c r="AGH44" s="1004"/>
      <c r="AGI44" s="1004"/>
      <c r="AGJ44" s="1004"/>
      <c r="AGK44" s="1004"/>
      <c r="AGL44" s="1004"/>
      <c r="AGM44" s="1004"/>
      <c r="AGN44" s="1004"/>
      <c r="AGO44" s="1004"/>
      <c r="AGP44" s="1004"/>
      <c r="AGQ44" s="1004"/>
      <c r="AGR44" s="1004"/>
      <c r="AGS44" s="1004"/>
      <c r="AGT44" s="1004"/>
      <c r="AGU44" s="1004"/>
      <c r="AGV44" s="1004"/>
      <c r="AGW44" s="1004"/>
      <c r="AGX44" s="1004"/>
      <c r="AGY44" s="1004"/>
      <c r="AGZ44" s="1004"/>
      <c r="AHA44" s="1004"/>
      <c r="AHB44" s="1004"/>
      <c r="AHC44" s="1004"/>
      <c r="AHD44" s="1004"/>
      <c r="AHE44" s="1004"/>
      <c r="AHF44" s="1004"/>
      <c r="AHG44" s="1004"/>
      <c r="AHH44" s="1004"/>
      <c r="AHI44" s="1004"/>
      <c r="AHJ44" s="1004"/>
      <c r="AHK44" s="1004"/>
      <c r="AHL44" s="1004"/>
      <c r="AHM44" s="1004"/>
      <c r="AHN44" s="1004"/>
      <c r="AHO44" s="1004"/>
      <c r="AHP44" s="1004"/>
      <c r="AHQ44" s="1004"/>
      <c r="AHR44" s="1004"/>
      <c r="AHS44" s="1004"/>
      <c r="AHT44" s="1004"/>
      <c r="AHU44" s="1004"/>
      <c r="AHV44" s="1004"/>
      <c r="AHW44" s="1004"/>
      <c r="AHX44" s="1004"/>
      <c r="AHY44" s="1004"/>
      <c r="AHZ44" s="1004"/>
      <c r="AIA44" s="1004"/>
      <c r="AIB44" s="1004"/>
      <c r="AIC44" s="1004"/>
      <c r="AID44" s="1004"/>
      <c r="AIE44" s="1004"/>
      <c r="AIF44" s="1004"/>
      <c r="AIG44" s="1004"/>
      <c r="AIH44" s="1004"/>
      <c r="AII44" s="1004"/>
      <c r="AIJ44" s="1004"/>
      <c r="AIK44" s="1004"/>
      <c r="AIL44" s="1004"/>
      <c r="AIM44" s="1004"/>
      <c r="AIN44" s="1004"/>
      <c r="AIO44" s="1004"/>
      <c r="AIP44" s="1004"/>
      <c r="AIQ44" s="1004"/>
      <c r="AIR44" s="1004"/>
      <c r="AIS44" s="1004"/>
      <c r="AIT44" s="1004"/>
      <c r="AIU44" s="1004"/>
      <c r="AIV44" s="1004"/>
      <c r="AIW44" s="1004"/>
      <c r="AIX44" s="1004"/>
      <c r="AIY44" s="1004"/>
      <c r="AIZ44" s="1004"/>
      <c r="AJA44" s="1004"/>
      <c r="AJB44" s="1004"/>
      <c r="AJC44" s="1004"/>
      <c r="AJD44" s="1004"/>
      <c r="AJE44" s="1004"/>
      <c r="AJF44" s="1004"/>
      <c r="AJG44" s="1004"/>
      <c r="AJH44" s="1004"/>
      <c r="AJI44" s="1004"/>
      <c r="AJJ44" s="1004"/>
      <c r="AJK44" s="1004"/>
      <c r="AJL44" s="1004"/>
      <c r="AJM44" s="1004"/>
      <c r="AJN44" s="1004"/>
      <c r="AJO44" s="1004"/>
      <c r="AJP44" s="1004"/>
      <c r="AJQ44" s="1004"/>
      <c r="AJR44" s="1004"/>
      <c r="AJS44" s="1004"/>
      <c r="AJT44" s="1004"/>
      <c r="AJU44" s="1004"/>
      <c r="AJV44" s="1004"/>
      <c r="AJW44" s="1004"/>
      <c r="AJX44" s="1004"/>
      <c r="AJY44" s="1004"/>
      <c r="AJZ44" s="1004"/>
      <c r="AKA44" s="1004"/>
      <c r="AKB44" s="1004"/>
      <c r="AKC44" s="1004"/>
      <c r="AKD44" s="1004"/>
      <c r="AKE44" s="1004"/>
      <c r="AKF44" s="1004"/>
      <c r="AKG44" s="1004"/>
      <c r="AKH44" s="1004"/>
      <c r="AKI44" s="1004"/>
      <c r="AKJ44" s="1004"/>
      <c r="AKK44" s="1004"/>
      <c r="AKL44" s="1004"/>
      <c r="AKM44" s="1004"/>
      <c r="AKN44" s="1004"/>
      <c r="AKO44" s="1004"/>
      <c r="AKP44" s="1004"/>
      <c r="AKQ44" s="1004"/>
      <c r="AKR44" s="1004"/>
      <c r="AKS44" s="1004"/>
      <c r="AKT44" s="1004"/>
      <c r="AKU44" s="1004"/>
      <c r="AKV44" s="1004"/>
      <c r="AKW44" s="1004"/>
      <c r="AKX44" s="1004"/>
      <c r="AKY44" s="1004"/>
      <c r="AKZ44" s="1004"/>
      <c r="ALA44" s="1004"/>
      <c r="ALB44" s="1004"/>
      <c r="ALC44" s="1004"/>
      <c r="ALD44" s="1004"/>
      <c r="ALE44" s="1004"/>
      <c r="ALF44" s="1004"/>
      <c r="ALG44" s="1004"/>
      <c r="ALH44" s="1004"/>
      <c r="ALI44" s="1004"/>
      <c r="ALJ44" s="1004"/>
      <c r="ALK44" s="1004"/>
      <c r="ALL44" s="1004"/>
      <c r="ALM44" s="1004"/>
      <c r="ALN44" s="1004"/>
      <c r="ALO44" s="1004"/>
      <c r="ALP44" s="1004"/>
      <c r="ALQ44" s="1004"/>
      <c r="ALR44" s="1004"/>
      <c r="ALS44" s="1004"/>
      <c r="ALT44" s="1004"/>
      <c r="ALU44" s="1004"/>
      <c r="ALV44" s="1004"/>
      <c r="ALW44" s="1004"/>
      <c r="ALX44" s="1004"/>
      <c r="ALY44" s="1004"/>
      <c r="ALZ44" s="1004"/>
      <c r="AMA44" s="1004"/>
      <c r="AMB44" s="1004"/>
      <c r="AMC44" s="1004"/>
      <c r="AMD44" s="1004"/>
      <c r="AME44" s="1004"/>
      <c r="AMF44" s="1004"/>
      <c r="AMG44" s="1004"/>
      <c r="AMH44" s="1004"/>
      <c r="AMI44" s="1004"/>
      <c r="AMJ44" s="1004"/>
      <c r="AMK44" s="1004"/>
      <c r="AML44" s="1004"/>
      <c r="AMM44" s="1004"/>
      <c r="AMN44" s="1004"/>
      <c r="AMO44" s="1004"/>
      <c r="AMP44" s="1004"/>
      <c r="AMQ44" s="1004"/>
      <c r="AMR44" s="1004"/>
      <c r="AMS44" s="1004"/>
      <c r="AMT44" s="1004"/>
      <c r="AMU44" s="1004"/>
      <c r="AMV44" s="1004"/>
      <c r="AMW44" s="1004"/>
      <c r="AMX44" s="1004"/>
      <c r="AMY44" s="1004"/>
      <c r="AMZ44" s="1004"/>
      <c r="ANA44" s="1004"/>
      <c r="ANB44" s="1004"/>
      <c r="ANC44" s="1004"/>
      <c r="AND44" s="1004"/>
      <c r="ANE44" s="1004"/>
      <c r="ANF44" s="1004"/>
      <c r="ANG44" s="1004"/>
      <c r="ANH44" s="1004"/>
      <c r="ANI44" s="1004"/>
      <c r="ANJ44" s="1004"/>
      <c r="ANK44" s="1004"/>
      <c r="ANL44" s="1004"/>
      <c r="ANM44" s="1004"/>
      <c r="ANN44" s="1004"/>
      <c r="ANO44" s="1004"/>
      <c r="ANP44" s="1004"/>
      <c r="ANQ44" s="1004"/>
      <c r="ANR44" s="1004"/>
      <c r="ANS44" s="1004"/>
      <c r="ANT44" s="1004"/>
      <c r="ANU44" s="1004"/>
      <c r="ANV44" s="1004"/>
      <c r="ANW44" s="1004"/>
      <c r="ANX44" s="1004"/>
      <c r="ANY44" s="1004"/>
      <c r="ANZ44" s="1004"/>
      <c r="AOA44" s="1004"/>
      <c r="AOB44" s="1004"/>
      <c r="AOC44" s="1004"/>
      <c r="AOD44" s="1004"/>
      <c r="AOE44" s="1004"/>
      <c r="AOF44" s="1004"/>
      <c r="AOG44" s="1004"/>
      <c r="AOH44" s="1004"/>
      <c r="AOI44" s="1004"/>
      <c r="AOJ44" s="1004"/>
      <c r="AOK44" s="1004"/>
      <c r="AOL44" s="1004"/>
      <c r="AOM44" s="1004"/>
      <c r="AON44" s="1004"/>
      <c r="AOO44" s="1004"/>
      <c r="AOP44" s="1004"/>
      <c r="AOQ44" s="1004"/>
      <c r="AOR44" s="1004"/>
      <c r="AOS44" s="1004"/>
      <c r="AOT44" s="1004"/>
      <c r="AOU44" s="1004"/>
      <c r="AOV44" s="1004"/>
      <c r="AOW44" s="1004"/>
      <c r="AOX44" s="1004"/>
      <c r="AOY44" s="1004"/>
      <c r="AOZ44" s="1004"/>
      <c r="APA44" s="1004"/>
      <c r="APB44" s="1004"/>
      <c r="APC44" s="1004"/>
      <c r="APD44" s="1004"/>
      <c r="APE44" s="1004"/>
      <c r="APF44" s="1004"/>
      <c r="APG44" s="1004"/>
      <c r="APH44" s="1004"/>
      <c r="API44" s="1004"/>
      <c r="APJ44" s="1004"/>
      <c r="APK44" s="1004"/>
      <c r="APL44" s="1004"/>
      <c r="APM44" s="1004"/>
      <c r="APN44" s="1004"/>
      <c r="APO44" s="1004"/>
      <c r="APP44" s="1004"/>
      <c r="APQ44" s="1004"/>
      <c r="APR44" s="1004"/>
      <c r="APS44" s="1004"/>
      <c r="APT44" s="1004"/>
      <c r="APU44" s="1004"/>
      <c r="APV44" s="1004"/>
      <c r="APW44" s="1004"/>
      <c r="APX44" s="1004"/>
      <c r="APY44" s="1004"/>
      <c r="APZ44" s="1004"/>
      <c r="AQA44" s="1004"/>
      <c r="AQB44" s="1004"/>
      <c r="AQC44" s="1004"/>
      <c r="AQD44" s="1004"/>
      <c r="AQE44" s="1004"/>
      <c r="AQF44" s="1004"/>
      <c r="AQG44" s="1004"/>
      <c r="AQH44" s="1004"/>
      <c r="AQI44" s="1004"/>
      <c r="AQJ44" s="1004"/>
      <c r="AQK44" s="1004"/>
      <c r="AQL44" s="1004"/>
      <c r="AQM44" s="1004"/>
      <c r="AQN44" s="1004"/>
      <c r="AQO44" s="1004"/>
      <c r="AQP44" s="1004"/>
      <c r="AQQ44" s="1004"/>
      <c r="AQR44" s="1004"/>
      <c r="AQS44" s="1004"/>
      <c r="AQT44" s="1004"/>
      <c r="AQU44" s="1004"/>
      <c r="AQV44" s="1004"/>
      <c r="AQW44" s="1004"/>
      <c r="AQX44" s="1004"/>
      <c r="AQY44" s="1004"/>
      <c r="AQZ44" s="1004"/>
      <c r="ARA44" s="1004"/>
      <c r="ARB44" s="1004"/>
      <c r="ARC44" s="1004"/>
      <c r="ARD44" s="1004"/>
      <c r="ARE44" s="1004"/>
      <c r="ARF44" s="1004"/>
      <c r="ARG44" s="1004"/>
      <c r="ARH44" s="1004"/>
      <c r="ARI44" s="1004"/>
      <c r="ARJ44" s="1004"/>
      <c r="ARK44" s="1004"/>
      <c r="ARL44" s="1004"/>
      <c r="ARM44" s="1004"/>
      <c r="ARN44" s="1004"/>
      <c r="ARO44" s="1004"/>
      <c r="ARP44" s="1004"/>
      <c r="ARQ44" s="1004"/>
      <c r="ARR44" s="1004"/>
      <c r="ARS44" s="1004"/>
      <c r="ART44" s="1004"/>
      <c r="ARU44" s="1004"/>
      <c r="ARV44" s="1004"/>
      <c r="ARW44" s="1004"/>
      <c r="ARX44" s="1004"/>
      <c r="ARY44" s="1004"/>
      <c r="ARZ44" s="1004"/>
      <c r="ASA44" s="1004"/>
      <c r="ASB44" s="1004"/>
      <c r="ASC44" s="1004"/>
      <c r="ASD44" s="1004"/>
      <c r="ASE44" s="1004"/>
      <c r="ASF44" s="1004"/>
      <c r="ASG44" s="1004"/>
      <c r="ASH44" s="1004"/>
      <c r="ASI44" s="1004"/>
      <c r="ASJ44" s="1004"/>
      <c r="ASK44" s="1004"/>
      <c r="ASL44" s="1004"/>
      <c r="ASM44" s="1004"/>
      <c r="ASN44" s="1004"/>
      <c r="ASO44" s="1004"/>
      <c r="ASP44" s="1004"/>
      <c r="ASQ44" s="1004"/>
      <c r="ASR44" s="1004"/>
      <c r="ASS44" s="1004"/>
      <c r="AST44" s="1004"/>
      <c r="ASU44" s="1004"/>
      <c r="ASV44" s="1004"/>
      <c r="ASW44" s="1004"/>
      <c r="ASX44" s="1004"/>
      <c r="ASY44" s="1004"/>
      <c r="ASZ44" s="1004"/>
      <c r="ATA44" s="1004"/>
      <c r="ATB44" s="1004"/>
      <c r="ATC44" s="1004"/>
      <c r="ATD44" s="1004"/>
      <c r="ATE44" s="1004"/>
      <c r="ATF44" s="1004"/>
      <c r="ATG44" s="1004"/>
      <c r="ATH44" s="1004"/>
      <c r="ATI44" s="1004"/>
      <c r="ATJ44" s="1004"/>
      <c r="ATK44" s="1004"/>
      <c r="ATL44" s="1004"/>
      <c r="ATM44" s="1004"/>
      <c r="ATN44" s="1004"/>
      <c r="ATO44" s="1004"/>
      <c r="ATP44" s="1004"/>
      <c r="ATQ44" s="1004"/>
      <c r="ATR44" s="1004"/>
      <c r="ATS44" s="1004"/>
      <c r="ATT44" s="1004"/>
      <c r="ATU44" s="1004"/>
      <c r="ATV44" s="1004"/>
      <c r="ATW44" s="1004"/>
      <c r="ATX44" s="1004"/>
      <c r="ATY44" s="1004"/>
      <c r="ATZ44" s="1004"/>
      <c r="AUA44" s="1004"/>
      <c r="AUB44" s="1004"/>
      <c r="AUC44" s="1004"/>
      <c r="AUD44" s="1004"/>
      <c r="AUE44" s="1004"/>
      <c r="AUF44" s="1004"/>
      <c r="AUG44" s="1004"/>
      <c r="AUH44" s="1004"/>
      <c r="AUI44" s="1004"/>
      <c r="AUJ44" s="1004"/>
      <c r="AUK44" s="1004"/>
      <c r="AUL44" s="1004"/>
      <c r="AUM44" s="1004"/>
      <c r="AUN44" s="1004"/>
      <c r="AUO44" s="1004"/>
      <c r="AUP44" s="1004"/>
      <c r="AUQ44" s="1004"/>
      <c r="AUR44" s="1004"/>
      <c r="AUS44" s="1004"/>
      <c r="AUT44" s="1004"/>
      <c r="AUU44" s="1004"/>
      <c r="AUV44" s="1004"/>
      <c r="AUW44" s="1004"/>
      <c r="AUX44" s="1004"/>
      <c r="AUY44" s="1004"/>
      <c r="AUZ44" s="1004"/>
      <c r="AVA44" s="1004"/>
      <c r="AVB44" s="1004"/>
      <c r="AVC44" s="1004"/>
      <c r="AVD44" s="1004"/>
      <c r="AVE44" s="1004"/>
      <c r="AVF44" s="1004"/>
      <c r="AVG44" s="1004"/>
      <c r="AVH44" s="1004"/>
      <c r="AVI44" s="1004"/>
      <c r="AVJ44" s="1004"/>
      <c r="AVK44" s="1004"/>
      <c r="AVL44" s="1004"/>
      <c r="AVM44" s="1004"/>
      <c r="AVN44" s="1004"/>
      <c r="AVO44" s="1004"/>
      <c r="AVP44" s="1004"/>
      <c r="AVQ44" s="1004"/>
      <c r="AVR44" s="1004"/>
      <c r="AVS44" s="1004"/>
      <c r="AVT44" s="1004"/>
      <c r="AVU44" s="1004"/>
      <c r="AVV44" s="1004"/>
      <c r="AVW44" s="1004"/>
      <c r="AVX44" s="1004"/>
      <c r="AVY44" s="1004"/>
      <c r="AVZ44" s="1004"/>
      <c r="AWA44" s="1004"/>
      <c r="AWB44" s="1004"/>
      <c r="AWC44" s="1004"/>
      <c r="AWD44" s="1004"/>
      <c r="AWE44" s="1004"/>
      <c r="AWF44" s="1004"/>
      <c r="AWG44" s="1004"/>
      <c r="AWH44" s="1004"/>
      <c r="AWI44" s="1004"/>
      <c r="AWJ44" s="1004"/>
      <c r="AWK44" s="1004"/>
      <c r="AWL44" s="1004"/>
      <c r="AWM44" s="1004"/>
      <c r="AWN44" s="1004"/>
      <c r="AWO44" s="1004"/>
      <c r="AWP44" s="1004"/>
      <c r="AWQ44" s="1004"/>
      <c r="AWR44" s="1004"/>
      <c r="AWS44" s="1004"/>
      <c r="AWT44" s="1004"/>
      <c r="AWU44" s="1004"/>
      <c r="AWV44" s="1004"/>
      <c r="AWW44" s="1004"/>
      <c r="AWX44" s="1004"/>
      <c r="AWY44" s="1004"/>
      <c r="AWZ44" s="1004"/>
      <c r="AXA44" s="1004"/>
      <c r="AXB44" s="1004"/>
      <c r="AXC44" s="1004"/>
      <c r="AXD44" s="1004"/>
      <c r="AXE44" s="1004"/>
      <c r="AXF44" s="1004"/>
      <c r="AXG44" s="1004"/>
      <c r="AXH44" s="1004"/>
      <c r="AXI44" s="1004"/>
      <c r="AXJ44" s="1004"/>
      <c r="AXK44" s="1004"/>
      <c r="AXL44" s="1004"/>
      <c r="AXM44" s="1004"/>
      <c r="AXN44" s="1004"/>
      <c r="AXO44" s="1004"/>
      <c r="AXP44" s="1004"/>
      <c r="AXQ44" s="1004"/>
      <c r="AXR44" s="1004"/>
      <c r="AXS44" s="1004"/>
      <c r="AXT44" s="1004"/>
      <c r="AXU44" s="1004"/>
      <c r="AXV44" s="1004"/>
      <c r="AXW44" s="1004"/>
      <c r="AXX44" s="1004"/>
      <c r="AXY44" s="1004"/>
      <c r="AXZ44" s="1004"/>
      <c r="AYA44" s="1004"/>
      <c r="AYB44" s="1004"/>
      <c r="AYC44" s="1004"/>
      <c r="AYD44" s="1004"/>
      <c r="AYE44" s="1004"/>
      <c r="AYF44" s="1004"/>
      <c r="AYG44" s="1004"/>
      <c r="AYH44" s="1004"/>
      <c r="AYI44" s="1004"/>
      <c r="AYJ44" s="1004"/>
      <c r="AYK44" s="1004"/>
      <c r="AYL44" s="1004"/>
      <c r="AYM44" s="1004"/>
      <c r="AYN44" s="1004"/>
      <c r="AYO44" s="1004"/>
      <c r="AYP44" s="1004"/>
      <c r="AYQ44" s="1004"/>
      <c r="AYR44" s="1004"/>
      <c r="AYS44" s="1004"/>
      <c r="AYT44" s="1004"/>
      <c r="AYU44" s="1004"/>
      <c r="AYV44" s="1004"/>
      <c r="AYW44" s="1004"/>
      <c r="AYX44" s="1004"/>
      <c r="AYY44" s="1004"/>
      <c r="AYZ44" s="1004"/>
      <c r="AZA44" s="1004"/>
      <c r="AZB44" s="1004"/>
      <c r="AZC44" s="1004"/>
      <c r="AZD44" s="1004"/>
      <c r="AZE44" s="1004"/>
      <c r="AZF44" s="1004"/>
      <c r="AZG44" s="1004"/>
      <c r="AZH44" s="1004"/>
      <c r="AZI44" s="1004"/>
      <c r="AZJ44" s="1004"/>
      <c r="AZK44" s="1004"/>
      <c r="AZL44" s="1004"/>
      <c r="AZM44" s="1004"/>
      <c r="AZN44" s="1004"/>
      <c r="AZO44" s="1004"/>
      <c r="AZP44" s="1004"/>
      <c r="AZQ44" s="1004"/>
      <c r="AZR44" s="1004"/>
      <c r="AZS44" s="1004"/>
      <c r="AZT44" s="1004"/>
      <c r="AZU44" s="1004"/>
      <c r="AZV44" s="1004"/>
      <c r="AZW44" s="1004"/>
      <c r="AZX44" s="1004"/>
      <c r="AZY44" s="1004"/>
      <c r="AZZ44" s="1004"/>
      <c r="BAA44" s="1004"/>
      <c r="BAB44" s="1004"/>
      <c r="BAC44" s="1004"/>
      <c r="BAD44" s="1004"/>
      <c r="BAE44" s="1004"/>
      <c r="BAF44" s="1004"/>
      <c r="BAG44" s="1004"/>
      <c r="BAH44" s="1004"/>
      <c r="BAI44" s="1004"/>
      <c r="BAJ44" s="1004"/>
      <c r="BAK44" s="1004"/>
      <c r="BAL44" s="1004"/>
      <c r="BAM44" s="1004"/>
      <c r="BAN44" s="1004"/>
      <c r="BAO44" s="1004"/>
      <c r="BAP44" s="1004"/>
      <c r="BAQ44" s="1004"/>
      <c r="BAR44" s="1004"/>
      <c r="BAS44" s="1004"/>
      <c r="BAT44" s="1004"/>
      <c r="BAU44" s="1004"/>
      <c r="BAV44" s="1004"/>
      <c r="BAW44" s="1004"/>
      <c r="BAX44" s="1004"/>
      <c r="BAY44" s="1004"/>
      <c r="BAZ44" s="1004"/>
      <c r="BBA44" s="1004"/>
      <c r="BBB44" s="1004"/>
      <c r="BBC44" s="1004"/>
      <c r="BBD44" s="1004"/>
      <c r="BBE44" s="1004"/>
      <c r="BBF44" s="1004"/>
      <c r="BBG44" s="1004"/>
      <c r="BBH44" s="1004"/>
      <c r="BBI44" s="1004"/>
      <c r="BBJ44" s="1004"/>
      <c r="BBK44" s="1004"/>
      <c r="BBL44" s="1004"/>
      <c r="BBM44" s="1004"/>
      <c r="BBN44" s="1004"/>
      <c r="BBO44" s="1004"/>
      <c r="BBP44" s="1004"/>
      <c r="BBQ44" s="1004"/>
      <c r="BBR44" s="1004"/>
      <c r="BBS44" s="1004"/>
      <c r="BBT44" s="1004"/>
      <c r="BBU44" s="1004"/>
      <c r="BBV44" s="1004"/>
      <c r="BBW44" s="1004"/>
      <c r="BBX44" s="1004"/>
      <c r="BBY44" s="1004"/>
      <c r="BBZ44" s="1004"/>
      <c r="BCA44" s="1004"/>
      <c r="BCB44" s="1004"/>
      <c r="BCC44" s="1004"/>
      <c r="BCD44" s="1004"/>
      <c r="BCE44" s="1004"/>
      <c r="BCF44" s="1004"/>
      <c r="BCG44" s="1004"/>
      <c r="BCH44" s="1004"/>
      <c r="BCI44" s="1004"/>
      <c r="BCJ44" s="1004"/>
      <c r="BCK44" s="1004"/>
      <c r="BCL44" s="1004"/>
      <c r="BCM44" s="1004"/>
      <c r="BCN44" s="1004"/>
      <c r="BCO44" s="1004"/>
      <c r="BCP44" s="1004"/>
      <c r="BCQ44" s="1004"/>
      <c r="BCR44" s="1004"/>
      <c r="BCS44" s="1004"/>
      <c r="BCT44" s="1004"/>
      <c r="BCU44" s="1004"/>
      <c r="BCV44" s="1004"/>
      <c r="BCW44" s="1004"/>
      <c r="BCX44" s="1004"/>
      <c r="BCY44" s="1004"/>
      <c r="BCZ44" s="1004"/>
      <c r="BDA44" s="1004"/>
      <c r="BDB44" s="1004"/>
      <c r="BDC44" s="1004"/>
      <c r="BDD44" s="1004"/>
      <c r="BDE44" s="1004"/>
      <c r="BDF44" s="1004"/>
      <c r="BDG44" s="1004"/>
      <c r="BDH44" s="1004"/>
      <c r="BDI44" s="1004"/>
      <c r="BDJ44" s="1004"/>
      <c r="BDK44" s="1004"/>
      <c r="BDL44" s="1004"/>
      <c r="BDM44" s="1004"/>
      <c r="BDN44" s="1004"/>
      <c r="BDO44" s="1004"/>
      <c r="BDP44" s="1004"/>
      <c r="BDQ44" s="1004"/>
      <c r="BDR44" s="1004"/>
      <c r="BDS44" s="1004"/>
      <c r="BDT44" s="1004"/>
      <c r="BDU44" s="1004"/>
      <c r="BDV44" s="1004"/>
      <c r="BDW44" s="1004"/>
      <c r="BDX44" s="1004"/>
      <c r="BDY44" s="1004"/>
      <c r="BDZ44" s="1004"/>
      <c r="BEA44" s="1004"/>
      <c r="BEB44" s="1004"/>
      <c r="BEC44" s="1004"/>
      <c r="BED44" s="1004"/>
      <c r="BEE44" s="1004"/>
      <c r="BEF44" s="1004"/>
      <c r="BEG44" s="1004"/>
      <c r="BEH44" s="1004"/>
      <c r="BEI44" s="1004"/>
      <c r="BEJ44" s="1004"/>
      <c r="BEK44" s="1004"/>
      <c r="BEL44" s="1004"/>
      <c r="BEM44" s="1004"/>
      <c r="BEN44" s="1004"/>
      <c r="BEO44" s="1004"/>
      <c r="BEP44" s="1004"/>
      <c r="BEQ44" s="1004"/>
      <c r="BER44" s="1004"/>
      <c r="BES44" s="1004"/>
      <c r="BET44" s="1004"/>
      <c r="BEU44" s="1004"/>
      <c r="BEV44" s="1004"/>
      <c r="BEW44" s="1004"/>
      <c r="BEX44" s="1004"/>
      <c r="BEY44" s="1004"/>
      <c r="BEZ44" s="1004"/>
      <c r="BFA44" s="1004"/>
      <c r="BFB44" s="1004"/>
      <c r="BFC44" s="1004"/>
      <c r="BFD44" s="1004"/>
      <c r="BFE44" s="1004"/>
      <c r="BFF44" s="1004"/>
      <c r="BFG44" s="1004"/>
      <c r="BFH44" s="1004"/>
      <c r="BFI44" s="1004"/>
      <c r="BFJ44" s="1004"/>
      <c r="BFK44" s="1004"/>
      <c r="BFL44" s="1004"/>
      <c r="BFM44" s="1004"/>
      <c r="BFN44" s="1004"/>
      <c r="BFO44" s="1004"/>
      <c r="BFP44" s="1004"/>
      <c r="BFQ44" s="1004"/>
      <c r="BFR44" s="1004"/>
      <c r="BFS44" s="1004"/>
      <c r="BFT44" s="1004"/>
      <c r="BFU44" s="1004"/>
      <c r="BFV44" s="1004"/>
      <c r="BFW44" s="1004"/>
      <c r="BFX44" s="1004"/>
      <c r="BFY44" s="1004"/>
      <c r="BFZ44" s="1004"/>
      <c r="BGA44" s="1004"/>
      <c r="BGB44" s="1004"/>
      <c r="BGC44" s="1004"/>
      <c r="BGD44" s="1004"/>
      <c r="BGE44" s="1004"/>
      <c r="BGF44" s="1004"/>
      <c r="BGG44" s="1004"/>
      <c r="BGH44" s="1004"/>
      <c r="BGI44" s="1004"/>
      <c r="BGJ44" s="1004"/>
      <c r="BGK44" s="1004"/>
      <c r="BGL44" s="1004"/>
      <c r="BGM44" s="1004"/>
      <c r="BGN44" s="1004"/>
      <c r="BGO44" s="1004"/>
      <c r="BGP44" s="1004"/>
      <c r="BGQ44" s="1004"/>
      <c r="BGR44" s="1004"/>
      <c r="BGS44" s="1004"/>
      <c r="BGT44" s="1004"/>
      <c r="BGU44" s="1004"/>
      <c r="BGV44" s="1004"/>
      <c r="BGW44" s="1004"/>
      <c r="BGX44" s="1004"/>
      <c r="BGY44" s="1004"/>
      <c r="BGZ44" s="1004"/>
      <c r="BHA44" s="1004"/>
      <c r="BHB44" s="1004"/>
      <c r="BHC44" s="1004"/>
      <c r="BHD44" s="1004"/>
      <c r="BHE44" s="1004"/>
      <c r="BHF44" s="1004"/>
      <c r="BHG44" s="1004"/>
      <c r="BHH44" s="1004"/>
      <c r="BHI44" s="1004"/>
      <c r="BHJ44" s="1004"/>
      <c r="BHK44" s="1004"/>
      <c r="BHL44" s="1004"/>
      <c r="BHM44" s="1004"/>
      <c r="BHN44" s="1004"/>
      <c r="BHO44" s="1004"/>
      <c r="BHP44" s="1004"/>
      <c r="BHQ44" s="1004"/>
      <c r="BHR44" s="1004"/>
      <c r="BHS44" s="1004"/>
      <c r="BHT44" s="1004"/>
      <c r="BHU44" s="1004"/>
      <c r="BHV44" s="1004"/>
      <c r="BHW44" s="1004"/>
      <c r="BHX44" s="1004"/>
      <c r="BHY44" s="1004"/>
      <c r="BHZ44" s="1004"/>
      <c r="BIA44" s="1004"/>
      <c r="BIB44" s="1004"/>
      <c r="BIC44" s="1004"/>
      <c r="BID44" s="1004"/>
      <c r="BIE44" s="1004"/>
      <c r="BIF44" s="1004"/>
      <c r="BIG44" s="1004"/>
      <c r="BIH44" s="1004"/>
      <c r="BII44" s="1004"/>
      <c r="BIJ44" s="1004"/>
      <c r="BIK44" s="1004"/>
      <c r="BIL44" s="1004"/>
      <c r="BIM44" s="1004"/>
      <c r="BIN44" s="1004"/>
      <c r="BIO44" s="1004"/>
      <c r="BIP44" s="1004"/>
      <c r="BIQ44" s="1004"/>
      <c r="BIR44" s="1004"/>
      <c r="BIS44" s="1004"/>
      <c r="BIT44" s="1004"/>
      <c r="BIU44" s="1004"/>
      <c r="BIV44" s="1004"/>
      <c r="BIW44" s="1004"/>
      <c r="BIX44" s="1004"/>
      <c r="BIY44" s="1004"/>
      <c r="BIZ44" s="1004"/>
      <c r="BJA44" s="1004"/>
      <c r="BJB44" s="1004"/>
      <c r="BJC44" s="1004"/>
      <c r="BJD44" s="1004"/>
      <c r="BJE44" s="1004"/>
      <c r="BJF44" s="1004"/>
      <c r="BJG44" s="1004"/>
      <c r="BJH44" s="1004"/>
      <c r="BJI44" s="1004"/>
      <c r="BJJ44" s="1004"/>
      <c r="BJK44" s="1004"/>
      <c r="BJL44" s="1004"/>
      <c r="BJM44" s="1004"/>
      <c r="BJN44" s="1004"/>
      <c r="BJO44" s="1004"/>
      <c r="BJP44" s="1004"/>
      <c r="BJQ44" s="1004"/>
      <c r="BJR44" s="1004"/>
      <c r="BJS44" s="1004"/>
      <c r="BJT44" s="1004"/>
      <c r="BJU44" s="1004"/>
      <c r="BJV44" s="1004"/>
      <c r="BJW44" s="1004"/>
      <c r="BJX44" s="1004"/>
      <c r="BJY44" s="1004"/>
      <c r="BJZ44" s="1004"/>
      <c r="BKA44" s="1004"/>
      <c r="BKB44" s="1004"/>
      <c r="BKC44" s="1004"/>
      <c r="BKD44" s="1004"/>
      <c r="BKE44" s="1004"/>
      <c r="BKF44" s="1004"/>
      <c r="BKG44" s="1004"/>
      <c r="BKH44" s="1004"/>
      <c r="BKI44" s="1004"/>
      <c r="BKJ44" s="1004"/>
      <c r="BKK44" s="1004"/>
      <c r="BKL44" s="1004"/>
      <c r="BKM44" s="1004"/>
      <c r="BKN44" s="1004"/>
      <c r="BKO44" s="1004"/>
      <c r="BKP44" s="1004"/>
      <c r="BKQ44" s="1004"/>
      <c r="BKR44" s="1004"/>
      <c r="BKS44" s="1004"/>
      <c r="BKT44" s="1004"/>
      <c r="BKU44" s="1004"/>
      <c r="BKV44" s="1004"/>
      <c r="BKW44" s="1004"/>
      <c r="BKX44" s="1004"/>
      <c r="BKY44" s="1004"/>
      <c r="BKZ44" s="1004"/>
      <c r="BLA44" s="1004"/>
      <c r="BLB44" s="1004"/>
      <c r="BLC44" s="1004"/>
      <c r="BLD44" s="1004"/>
      <c r="BLE44" s="1004"/>
      <c r="BLF44" s="1004"/>
      <c r="BLG44" s="1004"/>
      <c r="BLH44" s="1004"/>
      <c r="BLI44" s="1004"/>
      <c r="BLJ44" s="1004"/>
      <c r="BLK44" s="1004"/>
      <c r="BLL44" s="1004"/>
      <c r="BLM44" s="1004"/>
      <c r="BLN44" s="1004"/>
      <c r="BLO44" s="1004"/>
      <c r="BLP44" s="1004"/>
      <c r="BLQ44" s="1004"/>
      <c r="BLR44" s="1004"/>
      <c r="BLS44" s="1004"/>
      <c r="BLT44" s="1004"/>
      <c r="BLU44" s="1004"/>
      <c r="BLV44" s="1004"/>
      <c r="BLW44" s="1004"/>
      <c r="BLX44" s="1004"/>
      <c r="BLY44" s="1004"/>
      <c r="BLZ44" s="1004"/>
      <c r="BMA44" s="1004"/>
      <c r="BMB44" s="1004"/>
      <c r="BMC44" s="1004"/>
      <c r="BMD44" s="1004"/>
      <c r="BME44" s="1004"/>
      <c r="BMF44" s="1004"/>
      <c r="BMG44" s="1004"/>
      <c r="BMH44" s="1004"/>
      <c r="BMI44" s="1004"/>
      <c r="BMJ44" s="1004"/>
      <c r="BMK44" s="1004"/>
      <c r="BML44" s="1004"/>
      <c r="BMM44" s="1004"/>
      <c r="BMN44" s="1004"/>
      <c r="BMO44" s="1004"/>
      <c r="BMP44" s="1004"/>
      <c r="BMQ44" s="1004"/>
      <c r="BMR44" s="1004"/>
      <c r="BMS44" s="1004"/>
      <c r="BMT44" s="1004"/>
      <c r="BMU44" s="1004"/>
      <c r="BMV44" s="1004"/>
      <c r="BMW44" s="1004"/>
      <c r="BMX44" s="1004"/>
      <c r="BMY44" s="1004"/>
      <c r="BMZ44" s="1004"/>
      <c r="BNA44" s="1004"/>
      <c r="BNB44" s="1004"/>
      <c r="BNC44" s="1004"/>
      <c r="BND44" s="1004"/>
      <c r="BNE44" s="1004"/>
      <c r="BNF44" s="1004"/>
      <c r="BNG44" s="1004"/>
      <c r="BNH44" s="1004"/>
      <c r="BNI44" s="1004"/>
      <c r="BNJ44" s="1004"/>
      <c r="BNK44" s="1004"/>
      <c r="BNL44" s="1004"/>
      <c r="BNM44" s="1004"/>
      <c r="BNN44" s="1004"/>
      <c r="BNO44" s="1004"/>
      <c r="BNP44" s="1004"/>
      <c r="BNQ44" s="1004"/>
      <c r="BNR44" s="1004"/>
      <c r="BNS44" s="1004"/>
      <c r="BNT44" s="1004"/>
      <c r="BNU44" s="1004"/>
      <c r="BNV44" s="1004"/>
      <c r="BNW44" s="1004"/>
      <c r="BNX44" s="1004"/>
      <c r="BNY44" s="1004"/>
      <c r="BNZ44" s="1004"/>
      <c r="BOA44" s="1004"/>
      <c r="BOB44" s="1004"/>
      <c r="BOC44" s="1004"/>
      <c r="BOD44" s="1004"/>
      <c r="BOE44" s="1004"/>
      <c r="BOF44" s="1004"/>
      <c r="BOG44" s="1004"/>
      <c r="BOH44" s="1004"/>
      <c r="BOI44" s="1004"/>
      <c r="BOJ44" s="1004"/>
      <c r="BOK44" s="1004"/>
      <c r="BOL44" s="1004"/>
      <c r="BOM44" s="1004"/>
      <c r="BON44" s="1004"/>
      <c r="BOO44" s="1004"/>
      <c r="BOP44" s="1004"/>
      <c r="BOQ44" s="1004"/>
      <c r="BOR44" s="1004"/>
      <c r="BOS44" s="1004"/>
      <c r="BOT44" s="1004"/>
      <c r="BOU44" s="1004"/>
      <c r="BOV44" s="1004"/>
      <c r="BOW44" s="1004"/>
      <c r="BOX44" s="1004"/>
      <c r="BOY44" s="1004"/>
      <c r="BOZ44" s="1004"/>
      <c r="BPA44" s="1004"/>
      <c r="BPB44" s="1004"/>
      <c r="BPC44" s="1004"/>
      <c r="BPD44" s="1004"/>
      <c r="BPE44" s="1004"/>
      <c r="BPF44" s="1004"/>
      <c r="BPG44" s="1004"/>
      <c r="BPH44" s="1004"/>
      <c r="BPI44" s="1004"/>
      <c r="BPJ44" s="1004"/>
      <c r="BPK44" s="1004"/>
      <c r="BPL44" s="1004"/>
      <c r="BPM44" s="1004"/>
      <c r="BPN44" s="1004"/>
      <c r="BPO44" s="1004"/>
      <c r="BPP44" s="1004"/>
      <c r="BPQ44" s="1004"/>
      <c r="BPR44" s="1004"/>
      <c r="BPS44" s="1004"/>
      <c r="BPT44" s="1004"/>
      <c r="BPU44" s="1004"/>
      <c r="BPV44" s="1004"/>
      <c r="BPW44" s="1004"/>
      <c r="BPX44" s="1004"/>
      <c r="BPY44" s="1004"/>
      <c r="BPZ44" s="1004"/>
      <c r="BQA44" s="1004"/>
      <c r="BQB44" s="1004"/>
      <c r="BQC44" s="1004"/>
      <c r="BQD44" s="1004"/>
      <c r="BQE44" s="1004"/>
      <c r="BQF44" s="1004"/>
      <c r="BQG44" s="1004"/>
      <c r="BQH44" s="1004"/>
      <c r="BQI44" s="1004"/>
      <c r="BQJ44" s="1004"/>
      <c r="BQK44" s="1004"/>
      <c r="BQL44" s="1004"/>
      <c r="BQM44" s="1004"/>
      <c r="BQN44" s="1004"/>
      <c r="BQO44" s="1004"/>
      <c r="BQP44" s="1004"/>
      <c r="BQQ44" s="1004"/>
      <c r="BQR44" s="1004"/>
      <c r="BQS44" s="1004"/>
      <c r="BQT44" s="1004"/>
      <c r="BQU44" s="1004"/>
      <c r="BQV44" s="1004"/>
      <c r="BQW44" s="1004"/>
      <c r="BQX44" s="1004"/>
      <c r="BQY44" s="1004"/>
      <c r="BQZ44" s="1004"/>
      <c r="BRA44" s="1004"/>
      <c r="BRB44" s="1004"/>
      <c r="BRC44" s="1004"/>
      <c r="BRD44" s="1004"/>
      <c r="BRE44" s="1004"/>
      <c r="BRF44" s="1004"/>
      <c r="BRG44" s="1004"/>
      <c r="BRH44" s="1004"/>
      <c r="BRI44" s="1004"/>
      <c r="BRJ44" s="1004"/>
      <c r="BRK44" s="1004"/>
      <c r="BRL44" s="1004"/>
      <c r="BRM44" s="1004"/>
      <c r="BRN44" s="1004"/>
      <c r="BRO44" s="1004"/>
      <c r="BRP44" s="1004"/>
      <c r="BRQ44" s="1004"/>
      <c r="BRR44" s="1004"/>
      <c r="BRS44" s="1004"/>
      <c r="BRT44" s="1004"/>
      <c r="BRU44" s="1004"/>
      <c r="BRV44" s="1004"/>
      <c r="BRW44" s="1004"/>
      <c r="BRX44" s="1004"/>
      <c r="BRY44" s="1004"/>
      <c r="BRZ44" s="1004"/>
      <c r="BSA44" s="1004"/>
      <c r="BSB44" s="1004"/>
      <c r="BSC44" s="1004"/>
      <c r="BSD44" s="1004"/>
      <c r="BSE44" s="1004"/>
      <c r="BSF44" s="1004"/>
      <c r="BSG44" s="1004"/>
      <c r="BSH44" s="1004"/>
      <c r="BSI44" s="1004"/>
      <c r="BSJ44" s="1004"/>
      <c r="BSK44" s="1004"/>
      <c r="BSL44" s="1004"/>
      <c r="BSM44" s="1004"/>
      <c r="BSN44" s="1004"/>
      <c r="BSO44" s="1004"/>
      <c r="BSP44" s="1004"/>
      <c r="BSQ44" s="1004"/>
      <c r="BSR44" s="1004"/>
      <c r="BSS44" s="1004"/>
      <c r="BST44" s="1004"/>
      <c r="BSU44" s="1004"/>
      <c r="BSV44" s="1004"/>
      <c r="BSW44" s="1004"/>
      <c r="BSX44" s="1004"/>
      <c r="BSY44" s="1004"/>
      <c r="BSZ44" s="1004"/>
      <c r="BTA44" s="1004"/>
      <c r="BTB44" s="1004"/>
      <c r="BTC44" s="1004"/>
      <c r="BTD44" s="1004"/>
      <c r="BTE44" s="1004"/>
      <c r="BTF44" s="1004"/>
      <c r="BTG44" s="1004"/>
      <c r="BTH44" s="1004"/>
      <c r="BTI44" s="1004"/>
      <c r="BTJ44" s="1004"/>
      <c r="BTK44" s="1004"/>
      <c r="BTL44" s="1004"/>
      <c r="BTM44" s="1004"/>
      <c r="BTN44" s="1004"/>
      <c r="BTO44" s="1004"/>
      <c r="BTP44" s="1004"/>
      <c r="BTQ44" s="1004"/>
      <c r="BTR44" s="1004"/>
      <c r="BTS44" s="1004"/>
      <c r="BTT44" s="1004"/>
      <c r="BTU44" s="1004"/>
      <c r="BTV44" s="1004"/>
      <c r="BTW44" s="1004"/>
      <c r="BTX44" s="1004"/>
      <c r="BTY44" s="1004"/>
      <c r="BTZ44" s="1004"/>
      <c r="BUA44" s="1004"/>
      <c r="BUB44" s="1004"/>
      <c r="BUC44" s="1004"/>
      <c r="BUD44" s="1004"/>
      <c r="BUE44" s="1004"/>
      <c r="BUF44" s="1004"/>
      <c r="BUG44" s="1004"/>
      <c r="BUH44" s="1004"/>
      <c r="BUI44" s="1004"/>
      <c r="BUJ44" s="1004"/>
      <c r="BUK44" s="1004"/>
      <c r="BUL44" s="1004"/>
      <c r="BUM44" s="1004"/>
      <c r="BUN44" s="1004"/>
      <c r="BUO44" s="1004"/>
      <c r="BUP44" s="1004"/>
      <c r="BUQ44" s="1004"/>
      <c r="BUR44" s="1004"/>
      <c r="BUS44" s="1004"/>
      <c r="BUT44" s="1004"/>
      <c r="BUU44" s="1004"/>
      <c r="BUV44" s="1004"/>
      <c r="BUW44" s="1004"/>
      <c r="BUX44" s="1004"/>
      <c r="BUY44" s="1004"/>
      <c r="BUZ44" s="1004"/>
      <c r="BVA44" s="1004"/>
      <c r="BVB44" s="1004"/>
      <c r="BVC44" s="1004"/>
      <c r="BVD44" s="1004"/>
      <c r="BVE44" s="1004"/>
      <c r="BVF44" s="1004"/>
      <c r="BVG44" s="1004"/>
      <c r="BVH44" s="1004"/>
      <c r="BVI44" s="1004"/>
      <c r="BVJ44" s="1004"/>
      <c r="BVK44" s="1004"/>
      <c r="BVL44" s="1004"/>
      <c r="BVM44" s="1004"/>
      <c r="BVN44" s="1004"/>
      <c r="BVO44" s="1004"/>
      <c r="BVP44" s="1004"/>
      <c r="BVQ44" s="1004"/>
      <c r="BVR44" s="1004"/>
      <c r="BVS44" s="1004"/>
      <c r="BVT44" s="1004"/>
      <c r="BVU44" s="1004"/>
      <c r="BVV44" s="1004"/>
      <c r="BVW44" s="1004"/>
      <c r="BVX44" s="1004"/>
      <c r="BVY44" s="1004"/>
      <c r="BVZ44" s="1004"/>
      <c r="BWA44" s="1004"/>
      <c r="BWB44" s="1004"/>
      <c r="BWC44" s="1004"/>
      <c r="BWD44" s="1004"/>
      <c r="BWE44" s="1004"/>
      <c r="BWF44" s="1004"/>
      <c r="BWG44" s="1004"/>
      <c r="BWH44" s="1004"/>
      <c r="BWI44" s="1004"/>
      <c r="BWJ44" s="1004"/>
      <c r="BWK44" s="1004"/>
      <c r="BWL44" s="1004"/>
      <c r="BWM44" s="1004"/>
      <c r="BWN44" s="1004"/>
      <c r="BWO44" s="1004"/>
      <c r="BWP44" s="1004"/>
      <c r="BWQ44" s="1004"/>
      <c r="BWR44" s="1004"/>
      <c r="BWS44" s="1004"/>
      <c r="BWT44" s="1004"/>
      <c r="BWU44" s="1004"/>
      <c r="BWV44" s="1004"/>
      <c r="BWW44" s="1004"/>
      <c r="BWX44" s="1004"/>
      <c r="BWY44" s="1004"/>
      <c r="BWZ44" s="1004"/>
      <c r="BXA44" s="1004"/>
      <c r="BXB44" s="1004"/>
      <c r="BXC44" s="1004"/>
      <c r="BXD44" s="1004"/>
      <c r="BXE44" s="1004"/>
      <c r="BXF44" s="1004"/>
      <c r="BXG44" s="1004"/>
      <c r="BXH44" s="1004"/>
      <c r="BXI44" s="1004"/>
      <c r="BXJ44" s="1004"/>
      <c r="BXK44" s="1004"/>
      <c r="BXL44" s="1004"/>
      <c r="BXM44" s="1004"/>
      <c r="BXN44" s="1004"/>
      <c r="BXO44" s="1004"/>
      <c r="BXP44" s="1004"/>
      <c r="BXQ44" s="1004"/>
      <c r="BXR44" s="1004"/>
      <c r="BXS44" s="1004"/>
      <c r="BXT44" s="1004"/>
      <c r="BXU44" s="1004"/>
      <c r="BXV44" s="1004"/>
      <c r="BXW44" s="1004"/>
      <c r="BXX44" s="1004"/>
      <c r="BXY44" s="1004"/>
      <c r="BXZ44" s="1004"/>
      <c r="BYA44" s="1004"/>
      <c r="BYB44" s="1004"/>
      <c r="BYC44" s="1004"/>
      <c r="BYD44" s="1004"/>
      <c r="BYE44" s="1004"/>
      <c r="BYF44" s="1004"/>
      <c r="BYG44" s="1004"/>
      <c r="BYH44" s="1004"/>
      <c r="BYI44" s="1004"/>
      <c r="BYJ44" s="1004"/>
      <c r="BYK44" s="1004"/>
      <c r="BYL44" s="1004"/>
      <c r="BYM44" s="1004"/>
      <c r="BYN44" s="1004"/>
      <c r="BYO44" s="1004"/>
      <c r="BYP44" s="1004"/>
      <c r="BYQ44" s="1004"/>
      <c r="BYR44" s="1004"/>
      <c r="BYS44" s="1004"/>
      <c r="BYT44" s="1004"/>
      <c r="BYU44" s="1004"/>
      <c r="BYV44" s="1004"/>
      <c r="BYW44" s="1004"/>
      <c r="BYX44" s="1004"/>
      <c r="BYY44" s="1004"/>
      <c r="BYZ44" s="1004"/>
      <c r="BZA44" s="1004"/>
      <c r="BZB44" s="1004"/>
      <c r="BZC44" s="1004"/>
      <c r="BZD44" s="1004"/>
      <c r="BZE44" s="1004"/>
      <c r="BZF44" s="1004"/>
      <c r="BZG44" s="1004"/>
      <c r="BZH44" s="1004"/>
      <c r="BZI44" s="1004"/>
      <c r="BZJ44" s="1004"/>
      <c r="BZK44" s="1004"/>
      <c r="BZL44" s="1004"/>
      <c r="BZM44" s="1004"/>
      <c r="BZN44" s="1004"/>
      <c r="BZO44" s="1004"/>
      <c r="BZP44" s="1004"/>
      <c r="BZQ44" s="1004"/>
      <c r="BZR44" s="1004"/>
      <c r="BZS44" s="1004"/>
      <c r="BZT44" s="1004"/>
      <c r="BZU44" s="1004"/>
      <c r="BZV44" s="1004"/>
      <c r="BZW44" s="1004"/>
      <c r="BZX44" s="1004"/>
      <c r="BZY44" s="1004"/>
      <c r="BZZ44" s="1004"/>
      <c r="CAA44" s="1004"/>
      <c r="CAB44" s="1004"/>
      <c r="CAC44" s="1004"/>
      <c r="CAD44" s="1004"/>
      <c r="CAE44" s="1004"/>
      <c r="CAF44" s="1004"/>
      <c r="CAG44" s="1004"/>
      <c r="CAH44" s="1004"/>
      <c r="CAI44" s="1004"/>
      <c r="CAJ44" s="1004"/>
      <c r="CAK44" s="1004"/>
      <c r="CAL44" s="1004"/>
      <c r="CAM44" s="1004"/>
      <c r="CAN44" s="1004"/>
      <c r="CAO44" s="1004"/>
      <c r="CAP44" s="1004"/>
      <c r="CAQ44" s="1004"/>
      <c r="CAR44" s="1004"/>
      <c r="CAS44" s="1004"/>
      <c r="CAT44" s="1004"/>
      <c r="CAU44" s="1004"/>
      <c r="CAV44" s="1004"/>
      <c r="CAW44" s="1004"/>
      <c r="CAX44" s="1004"/>
      <c r="CAY44" s="1004"/>
      <c r="CAZ44" s="1004"/>
      <c r="CBA44" s="1004"/>
      <c r="CBB44" s="1004"/>
      <c r="CBC44" s="1004"/>
      <c r="CBD44" s="1004"/>
      <c r="CBE44" s="1004"/>
      <c r="CBF44" s="1004"/>
      <c r="CBG44" s="1004"/>
      <c r="CBH44" s="1004"/>
      <c r="CBI44" s="1004"/>
      <c r="CBJ44" s="1004"/>
      <c r="CBK44" s="1004"/>
      <c r="CBL44" s="1004"/>
      <c r="CBM44" s="1004"/>
      <c r="CBN44" s="1004"/>
      <c r="CBO44" s="1004"/>
      <c r="CBP44" s="1004"/>
      <c r="CBQ44" s="1004"/>
      <c r="CBR44" s="1004"/>
      <c r="CBS44" s="1004"/>
      <c r="CBT44" s="1004"/>
      <c r="CBU44" s="1004"/>
      <c r="CBV44" s="1004"/>
      <c r="CBW44" s="1004"/>
      <c r="CBX44" s="1004"/>
      <c r="CBY44" s="1004"/>
      <c r="CBZ44" s="1004"/>
      <c r="CCA44" s="1004"/>
      <c r="CCB44" s="1004"/>
      <c r="CCC44" s="1004"/>
      <c r="CCD44" s="1004"/>
      <c r="CCE44" s="1004"/>
      <c r="CCF44" s="1004"/>
      <c r="CCG44" s="1004"/>
      <c r="CCH44" s="1004"/>
      <c r="CCI44" s="1004"/>
      <c r="CCJ44" s="1004"/>
      <c r="CCK44" s="1004"/>
      <c r="CCL44" s="1004"/>
      <c r="CCM44" s="1004"/>
      <c r="CCN44" s="1004"/>
      <c r="CCO44" s="1004"/>
      <c r="CCP44" s="1004"/>
      <c r="CCQ44" s="1004"/>
      <c r="CCR44" s="1004"/>
      <c r="CCS44" s="1004"/>
      <c r="CCT44" s="1004"/>
      <c r="CCU44" s="1004"/>
      <c r="CCV44" s="1004"/>
      <c r="CCW44" s="1004"/>
      <c r="CCX44" s="1004"/>
      <c r="CCY44" s="1004"/>
      <c r="CCZ44" s="1004"/>
      <c r="CDA44" s="1004"/>
      <c r="CDB44" s="1004"/>
      <c r="CDC44" s="1004"/>
      <c r="CDD44" s="1004"/>
      <c r="CDE44" s="1004"/>
      <c r="CDF44" s="1004"/>
      <c r="CDG44" s="1004"/>
      <c r="CDH44" s="1004"/>
      <c r="CDI44" s="1004"/>
      <c r="CDJ44" s="1004"/>
      <c r="CDK44" s="1004"/>
      <c r="CDL44" s="1004"/>
      <c r="CDM44" s="1004"/>
      <c r="CDN44" s="1004"/>
      <c r="CDO44" s="1004"/>
      <c r="CDP44" s="1004"/>
      <c r="CDQ44" s="1004"/>
      <c r="CDR44" s="1004"/>
      <c r="CDS44" s="1004"/>
      <c r="CDT44" s="1004"/>
      <c r="CDU44" s="1004"/>
      <c r="CDV44" s="1004"/>
      <c r="CDW44" s="1004"/>
      <c r="CDX44" s="1004"/>
      <c r="CDY44" s="1004"/>
      <c r="CDZ44" s="1004"/>
      <c r="CEA44" s="1004"/>
      <c r="CEB44" s="1004"/>
      <c r="CEC44" s="1004"/>
      <c r="CED44" s="1004"/>
      <c r="CEE44" s="1004"/>
      <c r="CEF44" s="1004"/>
      <c r="CEG44" s="1004"/>
      <c r="CEH44" s="1004"/>
      <c r="CEI44" s="1004"/>
      <c r="CEJ44" s="1004"/>
      <c r="CEK44" s="1004"/>
      <c r="CEL44" s="1004"/>
      <c r="CEM44" s="1004"/>
      <c r="CEN44" s="1004"/>
      <c r="CEO44" s="1004"/>
      <c r="CEP44" s="1004"/>
      <c r="CEQ44" s="1004"/>
      <c r="CER44" s="1004"/>
      <c r="CES44" s="1004"/>
      <c r="CET44" s="1004"/>
      <c r="CEU44" s="1004"/>
      <c r="CEV44" s="1004"/>
      <c r="CEW44" s="1004"/>
      <c r="CEX44" s="1004"/>
      <c r="CEY44" s="1004"/>
      <c r="CEZ44" s="1004"/>
      <c r="CFA44" s="1004"/>
      <c r="CFB44" s="1004"/>
      <c r="CFC44" s="1004"/>
      <c r="CFD44" s="1004"/>
      <c r="CFE44" s="1004"/>
      <c r="CFF44" s="1004"/>
      <c r="CFG44" s="1004"/>
      <c r="CFH44" s="1004"/>
      <c r="CFI44" s="1004"/>
      <c r="CFJ44" s="1004"/>
      <c r="CFK44" s="1004"/>
      <c r="CFL44" s="1004"/>
      <c r="CFM44" s="1004"/>
      <c r="CFN44" s="1004"/>
      <c r="CFO44" s="1004"/>
      <c r="CFP44" s="1004"/>
      <c r="CFQ44" s="1004"/>
      <c r="CFR44" s="1004"/>
      <c r="CFS44" s="1004"/>
      <c r="CFT44" s="1004"/>
      <c r="CFU44" s="1004"/>
      <c r="CFV44" s="1004"/>
      <c r="CFW44" s="1004"/>
      <c r="CFX44" s="1004"/>
      <c r="CFY44" s="1004"/>
      <c r="CFZ44" s="1004"/>
      <c r="CGA44" s="1004"/>
      <c r="CGB44" s="1004"/>
      <c r="CGC44" s="1004"/>
      <c r="CGD44" s="1004"/>
      <c r="CGE44" s="1004"/>
      <c r="CGF44" s="1004"/>
      <c r="CGG44" s="1004"/>
      <c r="CGH44" s="1004"/>
      <c r="CGI44" s="1004"/>
      <c r="CGJ44" s="1004"/>
      <c r="CGK44" s="1004"/>
      <c r="CGL44" s="1004"/>
      <c r="CGM44" s="1004"/>
      <c r="CGN44" s="1004"/>
      <c r="CGO44" s="1004"/>
      <c r="CGP44" s="1004"/>
      <c r="CGQ44" s="1004"/>
      <c r="CGR44" s="1004"/>
      <c r="CGS44" s="1004"/>
      <c r="CGT44" s="1004"/>
      <c r="CGU44" s="1004"/>
      <c r="CGV44" s="1004"/>
      <c r="CGW44" s="1004"/>
      <c r="CGX44" s="1004"/>
      <c r="CGY44" s="1004"/>
      <c r="CGZ44" s="1004"/>
      <c r="CHA44" s="1004"/>
      <c r="CHB44" s="1004"/>
      <c r="CHC44" s="1004"/>
      <c r="CHD44" s="1004"/>
      <c r="CHE44" s="1004"/>
      <c r="CHF44" s="1004"/>
      <c r="CHG44" s="1004"/>
      <c r="CHH44" s="1004"/>
      <c r="CHI44" s="1004"/>
      <c r="CHJ44" s="1004"/>
      <c r="CHK44" s="1004"/>
      <c r="CHL44" s="1004"/>
      <c r="CHM44" s="1004"/>
      <c r="CHN44" s="1004"/>
      <c r="CHO44" s="1004"/>
      <c r="CHP44" s="1004"/>
      <c r="CHQ44" s="1004"/>
      <c r="CHR44" s="1004"/>
      <c r="CHS44" s="1004"/>
      <c r="CHT44" s="1004"/>
      <c r="CHU44" s="1004"/>
      <c r="CHV44" s="1004"/>
      <c r="CHW44" s="1004"/>
      <c r="CHX44" s="1004"/>
      <c r="CHY44" s="1004"/>
      <c r="CHZ44" s="1004"/>
      <c r="CIA44" s="1004"/>
      <c r="CIB44" s="1004"/>
      <c r="CIC44" s="1004"/>
      <c r="CID44" s="1004"/>
      <c r="CIE44" s="1004"/>
      <c r="CIF44" s="1004"/>
      <c r="CIG44" s="1004"/>
      <c r="CIH44" s="1004"/>
      <c r="CII44" s="1004"/>
      <c r="CIJ44" s="1004"/>
      <c r="CIK44" s="1004"/>
      <c r="CIL44" s="1004"/>
      <c r="CIM44" s="1004"/>
      <c r="CIN44" s="1004"/>
      <c r="CIO44" s="1004"/>
      <c r="CIP44" s="1004"/>
      <c r="CIQ44" s="1004"/>
      <c r="CIR44" s="1004"/>
      <c r="CIS44" s="1004"/>
      <c r="CIT44" s="1004"/>
      <c r="CIU44" s="1004"/>
      <c r="CIV44" s="1004"/>
      <c r="CIW44" s="1004"/>
      <c r="CIX44" s="1004"/>
      <c r="CIY44" s="1004"/>
      <c r="CIZ44" s="1004"/>
      <c r="CJA44" s="1004"/>
      <c r="CJB44" s="1004"/>
      <c r="CJC44" s="1004"/>
      <c r="CJD44" s="1004"/>
      <c r="CJE44" s="1004"/>
      <c r="CJF44" s="1004"/>
      <c r="CJG44" s="1004"/>
      <c r="CJH44" s="1004"/>
      <c r="CJI44" s="1004"/>
      <c r="CJJ44" s="1004"/>
      <c r="CJK44" s="1004"/>
      <c r="CJL44" s="1004"/>
      <c r="CJM44" s="1004"/>
      <c r="CJN44" s="1004"/>
      <c r="CJO44" s="1004"/>
      <c r="CJP44" s="1004"/>
      <c r="CJQ44" s="1004"/>
      <c r="CJR44" s="1004"/>
      <c r="CJS44" s="1004"/>
      <c r="CJT44" s="1004"/>
      <c r="CJU44" s="1004"/>
      <c r="CJV44" s="1004"/>
      <c r="CJW44" s="1004"/>
      <c r="CJX44" s="1004"/>
      <c r="CJY44" s="1004"/>
      <c r="CJZ44" s="1004"/>
      <c r="CKA44" s="1004"/>
      <c r="CKB44" s="1004"/>
      <c r="CKC44" s="1004"/>
      <c r="CKD44" s="1004"/>
      <c r="CKE44" s="1004"/>
      <c r="CKF44" s="1004"/>
      <c r="CKG44" s="1004"/>
      <c r="CKH44" s="1004"/>
      <c r="CKI44" s="1004"/>
      <c r="CKJ44" s="1004"/>
      <c r="CKK44" s="1004"/>
      <c r="CKL44" s="1004"/>
      <c r="CKM44" s="1004"/>
      <c r="CKN44" s="1004"/>
      <c r="CKO44" s="1004"/>
      <c r="CKP44" s="1004"/>
      <c r="CKQ44" s="1004"/>
      <c r="CKR44" s="1004"/>
      <c r="CKS44" s="1004"/>
      <c r="CKT44" s="1004"/>
      <c r="CKU44" s="1004"/>
      <c r="CKV44" s="1004"/>
      <c r="CKW44" s="1004"/>
      <c r="CKX44" s="1004"/>
      <c r="CKY44" s="1004"/>
      <c r="CKZ44" s="1004"/>
      <c r="CLA44" s="1004"/>
      <c r="CLB44" s="1004"/>
      <c r="CLC44" s="1004"/>
      <c r="CLD44" s="1004"/>
      <c r="CLE44" s="1004"/>
      <c r="CLF44" s="1004"/>
      <c r="CLG44" s="1004"/>
      <c r="CLH44" s="1004"/>
      <c r="CLI44" s="1004"/>
      <c r="CLJ44" s="1004"/>
      <c r="CLK44" s="1004"/>
      <c r="CLL44" s="1004"/>
      <c r="CLM44" s="1004"/>
      <c r="CLN44" s="1004"/>
      <c r="CLO44" s="1004"/>
      <c r="CLP44" s="1004"/>
      <c r="CLQ44" s="1004"/>
      <c r="CLR44" s="1004"/>
      <c r="CLS44" s="1004"/>
      <c r="CLT44" s="1004"/>
      <c r="CLU44" s="1004"/>
      <c r="CLV44" s="1004"/>
      <c r="CLW44" s="1004"/>
      <c r="CLX44" s="1004"/>
      <c r="CLY44" s="1004"/>
      <c r="CLZ44" s="1004"/>
      <c r="CMA44" s="1004"/>
      <c r="CMB44" s="1004"/>
      <c r="CMC44" s="1004"/>
      <c r="CMD44" s="1004"/>
      <c r="CME44" s="1004"/>
      <c r="CMF44" s="1004"/>
      <c r="CMG44" s="1004"/>
      <c r="CMH44" s="1004"/>
      <c r="CMI44" s="1004"/>
      <c r="CMJ44" s="1004"/>
      <c r="CMK44" s="1004"/>
      <c r="CML44" s="1004"/>
      <c r="CMM44" s="1004"/>
      <c r="CMN44" s="1004"/>
      <c r="CMO44" s="1004"/>
      <c r="CMP44" s="1004"/>
      <c r="CMQ44" s="1004"/>
      <c r="CMR44" s="1004"/>
      <c r="CMS44" s="1004"/>
      <c r="CMT44" s="1004"/>
      <c r="CMU44" s="1004"/>
      <c r="CMV44" s="1004"/>
      <c r="CMW44" s="1004"/>
      <c r="CMX44" s="1004"/>
      <c r="CMY44" s="1004"/>
      <c r="CMZ44" s="1004"/>
      <c r="CNA44" s="1004"/>
      <c r="CNB44" s="1004"/>
      <c r="CNC44" s="1004"/>
      <c r="CND44" s="1004"/>
      <c r="CNE44" s="1004"/>
      <c r="CNF44" s="1004"/>
      <c r="CNG44" s="1004"/>
      <c r="CNH44" s="1004"/>
      <c r="CNI44" s="1004"/>
      <c r="CNJ44" s="1004"/>
      <c r="CNK44" s="1004"/>
      <c r="CNL44" s="1004"/>
      <c r="CNM44" s="1004"/>
      <c r="CNN44" s="1004"/>
      <c r="CNO44" s="1004"/>
      <c r="CNP44" s="1004"/>
      <c r="CNQ44" s="1004"/>
      <c r="CNR44" s="1004"/>
      <c r="CNS44" s="1004"/>
      <c r="CNT44" s="1004"/>
      <c r="CNU44" s="1004"/>
      <c r="CNV44" s="1004"/>
      <c r="CNW44" s="1004"/>
      <c r="CNX44" s="1004"/>
      <c r="CNY44" s="1004"/>
      <c r="CNZ44" s="1004"/>
      <c r="COA44" s="1004"/>
      <c r="COB44" s="1004"/>
      <c r="COC44" s="1004"/>
      <c r="COD44" s="1004"/>
      <c r="COE44" s="1004"/>
      <c r="COF44" s="1004"/>
      <c r="COG44" s="1004"/>
      <c r="COH44" s="1004"/>
      <c r="COI44" s="1004"/>
      <c r="COJ44" s="1004"/>
      <c r="COK44" s="1004"/>
      <c r="COL44" s="1004"/>
      <c r="COM44" s="1004"/>
      <c r="CON44" s="1004"/>
      <c r="COO44" s="1004"/>
      <c r="COP44" s="1004"/>
      <c r="COQ44" s="1004"/>
      <c r="COR44" s="1004"/>
      <c r="COS44" s="1004"/>
      <c r="COT44" s="1004"/>
      <c r="COU44" s="1004"/>
      <c r="COV44" s="1004"/>
      <c r="COW44" s="1004"/>
      <c r="COX44" s="1004"/>
      <c r="COY44" s="1004"/>
      <c r="COZ44" s="1004"/>
      <c r="CPA44" s="1004"/>
      <c r="CPB44" s="1004"/>
      <c r="CPC44" s="1004"/>
      <c r="CPD44" s="1004"/>
      <c r="CPE44" s="1004"/>
      <c r="CPF44" s="1004"/>
      <c r="CPG44" s="1004"/>
      <c r="CPH44" s="1004"/>
      <c r="CPI44" s="1004"/>
      <c r="CPJ44" s="1004"/>
      <c r="CPK44" s="1004"/>
      <c r="CPL44" s="1004"/>
      <c r="CPM44" s="1004"/>
      <c r="CPN44" s="1004"/>
      <c r="CPO44" s="1004"/>
      <c r="CPP44" s="1004"/>
      <c r="CPQ44" s="1004"/>
      <c r="CPR44" s="1004"/>
      <c r="CPS44" s="1004"/>
      <c r="CPT44" s="1004"/>
      <c r="CPU44" s="1004"/>
      <c r="CPV44" s="1004"/>
      <c r="CPW44" s="1004"/>
      <c r="CPX44" s="1004"/>
      <c r="CPY44" s="1004"/>
      <c r="CPZ44" s="1004"/>
      <c r="CQA44" s="1004"/>
      <c r="CQB44" s="1004"/>
      <c r="CQC44" s="1004"/>
      <c r="CQD44" s="1004"/>
      <c r="CQE44" s="1004"/>
      <c r="CQF44" s="1004"/>
      <c r="CQG44" s="1004"/>
      <c r="CQH44" s="1004"/>
      <c r="CQI44" s="1004"/>
      <c r="CQJ44" s="1004"/>
      <c r="CQK44" s="1004"/>
      <c r="CQL44" s="1004"/>
      <c r="CQM44" s="1004"/>
      <c r="CQN44" s="1004"/>
      <c r="CQO44" s="1004"/>
      <c r="CQP44" s="1004"/>
      <c r="CQQ44" s="1004"/>
      <c r="CQR44" s="1004"/>
      <c r="CQS44" s="1004"/>
      <c r="CQT44" s="1004"/>
      <c r="CQU44" s="1004"/>
      <c r="CQV44" s="1004"/>
      <c r="CQW44" s="1004"/>
      <c r="CQX44" s="1004"/>
      <c r="CQY44" s="1004"/>
      <c r="CQZ44" s="1004"/>
      <c r="CRA44" s="1004"/>
      <c r="CRB44" s="1004"/>
      <c r="CRC44" s="1004"/>
      <c r="CRD44" s="1004"/>
      <c r="CRE44" s="1004"/>
      <c r="CRF44" s="1004"/>
      <c r="CRG44" s="1004"/>
      <c r="CRH44" s="1004"/>
      <c r="CRI44" s="1004"/>
      <c r="CRJ44" s="1004"/>
      <c r="CRK44" s="1004"/>
      <c r="CRL44" s="1004"/>
      <c r="CRM44" s="1004"/>
      <c r="CRN44" s="1004"/>
      <c r="CRO44" s="1004"/>
      <c r="CRP44" s="1004"/>
      <c r="CRQ44" s="1004"/>
      <c r="CRR44" s="1004"/>
      <c r="CRS44" s="1004"/>
      <c r="CRT44" s="1004"/>
      <c r="CRU44" s="1004"/>
      <c r="CRV44" s="1004"/>
      <c r="CRW44" s="1004"/>
      <c r="CRX44" s="1004"/>
      <c r="CRY44" s="1004"/>
      <c r="CRZ44" s="1004"/>
      <c r="CSA44" s="1004"/>
      <c r="CSB44" s="1004"/>
      <c r="CSC44" s="1004"/>
      <c r="CSD44" s="1004"/>
      <c r="CSE44" s="1004"/>
      <c r="CSF44" s="1004"/>
      <c r="CSG44" s="1004"/>
      <c r="CSH44" s="1004"/>
      <c r="CSI44" s="1004"/>
      <c r="CSJ44" s="1004"/>
      <c r="CSK44" s="1004"/>
      <c r="CSL44" s="1004"/>
      <c r="CSM44" s="1004"/>
      <c r="CSN44" s="1004"/>
      <c r="CSO44" s="1004"/>
      <c r="CSP44" s="1004"/>
      <c r="CSQ44" s="1004"/>
      <c r="CSR44" s="1004"/>
      <c r="CSS44" s="1004"/>
      <c r="CST44" s="1004"/>
      <c r="CSU44" s="1004"/>
      <c r="CSV44" s="1004"/>
      <c r="CSW44" s="1004"/>
      <c r="CSX44" s="1004"/>
      <c r="CSY44" s="1004"/>
      <c r="CSZ44" s="1004"/>
      <c r="CTA44" s="1004"/>
      <c r="CTB44" s="1004"/>
      <c r="CTC44" s="1004"/>
      <c r="CTD44" s="1004"/>
      <c r="CTE44" s="1004"/>
      <c r="CTF44" s="1004"/>
      <c r="CTG44" s="1004"/>
      <c r="CTH44" s="1004"/>
      <c r="CTI44" s="1004"/>
      <c r="CTJ44" s="1004"/>
      <c r="CTK44" s="1004"/>
      <c r="CTL44" s="1004"/>
      <c r="CTM44" s="1004"/>
      <c r="CTN44" s="1004"/>
      <c r="CTO44" s="1004"/>
      <c r="CTP44" s="1004"/>
      <c r="CTQ44" s="1004"/>
      <c r="CTR44" s="1004"/>
      <c r="CTS44" s="1004"/>
      <c r="CTT44" s="1004"/>
      <c r="CTU44" s="1004"/>
      <c r="CTV44" s="1004"/>
      <c r="CTW44" s="1004"/>
      <c r="CTX44" s="1004"/>
      <c r="CTY44" s="1004"/>
      <c r="CTZ44" s="1004"/>
      <c r="CUA44" s="1004"/>
      <c r="CUB44" s="1004"/>
      <c r="CUC44" s="1004"/>
      <c r="CUD44" s="1004"/>
      <c r="CUE44" s="1004"/>
      <c r="CUF44" s="1004"/>
      <c r="CUG44" s="1004"/>
      <c r="CUH44" s="1004"/>
      <c r="CUI44" s="1004"/>
      <c r="CUJ44" s="1004"/>
      <c r="CUK44" s="1004"/>
      <c r="CUL44" s="1004"/>
      <c r="CUM44" s="1004"/>
      <c r="CUN44" s="1004"/>
      <c r="CUO44" s="1004"/>
      <c r="CUP44" s="1004"/>
      <c r="CUQ44" s="1004"/>
      <c r="CUR44" s="1004"/>
      <c r="CUS44" s="1004"/>
      <c r="CUT44" s="1004"/>
      <c r="CUU44" s="1004"/>
      <c r="CUV44" s="1004"/>
      <c r="CUW44" s="1004"/>
      <c r="CUX44" s="1004"/>
      <c r="CUY44" s="1004"/>
      <c r="CUZ44" s="1004"/>
      <c r="CVA44" s="1004"/>
      <c r="CVB44" s="1004"/>
      <c r="CVC44" s="1004"/>
      <c r="CVD44" s="1004"/>
      <c r="CVE44" s="1004"/>
      <c r="CVF44" s="1004"/>
      <c r="CVG44" s="1004"/>
      <c r="CVH44" s="1004"/>
      <c r="CVI44" s="1004"/>
      <c r="CVJ44" s="1004"/>
      <c r="CVK44" s="1004"/>
      <c r="CVL44" s="1004"/>
      <c r="CVM44" s="1004"/>
      <c r="CVN44" s="1004"/>
      <c r="CVO44" s="1004"/>
      <c r="CVP44" s="1004"/>
      <c r="CVQ44" s="1004"/>
      <c r="CVR44" s="1004"/>
      <c r="CVS44" s="1004"/>
      <c r="CVT44" s="1004"/>
      <c r="CVU44" s="1004"/>
      <c r="CVV44" s="1004"/>
      <c r="CVW44" s="1004"/>
      <c r="CVX44" s="1004"/>
      <c r="CVY44" s="1004"/>
      <c r="CVZ44" s="1004"/>
      <c r="CWA44" s="1004"/>
      <c r="CWB44" s="1004"/>
      <c r="CWC44" s="1004"/>
      <c r="CWD44" s="1004"/>
      <c r="CWE44" s="1004"/>
      <c r="CWF44" s="1004"/>
      <c r="CWG44" s="1004"/>
      <c r="CWH44" s="1004"/>
      <c r="CWI44" s="1004"/>
      <c r="CWJ44" s="1004"/>
      <c r="CWK44" s="1004"/>
      <c r="CWL44" s="1004"/>
      <c r="CWM44" s="1004"/>
      <c r="CWN44" s="1004"/>
      <c r="CWO44" s="1004"/>
      <c r="CWP44" s="1004"/>
      <c r="CWQ44" s="1004"/>
      <c r="CWR44" s="1004"/>
      <c r="CWS44" s="1004"/>
      <c r="CWT44" s="1004"/>
      <c r="CWU44" s="1004"/>
      <c r="CWV44" s="1004"/>
      <c r="CWW44" s="1004"/>
      <c r="CWX44" s="1004"/>
      <c r="CWY44" s="1004"/>
      <c r="CWZ44" s="1004"/>
      <c r="CXA44" s="1004"/>
      <c r="CXB44" s="1004"/>
      <c r="CXC44" s="1004"/>
      <c r="CXD44" s="1004"/>
      <c r="CXE44" s="1004"/>
      <c r="CXF44" s="1004"/>
      <c r="CXG44" s="1004"/>
      <c r="CXH44" s="1004"/>
      <c r="CXI44" s="1004"/>
      <c r="CXJ44" s="1004"/>
      <c r="CXK44" s="1004"/>
      <c r="CXL44" s="1004"/>
      <c r="CXM44" s="1004"/>
      <c r="CXN44" s="1004"/>
      <c r="CXO44" s="1004"/>
      <c r="CXP44" s="1004"/>
      <c r="CXQ44" s="1004"/>
      <c r="CXR44" s="1004"/>
      <c r="CXS44" s="1004"/>
      <c r="CXT44" s="1004"/>
      <c r="CXU44" s="1004"/>
      <c r="CXV44" s="1004"/>
      <c r="CXW44" s="1004"/>
      <c r="CXX44" s="1004"/>
      <c r="CXY44" s="1004"/>
      <c r="CXZ44" s="1004"/>
      <c r="CYA44" s="1004"/>
      <c r="CYB44" s="1004"/>
      <c r="CYC44" s="1004"/>
      <c r="CYD44" s="1004"/>
      <c r="CYE44" s="1004"/>
      <c r="CYF44" s="1004"/>
      <c r="CYG44" s="1004"/>
      <c r="CYH44" s="1004"/>
      <c r="CYI44" s="1004"/>
      <c r="CYJ44" s="1004"/>
      <c r="CYK44" s="1004"/>
      <c r="CYL44" s="1004"/>
      <c r="CYM44" s="1004"/>
      <c r="CYN44" s="1004"/>
      <c r="CYO44" s="1004"/>
      <c r="CYP44" s="1004"/>
      <c r="CYQ44" s="1004"/>
      <c r="CYR44" s="1004"/>
      <c r="CYS44" s="1004"/>
      <c r="CYT44" s="1004"/>
      <c r="CYU44" s="1004"/>
      <c r="CYV44" s="1004"/>
      <c r="CYW44" s="1004"/>
      <c r="CYX44" s="1004"/>
      <c r="CYY44" s="1004"/>
      <c r="CYZ44" s="1004"/>
      <c r="CZA44" s="1004"/>
      <c r="CZB44" s="1004"/>
      <c r="CZC44" s="1004"/>
      <c r="CZD44" s="1004"/>
      <c r="CZE44" s="1004"/>
      <c r="CZF44" s="1004"/>
      <c r="CZG44" s="1004"/>
      <c r="CZH44" s="1004"/>
      <c r="CZI44" s="1004"/>
      <c r="CZJ44" s="1004"/>
      <c r="CZK44" s="1004"/>
      <c r="CZL44" s="1004"/>
      <c r="CZM44" s="1004"/>
      <c r="CZN44" s="1004"/>
      <c r="CZO44" s="1004"/>
      <c r="CZP44" s="1004"/>
      <c r="CZQ44" s="1004"/>
      <c r="CZR44" s="1004"/>
      <c r="CZS44" s="1004"/>
      <c r="CZT44" s="1004"/>
      <c r="CZU44" s="1004"/>
      <c r="CZV44" s="1004"/>
      <c r="CZW44" s="1004"/>
      <c r="CZX44" s="1004"/>
      <c r="CZY44" s="1004"/>
      <c r="CZZ44" s="1004"/>
      <c r="DAA44" s="1004"/>
      <c r="DAB44" s="1004"/>
      <c r="DAC44" s="1004"/>
      <c r="DAD44" s="1004"/>
      <c r="DAE44" s="1004"/>
      <c r="DAF44" s="1004"/>
      <c r="DAG44" s="1004"/>
      <c r="DAH44" s="1004"/>
      <c r="DAI44" s="1004"/>
      <c r="DAJ44" s="1004"/>
      <c r="DAK44" s="1004"/>
      <c r="DAL44" s="1004"/>
      <c r="DAM44" s="1004"/>
      <c r="DAN44" s="1004"/>
      <c r="DAO44" s="1004"/>
      <c r="DAP44" s="1004"/>
      <c r="DAQ44" s="1004"/>
      <c r="DAR44" s="1004"/>
      <c r="DAS44" s="1004"/>
      <c r="DAT44" s="1004"/>
      <c r="DAU44" s="1004"/>
      <c r="DAV44" s="1004"/>
      <c r="DAW44" s="1004"/>
      <c r="DAX44" s="1004"/>
      <c r="DAY44" s="1004"/>
      <c r="DAZ44" s="1004"/>
      <c r="DBA44" s="1004"/>
      <c r="DBB44" s="1004"/>
      <c r="DBC44" s="1004"/>
      <c r="DBD44" s="1004"/>
      <c r="DBE44" s="1004"/>
      <c r="DBF44" s="1004"/>
      <c r="DBG44" s="1004"/>
      <c r="DBH44" s="1004"/>
      <c r="DBI44" s="1004"/>
      <c r="DBJ44" s="1004"/>
      <c r="DBK44" s="1004"/>
      <c r="DBL44" s="1004"/>
      <c r="DBM44" s="1004"/>
      <c r="DBN44" s="1004"/>
      <c r="DBO44" s="1004"/>
      <c r="DBP44" s="1004"/>
      <c r="DBQ44" s="1004"/>
      <c r="DBR44" s="1004"/>
      <c r="DBS44" s="1004"/>
      <c r="DBT44" s="1004"/>
      <c r="DBU44" s="1004"/>
      <c r="DBV44" s="1004"/>
      <c r="DBW44" s="1004"/>
      <c r="DBX44" s="1004"/>
      <c r="DBY44" s="1004"/>
      <c r="DBZ44" s="1004"/>
      <c r="DCA44" s="1004"/>
      <c r="DCB44" s="1004"/>
      <c r="DCC44" s="1004"/>
      <c r="DCD44" s="1004"/>
      <c r="DCE44" s="1004"/>
      <c r="DCF44" s="1004"/>
      <c r="DCG44" s="1004"/>
      <c r="DCH44" s="1004"/>
      <c r="DCI44" s="1004"/>
      <c r="DCJ44" s="1004"/>
      <c r="DCK44" s="1004"/>
      <c r="DCL44" s="1004"/>
      <c r="DCM44" s="1004"/>
      <c r="DCN44" s="1004"/>
      <c r="DCO44" s="1004"/>
      <c r="DCP44" s="1004"/>
      <c r="DCQ44" s="1004"/>
      <c r="DCR44" s="1004"/>
      <c r="DCS44" s="1004"/>
      <c r="DCT44" s="1004"/>
      <c r="DCU44" s="1004"/>
      <c r="DCV44" s="1004"/>
      <c r="DCW44" s="1004"/>
      <c r="DCX44" s="1004"/>
      <c r="DCY44" s="1004"/>
      <c r="DCZ44" s="1004"/>
      <c r="DDA44" s="1004"/>
      <c r="DDB44" s="1004"/>
      <c r="DDC44" s="1004"/>
      <c r="DDD44" s="1004"/>
      <c r="DDE44" s="1004"/>
      <c r="DDF44" s="1004"/>
      <c r="DDG44" s="1004"/>
      <c r="DDH44" s="1004"/>
      <c r="DDI44" s="1004"/>
      <c r="DDJ44" s="1004"/>
      <c r="DDK44" s="1004"/>
      <c r="DDL44" s="1004"/>
      <c r="DDM44" s="1004"/>
      <c r="DDN44" s="1004"/>
      <c r="DDO44" s="1004"/>
      <c r="DDP44" s="1004"/>
      <c r="DDQ44" s="1004"/>
      <c r="DDR44" s="1004"/>
      <c r="DDS44" s="1004"/>
      <c r="DDT44" s="1004"/>
      <c r="DDU44" s="1004"/>
      <c r="DDV44" s="1004"/>
      <c r="DDW44" s="1004"/>
      <c r="DDX44" s="1004"/>
      <c r="DDY44" s="1004"/>
      <c r="DDZ44" s="1004"/>
      <c r="DEA44" s="1004"/>
      <c r="DEB44" s="1004"/>
      <c r="DEC44" s="1004"/>
      <c r="DED44" s="1004"/>
      <c r="DEE44" s="1004"/>
      <c r="DEF44" s="1004"/>
      <c r="DEG44" s="1004"/>
      <c r="DEH44" s="1004"/>
      <c r="DEI44" s="1004"/>
      <c r="DEJ44" s="1004"/>
      <c r="DEK44" s="1004"/>
      <c r="DEL44" s="1004"/>
      <c r="DEM44" s="1004"/>
      <c r="DEN44" s="1004"/>
      <c r="DEO44" s="1004"/>
      <c r="DEP44" s="1004"/>
      <c r="DEQ44" s="1004"/>
      <c r="DER44" s="1004"/>
      <c r="DES44" s="1004"/>
      <c r="DET44" s="1004"/>
      <c r="DEU44" s="1004"/>
      <c r="DEV44" s="1004"/>
      <c r="DEW44" s="1004"/>
      <c r="DEX44" s="1004"/>
      <c r="DEY44" s="1004"/>
      <c r="DEZ44" s="1004"/>
      <c r="DFA44" s="1004"/>
      <c r="DFB44" s="1004"/>
      <c r="DFC44" s="1004"/>
      <c r="DFD44" s="1004"/>
      <c r="DFE44" s="1004"/>
      <c r="DFF44" s="1004"/>
      <c r="DFG44" s="1004"/>
      <c r="DFH44" s="1004"/>
      <c r="DFI44" s="1004"/>
      <c r="DFJ44" s="1004"/>
      <c r="DFK44" s="1004"/>
      <c r="DFL44" s="1004"/>
      <c r="DFM44" s="1004"/>
      <c r="DFN44" s="1004"/>
      <c r="DFO44" s="1004"/>
      <c r="DFP44" s="1004"/>
      <c r="DFQ44" s="1004"/>
      <c r="DFR44" s="1004"/>
      <c r="DFS44" s="1004"/>
      <c r="DFT44" s="1004"/>
      <c r="DFU44" s="1004"/>
      <c r="DFV44" s="1004"/>
      <c r="DFW44" s="1004"/>
      <c r="DFX44" s="1004"/>
      <c r="DFY44" s="1004"/>
      <c r="DFZ44" s="1004"/>
      <c r="DGA44" s="1004"/>
      <c r="DGB44" s="1004"/>
      <c r="DGC44" s="1004"/>
      <c r="DGD44" s="1004"/>
      <c r="DGE44" s="1004"/>
      <c r="DGF44" s="1004"/>
      <c r="DGG44" s="1004"/>
      <c r="DGH44" s="1004"/>
      <c r="DGI44" s="1004"/>
      <c r="DGJ44" s="1004"/>
      <c r="DGK44" s="1004"/>
      <c r="DGL44" s="1004"/>
      <c r="DGM44" s="1004"/>
      <c r="DGN44" s="1004"/>
      <c r="DGO44" s="1004"/>
      <c r="DGP44" s="1004"/>
      <c r="DGQ44" s="1004"/>
      <c r="DGR44" s="1004"/>
      <c r="DGS44" s="1004"/>
      <c r="DGT44" s="1004"/>
      <c r="DGU44" s="1004"/>
      <c r="DGV44" s="1004"/>
      <c r="DGW44" s="1004"/>
      <c r="DGX44" s="1004"/>
      <c r="DGY44" s="1004"/>
      <c r="DGZ44" s="1004"/>
      <c r="DHA44" s="1004"/>
      <c r="DHB44" s="1004"/>
      <c r="DHC44" s="1004"/>
      <c r="DHD44" s="1004"/>
      <c r="DHE44" s="1004"/>
      <c r="DHF44" s="1004"/>
      <c r="DHG44" s="1004"/>
      <c r="DHH44" s="1004"/>
      <c r="DHI44" s="1004"/>
      <c r="DHJ44" s="1004"/>
      <c r="DHK44" s="1004"/>
      <c r="DHL44" s="1004"/>
      <c r="DHM44" s="1004"/>
      <c r="DHN44" s="1004"/>
      <c r="DHO44" s="1004"/>
      <c r="DHP44" s="1004"/>
      <c r="DHQ44" s="1004"/>
      <c r="DHR44" s="1004"/>
      <c r="DHS44" s="1004"/>
      <c r="DHT44" s="1004"/>
      <c r="DHU44" s="1004"/>
      <c r="DHV44" s="1004"/>
      <c r="DHW44" s="1004"/>
      <c r="DHX44" s="1004"/>
      <c r="DHY44" s="1004"/>
      <c r="DHZ44" s="1004"/>
      <c r="DIA44" s="1004"/>
      <c r="DIB44" s="1004"/>
      <c r="DIC44" s="1004"/>
      <c r="DID44" s="1004"/>
      <c r="DIE44" s="1004"/>
      <c r="DIF44" s="1004"/>
      <c r="DIG44" s="1004"/>
      <c r="DIH44" s="1004"/>
      <c r="DII44" s="1004"/>
      <c r="DIJ44" s="1004"/>
      <c r="DIK44" s="1004"/>
      <c r="DIL44" s="1004"/>
      <c r="DIM44" s="1004"/>
      <c r="DIN44" s="1004"/>
      <c r="DIO44" s="1004"/>
      <c r="DIP44" s="1004"/>
      <c r="DIQ44" s="1004"/>
      <c r="DIR44" s="1004"/>
      <c r="DIS44" s="1004"/>
      <c r="DIT44" s="1004"/>
      <c r="DIU44" s="1004"/>
      <c r="DIV44" s="1004"/>
      <c r="DIW44" s="1004"/>
      <c r="DIX44" s="1004"/>
      <c r="DIY44" s="1004"/>
      <c r="DIZ44" s="1004"/>
      <c r="DJA44" s="1004"/>
      <c r="DJB44" s="1004"/>
      <c r="DJC44" s="1004"/>
      <c r="DJD44" s="1004"/>
      <c r="DJE44" s="1004"/>
      <c r="DJF44" s="1004"/>
      <c r="DJG44" s="1004"/>
      <c r="DJH44" s="1004"/>
      <c r="DJI44" s="1004"/>
      <c r="DJJ44" s="1004"/>
      <c r="DJK44" s="1004"/>
      <c r="DJL44" s="1004"/>
      <c r="DJM44" s="1004"/>
      <c r="DJN44" s="1004"/>
      <c r="DJO44" s="1004"/>
      <c r="DJP44" s="1004"/>
      <c r="DJQ44" s="1004"/>
      <c r="DJR44" s="1004"/>
      <c r="DJS44" s="1004"/>
      <c r="DJT44" s="1004"/>
      <c r="DJU44" s="1004"/>
      <c r="DJV44" s="1004"/>
      <c r="DJW44" s="1004"/>
      <c r="DJX44" s="1004"/>
      <c r="DJY44" s="1004"/>
      <c r="DJZ44" s="1004"/>
      <c r="DKA44" s="1004"/>
      <c r="DKB44" s="1004"/>
      <c r="DKC44" s="1004"/>
      <c r="DKD44" s="1004"/>
      <c r="DKE44" s="1004"/>
      <c r="DKF44" s="1004"/>
      <c r="DKG44" s="1004"/>
      <c r="DKH44" s="1004"/>
      <c r="DKI44" s="1004"/>
      <c r="DKJ44" s="1004"/>
      <c r="DKK44" s="1004"/>
      <c r="DKL44" s="1004"/>
      <c r="DKM44" s="1004"/>
      <c r="DKN44" s="1004"/>
      <c r="DKO44" s="1004"/>
      <c r="DKP44" s="1004"/>
      <c r="DKQ44" s="1004"/>
      <c r="DKR44" s="1004"/>
      <c r="DKS44" s="1004"/>
      <c r="DKT44" s="1004"/>
      <c r="DKU44" s="1004"/>
      <c r="DKV44" s="1004"/>
      <c r="DKW44" s="1004"/>
      <c r="DKX44" s="1004"/>
      <c r="DKY44" s="1004"/>
      <c r="DKZ44" s="1004"/>
      <c r="DLA44" s="1004"/>
      <c r="DLB44" s="1004"/>
      <c r="DLC44" s="1004"/>
      <c r="DLD44" s="1004"/>
      <c r="DLE44" s="1004"/>
      <c r="DLF44" s="1004"/>
      <c r="DLG44" s="1004"/>
      <c r="DLH44" s="1004"/>
      <c r="DLI44" s="1004"/>
      <c r="DLJ44" s="1004"/>
      <c r="DLK44" s="1004"/>
      <c r="DLL44" s="1004"/>
      <c r="DLM44" s="1004"/>
      <c r="DLN44" s="1004"/>
      <c r="DLO44" s="1004"/>
      <c r="DLP44" s="1004"/>
      <c r="DLQ44" s="1004"/>
      <c r="DLR44" s="1004"/>
      <c r="DLS44" s="1004"/>
      <c r="DLT44" s="1004"/>
      <c r="DLU44" s="1004"/>
      <c r="DLV44" s="1004"/>
      <c r="DLW44" s="1004"/>
      <c r="DLX44" s="1004"/>
      <c r="DLY44" s="1004"/>
      <c r="DLZ44" s="1004"/>
      <c r="DMA44" s="1004"/>
      <c r="DMB44" s="1004"/>
      <c r="DMC44" s="1004"/>
      <c r="DMD44" s="1004"/>
      <c r="DME44" s="1004"/>
      <c r="DMF44" s="1004"/>
      <c r="DMG44" s="1004"/>
      <c r="DMH44" s="1004"/>
      <c r="DMI44" s="1004"/>
      <c r="DMJ44" s="1004"/>
      <c r="DMK44" s="1004"/>
      <c r="DML44" s="1004"/>
      <c r="DMM44" s="1004"/>
      <c r="DMN44" s="1004"/>
      <c r="DMO44" s="1004"/>
      <c r="DMP44" s="1004"/>
      <c r="DMQ44" s="1004"/>
      <c r="DMR44" s="1004"/>
      <c r="DMS44" s="1004"/>
      <c r="DMT44" s="1004"/>
      <c r="DMU44" s="1004"/>
      <c r="DMV44" s="1004"/>
      <c r="DMW44" s="1004"/>
      <c r="DMX44" s="1004"/>
      <c r="DMY44" s="1004"/>
      <c r="DMZ44" s="1004"/>
      <c r="DNA44" s="1004"/>
      <c r="DNB44" s="1004"/>
      <c r="DNC44" s="1004"/>
      <c r="DND44" s="1004"/>
      <c r="DNE44" s="1004"/>
      <c r="DNF44" s="1004"/>
      <c r="DNG44" s="1004"/>
      <c r="DNH44" s="1004"/>
      <c r="DNI44" s="1004"/>
      <c r="DNJ44" s="1004"/>
      <c r="DNK44" s="1004"/>
      <c r="DNL44" s="1004"/>
      <c r="DNM44" s="1004"/>
      <c r="DNN44" s="1004"/>
      <c r="DNO44" s="1004"/>
      <c r="DNP44" s="1004"/>
      <c r="DNQ44" s="1004"/>
      <c r="DNR44" s="1004"/>
      <c r="DNS44" s="1004"/>
      <c r="DNT44" s="1004"/>
      <c r="DNU44" s="1004"/>
      <c r="DNV44" s="1004"/>
      <c r="DNW44" s="1004"/>
      <c r="DNX44" s="1004"/>
      <c r="DNY44" s="1004"/>
      <c r="DNZ44" s="1004"/>
      <c r="DOA44" s="1004"/>
      <c r="DOB44" s="1004"/>
      <c r="DOC44" s="1004"/>
      <c r="DOD44" s="1004"/>
      <c r="DOE44" s="1004"/>
      <c r="DOF44" s="1004"/>
      <c r="DOG44" s="1004"/>
      <c r="DOH44" s="1004"/>
      <c r="DOI44" s="1004"/>
      <c r="DOJ44" s="1004"/>
      <c r="DOK44" s="1004"/>
      <c r="DOL44" s="1004"/>
      <c r="DOM44" s="1004"/>
      <c r="DON44" s="1004"/>
      <c r="DOO44" s="1004"/>
      <c r="DOP44" s="1004"/>
      <c r="DOQ44" s="1004"/>
      <c r="DOR44" s="1004"/>
      <c r="DOS44" s="1004"/>
      <c r="DOT44" s="1004"/>
      <c r="DOU44" s="1004"/>
      <c r="DOV44" s="1004"/>
      <c r="DOW44" s="1004"/>
      <c r="DOX44" s="1004"/>
      <c r="DOY44" s="1004"/>
      <c r="DOZ44" s="1004"/>
      <c r="DPA44" s="1004"/>
      <c r="DPB44" s="1004"/>
      <c r="DPC44" s="1004"/>
      <c r="DPD44" s="1004"/>
      <c r="DPE44" s="1004"/>
      <c r="DPF44" s="1004"/>
      <c r="DPG44" s="1004"/>
      <c r="DPH44" s="1004"/>
      <c r="DPI44" s="1004"/>
      <c r="DPJ44" s="1004"/>
      <c r="DPK44" s="1004"/>
      <c r="DPL44" s="1004"/>
      <c r="DPM44" s="1004"/>
      <c r="DPN44" s="1004"/>
      <c r="DPO44" s="1004"/>
      <c r="DPP44" s="1004"/>
      <c r="DPQ44" s="1004"/>
      <c r="DPR44" s="1004"/>
      <c r="DPS44" s="1004"/>
      <c r="DPT44" s="1004"/>
      <c r="DPU44" s="1004"/>
      <c r="DPV44" s="1004"/>
      <c r="DPW44" s="1004"/>
      <c r="DPX44" s="1004"/>
      <c r="DPY44" s="1004"/>
      <c r="DPZ44" s="1004"/>
      <c r="DQA44" s="1004"/>
      <c r="DQB44" s="1004"/>
      <c r="DQC44" s="1004"/>
      <c r="DQD44" s="1004"/>
      <c r="DQE44" s="1004"/>
      <c r="DQF44" s="1004"/>
      <c r="DQG44" s="1004"/>
      <c r="DQH44" s="1004"/>
      <c r="DQI44" s="1004"/>
      <c r="DQJ44" s="1004"/>
      <c r="DQK44" s="1004"/>
      <c r="DQL44" s="1004"/>
      <c r="DQM44" s="1004"/>
      <c r="DQN44" s="1004"/>
      <c r="DQO44" s="1004"/>
      <c r="DQP44" s="1004"/>
      <c r="DQQ44" s="1004"/>
      <c r="DQR44" s="1004"/>
      <c r="DQS44" s="1004"/>
      <c r="DQT44" s="1004"/>
      <c r="DQU44" s="1004"/>
      <c r="DQV44" s="1004"/>
      <c r="DQW44" s="1004"/>
      <c r="DQX44" s="1004"/>
      <c r="DQY44" s="1004"/>
      <c r="DQZ44" s="1004"/>
      <c r="DRA44" s="1004"/>
      <c r="DRB44" s="1004"/>
      <c r="DRC44" s="1004"/>
      <c r="DRD44" s="1004"/>
      <c r="DRE44" s="1004"/>
      <c r="DRF44" s="1004"/>
      <c r="DRG44" s="1004"/>
      <c r="DRH44" s="1004"/>
      <c r="DRI44" s="1004"/>
      <c r="DRJ44" s="1004"/>
      <c r="DRK44" s="1004"/>
      <c r="DRL44" s="1004"/>
      <c r="DRM44" s="1004"/>
      <c r="DRN44" s="1004"/>
      <c r="DRO44" s="1004"/>
      <c r="DRP44" s="1004"/>
      <c r="DRQ44" s="1004"/>
      <c r="DRR44" s="1004"/>
      <c r="DRS44" s="1004"/>
      <c r="DRT44" s="1004"/>
      <c r="DRU44" s="1004"/>
      <c r="DRV44" s="1004"/>
      <c r="DRW44" s="1004"/>
      <c r="DRX44" s="1004"/>
      <c r="DRY44" s="1004"/>
      <c r="DRZ44" s="1004"/>
      <c r="DSA44" s="1004"/>
      <c r="DSB44" s="1004"/>
      <c r="DSC44" s="1004"/>
      <c r="DSD44" s="1004"/>
      <c r="DSE44" s="1004"/>
      <c r="DSF44" s="1004"/>
      <c r="DSG44" s="1004"/>
      <c r="DSH44" s="1004"/>
      <c r="DSI44" s="1004"/>
      <c r="DSJ44" s="1004"/>
      <c r="DSK44" s="1004"/>
      <c r="DSL44" s="1004"/>
      <c r="DSM44" s="1004"/>
      <c r="DSN44" s="1004"/>
      <c r="DSO44" s="1004"/>
      <c r="DSP44" s="1004"/>
      <c r="DSQ44" s="1004"/>
      <c r="DSR44" s="1004"/>
      <c r="DSS44" s="1004"/>
      <c r="DST44" s="1004"/>
      <c r="DSU44" s="1004"/>
      <c r="DSV44" s="1004"/>
      <c r="DSW44" s="1004"/>
      <c r="DSX44" s="1004"/>
      <c r="DSY44" s="1004"/>
      <c r="DSZ44" s="1004"/>
      <c r="DTA44" s="1004"/>
      <c r="DTB44" s="1004"/>
      <c r="DTC44" s="1004"/>
      <c r="DTD44" s="1004"/>
      <c r="DTE44" s="1004"/>
      <c r="DTF44" s="1004"/>
      <c r="DTG44" s="1004"/>
      <c r="DTH44" s="1004"/>
      <c r="DTI44" s="1004"/>
      <c r="DTJ44" s="1004"/>
      <c r="DTK44" s="1004"/>
      <c r="DTL44" s="1004"/>
      <c r="DTM44" s="1004"/>
      <c r="DTN44" s="1004"/>
      <c r="DTO44" s="1004"/>
      <c r="DTP44" s="1004"/>
      <c r="DTQ44" s="1004"/>
      <c r="DTR44" s="1004"/>
      <c r="DTS44" s="1004"/>
      <c r="DTT44" s="1004"/>
      <c r="DTU44" s="1004"/>
      <c r="DTV44" s="1004"/>
      <c r="DTW44" s="1004"/>
      <c r="DTX44" s="1004"/>
      <c r="DTY44" s="1004"/>
      <c r="DTZ44" s="1004"/>
      <c r="DUA44" s="1004"/>
      <c r="DUB44" s="1004"/>
      <c r="DUC44" s="1004"/>
      <c r="DUD44" s="1004"/>
      <c r="DUE44" s="1004"/>
      <c r="DUF44" s="1004"/>
      <c r="DUG44" s="1004"/>
      <c r="DUH44" s="1004"/>
      <c r="DUI44" s="1004"/>
      <c r="DUJ44" s="1004"/>
      <c r="DUK44" s="1004"/>
      <c r="DUL44" s="1004"/>
      <c r="DUM44" s="1004"/>
      <c r="DUN44" s="1004"/>
      <c r="DUO44" s="1004"/>
      <c r="DUP44" s="1004"/>
      <c r="DUQ44" s="1004"/>
      <c r="DUR44" s="1004"/>
      <c r="DUS44" s="1004"/>
      <c r="DUT44" s="1004"/>
      <c r="DUU44" s="1004"/>
      <c r="DUV44" s="1004"/>
      <c r="DUW44" s="1004"/>
      <c r="DUX44" s="1004"/>
      <c r="DUY44" s="1004"/>
      <c r="DUZ44" s="1004"/>
      <c r="DVA44" s="1004"/>
      <c r="DVB44" s="1004"/>
      <c r="DVC44" s="1004"/>
      <c r="DVD44" s="1004"/>
      <c r="DVE44" s="1004"/>
      <c r="DVF44" s="1004"/>
      <c r="DVG44" s="1004"/>
      <c r="DVH44" s="1004"/>
      <c r="DVI44" s="1004"/>
      <c r="DVJ44" s="1004"/>
      <c r="DVK44" s="1004"/>
      <c r="DVL44" s="1004"/>
      <c r="DVM44" s="1004"/>
      <c r="DVN44" s="1004"/>
      <c r="DVO44" s="1004"/>
      <c r="DVP44" s="1004"/>
      <c r="DVQ44" s="1004"/>
      <c r="DVR44" s="1004"/>
      <c r="DVS44" s="1004"/>
      <c r="DVT44" s="1004"/>
      <c r="DVU44" s="1004"/>
      <c r="DVV44" s="1004"/>
      <c r="DVW44" s="1004"/>
      <c r="DVX44" s="1004"/>
      <c r="DVY44" s="1004"/>
      <c r="DVZ44" s="1004"/>
      <c r="DWA44" s="1004"/>
      <c r="DWB44" s="1004"/>
      <c r="DWC44" s="1004"/>
      <c r="DWD44" s="1004"/>
      <c r="DWE44" s="1004"/>
      <c r="DWF44" s="1004"/>
      <c r="DWG44" s="1004"/>
      <c r="DWH44" s="1004"/>
      <c r="DWI44" s="1004"/>
      <c r="DWJ44" s="1004"/>
      <c r="DWK44" s="1004"/>
      <c r="DWL44" s="1004"/>
      <c r="DWM44" s="1004"/>
      <c r="DWN44" s="1004"/>
      <c r="DWO44" s="1004"/>
      <c r="DWP44" s="1004"/>
      <c r="DWQ44" s="1004"/>
      <c r="DWR44" s="1004"/>
      <c r="DWS44" s="1004"/>
      <c r="DWT44" s="1004"/>
      <c r="DWU44" s="1004"/>
      <c r="DWV44" s="1004"/>
      <c r="DWW44" s="1004"/>
      <c r="DWX44" s="1004"/>
      <c r="DWY44" s="1004"/>
      <c r="DWZ44" s="1004"/>
      <c r="DXA44" s="1004"/>
      <c r="DXB44" s="1004"/>
      <c r="DXC44" s="1004"/>
      <c r="DXD44" s="1004"/>
      <c r="DXE44" s="1004"/>
      <c r="DXF44" s="1004"/>
      <c r="DXG44" s="1004"/>
      <c r="DXH44" s="1004"/>
      <c r="DXI44" s="1004"/>
      <c r="DXJ44" s="1004"/>
      <c r="DXK44" s="1004"/>
      <c r="DXL44" s="1004"/>
      <c r="DXM44" s="1004"/>
      <c r="DXN44" s="1004"/>
      <c r="DXO44" s="1004"/>
      <c r="DXP44" s="1004"/>
      <c r="DXQ44" s="1004"/>
      <c r="DXR44" s="1004"/>
      <c r="DXS44" s="1004"/>
      <c r="DXT44" s="1004"/>
      <c r="DXU44" s="1004"/>
      <c r="DXV44" s="1004"/>
      <c r="DXW44" s="1004"/>
      <c r="DXX44" s="1004"/>
      <c r="DXY44" s="1004"/>
      <c r="DXZ44" s="1004"/>
      <c r="DYA44" s="1004"/>
      <c r="DYB44" s="1004"/>
      <c r="DYC44" s="1004"/>
      <c r="DYD44" s="1004"/>
      <c r="DYE44" s="1004"/>
      <c r="DYF44" s="1004"/>
      <c r="DYG44" s="1004"/>
      <c r="DYH44" s="1004"/>
      <c r="DYI44" s="1004"/>
      <c r="DYJ44" s="1004"/>
      <c r="DYK44" s="1004"/>
      <c r="DYL44" s="1004"/>
      <c r="DYM44" s="1004"/>
      <c r="DYN44" s="1004"/>
      <c r="DYO44" s="1004"/>
      <c r="DYP44" s="1004"/>
      <c r="DYQ44" s="1004"/>
      <c r="DYR44" s="1004"/>
      <c r="DYS44" s="1004"/>
      <c r="DYT44" s="1004"/>
      <c r="DYU44" s="1004"/>
      <c r="DYV44" s="1004"/>
      <c r="DYW44" s="1004"/>
      <c r="DYX44" s="1004"/>
      <c r="DYY44" s="1004"/>
      <c r="DYZ44" s="1004"/>
      <c r="DZA44" s="1004"/>
      <c r="DZB44" s="1004"/>
      <c r="DZC44" s="1004"/>
      <c r="DZD44" s="1004"/>
      <c r="DZE44" s="1004"/>
      <c r="DZF44" s="1004"/>
      <c r="DZG44" s="1004"/>
      <c r="DZH44" s="1004"/>
      <c r="DZI44" s="1004"/>
      <c r="DZJ44" s="1004"/>
      <c r="DZK44" s="1004"/>
      <c r="DZL44" s="1004"/>
      <c r="DZM44" s="1004"/>
      <c r="DZN44" s="1004"/>
      <c r="DZO44" s="1004"/>
      <c r="DZP44" s="1004"/>
      <c r="DZQ44" s="1004"/>
      <c r="DZR44" s="1004"/>
      <c r="DZS44" s="1004"/>
      <c r="DZT44" s="1004"/>
      <c r="DZU44" s="1004"/>
      <c r="DZV44" s="1004"/>
      <c r="DZW44" s="1004"/>
      <c r="DZX44" s="1004"/>
      <c r="DZY44" s="1004"/>
      <c r="DZZ44" s="1004"/>
      <c r="EAA44" s="1004"/>
      <c r="EAB44" s="1004"/>
      <c r="EAC44" s="1004"/>
      <c r="EAD44" s="1004"/>
      <c r="EAE44" s="1004"/>
      <c r="EAF44" s="1004"/>
      <c r="EAG44" s="1004"/>
      <c r="EAH44" s="1004"/>
      <c r="EAI44" s="1004"/>
      <c r="EAJ44" s="1004"/>
      <c r="EAK44" s="1004"/>
      <c r="EAL44" s="1004"/>
      <c r="EAM44" s="1004"/>
      <c r="EAN44" s="1004"/>
      <c r="EAO44" s="1004"/>
      <c r="EAP44" s="1004"/>
      <c r="EAQ44" s="1004"/>
      <c r="EAR44" s="1004"/>
      <c r="EAS44" s="1004"/>
      <c r="EAT44" s="1004"/>
      <c r="EAU44" s="1004"/>
      <c r="EAV44" s="1004"/>
      <c r="EAW44" s="1004"/>
      <c r="EAX44" s="1004"/>
      <c r="EAY44" s="1004"/>
      <c r="EAZ44" s="1004"/>
      <c r="EBA44" s="1004"/>
      <c r="EBB44" s="1004"/>
      <c r="EBC44" s="1004"/>
      <c r="EBD44" s="1004"/>
      <c r="EBE44" s="1004"/>
      <c r="EBF44" s="1004"/>
      <c r="EBG44" s="1004"/>
      <c r="EBH44" s="1004"/>
      <c r="EBI44" s="1004"/>
      <c r="EBJ44" s="1004"/>
      <c r="EBK44" s="1004"/>
      <c r="EBL44" s="1004"/>
      <c r="EBM44" s="1004"/>
      <c r="EBN44" s="1004"/>
      <c r="EBO44" s="1004"/>
      <c r="EBP44" s="1004"/>
      <c r="EBQ44" s="1004"/>
      <c r="EBR44" s="1004"/>
      <c r="EBS44" s="1004"/>
      <c r="EBT44" s="1004"/>
      <c r="EBU44" s="1004"/>
      <c r="EBV44" s="1004"/>
      <c r="EBW44" s="1004"/>
      <c r="EBX44" s="1004"/>
      <c r="EBY44" s="1004"/>
      <c r="EBZ44" s="1004"/>
      <c r="ECA44" s="1004"/>
      <c r="ECB44" s="1004"/>
      <c r="ECC44" s="1004"/>
      <c r="ECD44" s="1004"/>
      <c r="ECE44" s="1004"/>
      <c r="ECF44" s="1004"/>
      <c r="ECG44" s="1004"/>
      <c r="ECH44" s="1004"/>
      <c r="ECI44" s="1004"/>
      <c r="ECJ44" s="1004"/>
      <c r="ECK44" s="1004"/>
      <c r="ECL44" s="1004"/>
      <c r="ECM44" s="1004"/>
      <c r="ECN44" s="1004"/>
      <c r="ECO44" s="1004"/>
      <c r="ECP44" s="1004"/>
      <c r="ECQ44" s="1004"/>
      <c r="ECR44" s="1004"/>
      <c r="ECS44" s="1004"/>
      <c r="ECT44" s="1004"/>
      <c r="ECU44" s="1004"/>
      <c r="ECV44" s="1004"/>
      <c r="ECW44" s="1004"/>
      <c r="ECX44" s="1004"/>
      <c r="ECY44" s="1004"/>
      <c r="ECZ44" s="1004"/>
      <c r="EDA44" s="1004"/>
      <c r="EDB44" s="1004"/>
      <c r="EDC44" s="1004"/>
      <c r="EDD44" s="1004"/>
      <c r="EDE44" s="1004"/>
      <c r="EDF44" s="1004"/>
      <c r="EDG44" s="1004"/>
      <c r="EDH44" s="1004"/>
      <c r="EDI44" s="1004"/>
      <c r="EDJ44" s="1004"/>
      <c r="EDK44" s="1004"/>
      <c r="EDL44" s="1004"/>
      <c r="EDM44" s="1004"/>
      <c r="EDN44" s="1004"/>
      <c r="EDO44" s="1004"/>
      <c r="EDP44" s="1004"/>
      <c r="EDQ44" s="1004"/>
      <c r="EDR44" s="1004"/>
      <c r="EDS44" s="1004"/>
      <c r="EDT44" s="1004"/>
      <c r="EDU44" s="1004"/>
      <c r="EDV44" s="1004"/>
      <c r="EDW44" s="1004"/>
      <c r="EDX44" s="1004"/>
      <c r="EDY44" s="1004"/>
      <c r="EDZ44" s="1004"/>
      <c r="EEA44" s="1004"/>
      <c r="EEB44" s="1004"/>
      <c r="EEC44" s="1004"/>
      <c r="EED44" s="1004"/>
      <c r="EEE44" s="1004"/>
      <c r="EEF44" s="1004"/>
      <c r="EEG44" s="1004"/>
      <c r="EEH44" s="1004"/>
      <c r="EEI44" s="1004"/>
      <c r="EEJ44" s="1004"/>
      <c r="EEK44" s="1004"/>
      <c r="EEL44" s="1004"/>
      <c r="EEM44" s="1004"/>
      <c r="EEN44" s="1004"/>
      <c r="EEO44" s="1004"/>
      <c r="EEP44" s="1004"/>
      <c r="EEQ44" s="1004"/>
      <c r="EER44" s="1004"/>
      <c r="EES44" s="1004"/>
      <c r="EET44" s="1004"/>
      <c r="EEU44" s="1004"/>
      <c r="EEV44" s="1004"/>
      <c r="EEW44" s="1004"/>
      <c r="EEX44" s="1004"/>
      <c r="EEY44" s="1004"/>
      <c r="EEZ44" s="1004"/>
      <c r="EFA44" s="1004"/>
      <c r="EFB44" s="1004"/>
      <c r="EFC44" s="1004"/>
      <c r="EFD44" s="1004"/>
      <c r="EFE44" s="1004"/>
      <c r="EFF44" s="1004"/>
      <c r="EFG44" s="1004"/>
      <c r="EFH44" s="1004"/>
      <c r="EFI44" s="1004"/>
      <c r="EFJ44" s="1004"/>
      <c r="EFK44" s="1004"/>
      <c r="EFL44" s="1004"/>
      <c r="EFM44" s="1004"/>
      <c r="EFN44" s="1004"/>
      <c r="EFO44" s="1004"/>
      <c r="EFP44" s="1004"/>
      <c r="EFQ44" s="1004"/>
      <c r="EFR44" s="1004"/>
      <c r="EFS44" s="1004"/>
      <c r="EFT44" s="1004"/>
      <c r="EFU44" s="1004"/>
      <c r="EFV44" s="1004"/>
      <c r="EFW44" s="1004"/>
      <c r="EFX44" s="1004"/>
      <c r="EFY44" s="1004"/>
      <c r="EFZ44" s="1004"/>
      <c r="EGA44" s="1004"/>
      <c r="EGB44" s="1004"/>
      <c r="EGC44" s="1004"/>
      <c r="EGD44" s="1004"/>
      <c r="EGE44" s="1004"/>
      <c r="EGF44" s="1004"/>
      <c r="EGG44" s="1004"/>
      <c r="EGH44" s="1004"/>
      <c r="EGI44" s="1004"/>
      <c r="EGJ44" s="1004"/>
      <c r="EGK44" s="1004"/>
      <c r="EGL44" s="1004"/>
      <c r="EGM44" s="1004"/>
      <c r="EGN44" s="1004"/>
      <c r="EGO44" s="1004"/>
      <c r="EGP44" s="1004"/>
      <c r="EGQ44" s="1004"/>
      <c r="EGR44" s="1004"/>
      <c r="EGS44" s="1004"/>
      <c r="EGT44" s="1004"/>
      <c r="EGU44" s="1004"/>
      <c r="EGV44" s="1004"/>
      <c r="EGW44" s="1004"/>
      <c r="EGX44" s="1004"/>
      <c r="EGY44" s="1004"/>
      <c r="EGZ44" s="1004"/>
      <c r="EHA44" s="1004"/>
      <c r="EHB44" s="1004"/>
      <c r="EHC44" s="1004"/>
      <c r="EHD44" s="1004"/>
      <c r="EHE44" s="1004"/>
      <c r="EHF44" s="1004"/>
      <c r="EHG44" s="1004"/>
      <c r="EHH44" s="1004"/>
      <c r="EHI44" s="1004"/>
      <c r="EHJ44" s="1004"/>
      <c r="EHK44" s="1004"/>
      <c r="EHL44" s="1004"/>
      <c r="EHM44" s="1004"/>
      <c r="EHN44" s="1004"/>
      <c r="EHO44" s="1004"/>
      <c r="EHP44" s="1004"/>
      <c r="EHQ44" s="1004"/>
      <c r="EHR44" s="1004"/>
      <c r="EHS44" s="1004"/>
      <c r="EHT44" s="1004"/>
      <c r="EHU44" s="1004"/>
      <c r="EHV44" s="1004"/>
      <c r="EHW44" s="1004"/>
      <c r="EHX44" s="1004"/>
      <c r="EHY44" s="1004"/>
      <c r="EHZ44" s="1004"/>
      <c r="EIA44" s="1004"/>
      <c r="EIB44" s="1004"/>
      <c r="EIC44" s="1004"/>
      <c r="EID44" s="1004"/>
      <c r="EIE44" s="1004"/>
      <c r="EIF44" s="1004"/>
      <c r="EIG44" s="1004"/>
      <c r="EIH44" s="1004"/>
      <c r="EII44" s="1004"/>
      <c r="EIJ44" s="1004"/>
      <c r="EIK44" s="1004"/>
      <c r="EIL44" s="1004"/>
      <c r="EIM44" s="1004"/>
      <c r="EIN44" s="1004"/>
      <c r="EIO44" s="1004"/>
      <c r="EIP44" s="1004"/>
      <c r="EIQ44" s="1004"/>
      <c r="EIR44" s="1004"/>
      <c r="EIS44" s="1004"/>
      <c r="EIT44" s="1004"/>
      <c r="EIU44" s="1004"/>
      <c r="EIV44" s="1004"/>
      <c r="EIW44" s="1004"/>
      <c r="EIX44" s="1004"/>
      <c r="EIY44" s="1004"/>
      <c r="EIZ44" s="1004"/>
      <c r="EJA44" s="1004"/>
      <c r="EJB44" s="1004"/>
      <c r="EJC44" s="1004"/>
      <c r="EJD44" s="1004"/>
      <c r="EJE44" s="1004"/>
      <c r="EJF44" s="1004"/>
      <c r="EJG44" s="1004"/>
      <c r="EJH44" s="1004"/>
      <c r="EJI44" s="1004"/>
      <c r="EJJ44" s="1004"/>
      <c r="EJK44" s="1004"/>
      <c r="EJL44" s="1004"/>
      <c r="EJM44" s="1004"/>
      <c r="EJN44" s="1004"/>
      <c r="EJO44" s="1004"/>
      <c r="EJP44" s="1004"/>
      <c r="EJQ44" s="1004"/>
      <c r="EJR44" s="1004"/>
      <c r="EJS44" s="1004"/>
      <c r="EJT44" s="1004"/>
      <c r="EJU44" s="1004"/>
      <c r="EJV44" s="1004"/>
      <c r="EJW44" s="1004"/>
      <c r="EJX44" s="1004"/>
      <c r="EJY44" s="1004"/>
      <c r="EJZ44" s="1004"/>
      <c r="EKA44" s="1004"/>
      <c r="EKB44" s="1004"/>
      <c r="EKC44" s="1004"/>
      <c r="EKD44" s="1004"/>
      <c r="EKE44" s="1004"/>
      <c r="EKF44" s="1004"/>
      <c r="EKG44" s="1004"/>
      <c r="EKH44" s="1004"/>
      <c r="EKI44" s="1004"/>
      <c r="EKJ44" s="1004"/>
      <c r="EKK44" s="1004"/>
      <c r="EKL44" s="1004"/>
      <c r="EKM44" s="1004"/>
      <c r="EKN44" s="1004"/>
      <c r="EKO44" s="1004"/>
      <c r="EKP44" s="1004"/>
      <c r="EKQ44" s="1004"/>
      <c r="EKR44" s="1004"/>
      <c r="EKS44" s="1004"/>
      <c r="EKT44" s="1004"/>
      <c r="EKU44" s="1004"/>
      <c r="EKV44" s="1004"/>
      <c r="EKW44" s="1004"/>
      <c r="EKX44" s="1004"/>
      <c r="EKY44" s="1004"/>
      <c r="EKZ44" s="1004"/>
      <c r="ELA44" s="1004"/>
      <c r="ELB44" s="1004"/>
      <c r="ELC44" s="1004"/>
      <c r="ELD44" s="1004"/>
      <c r="ELE44" s="1004"/>
      <c r="ELF44" s="1004"/>
      <c r="ELG44" s="1004"/>
      <c r="ELH44" s="1004"/>
      <c r="ELI44" s="1004"/>
      <c r="ELJ44" s="1004"/>
      <c r="ELK44" s="1004"/>
      <c r="ELL44" s="1004"/>
      <c r="ELM44" s="1004"/>
      <c r="ELN44" s="1004"/>
      <c r="ELO44" s="1004"/>
      <c r="ELP44" s="1004"/>
      <c r="ELQ44" s="1004"/>
      <c r="ELR44" s="1004"/>
      <c r="ELS44" s="1004"/>
      <c r="ELT44" s="1004"/>
      <c r="ELU44" s="1004"/>
      <c r="ELV44" s="1004"/>
      <c r="ELW44" s="1004"/>
      <c r="ELX44" s="1004"/>
      <c r="ELY44" s="1004"/>
      <c r="ELZ44" s="1004"/>
      <c r="EMA44" s="1004"/>
      <c r="EMB44" s="1004"/>
      <c r="EMC44" s="1004"/>
      <c r="EMD44" s="1004"/>
      <c r="EME44" s="1004"/>
      <c r="EMF44" s="1004"/>
      <c r="EMG44" s="1004"/>
      <c r="EMH44" s="1004"/>
      <c r="EMI44" s="1004"/>
      <c r="EMJ44" s="1004"/>
      <c r="EMK44" s="1004"/>
      <c r="EML44" s="1004"/>
      <c r="EMM44" s="1004"/>
      <c r="EMN44" s="1004"/>
      <c r="EMO44" s="1004"/>
      <c r="EMP44" s="1004"/>
      <c r="EMQ44" s="1004"/>
      <c r="EMR44" s="1004"/>
      <c r="EMS44" s="1004"/>
      <c r="EMT44" s="1004"/>
      <c r="EMU44" s="1004"/>
      <c r="EMV44" s="1004"/>
      <c r="EMW44" s="1004"/>
      <c r="EMX44" s="1004"/>
      <c r="EMY44" s="1004"/>
      <c r="EMZ44" s="1004"/>
      <c r="ENA44" s="1004"/>
      <c r="ENB44" s="1004"/>
      <c r="ENC44" s="1004"/>
      <c r="END44" s="1004"/>
      <c r="ENE44" s="1004"/>
      <c r="ENF44" s="1004"/>
      <c r="ENG44" s="1004"/>
      <c r="ENH44" s="1004"/>
      <c r="ENI44" s="1004"/>
      <c r="ENJ44" s="1004"/>
      <c r="ENK44" s="1004"/>
      <c r="ENL44" s="1004"/>
      <c r="ENM44" s="1004"/>
      <c r="ENN44" s="1004"/>
      <c r="ENO44" s="1004"/>
      <c r="ENP44" s="1004"/>
      <c r="ENQ44" s="1004"/>
      <c r="ENR44" s="1004"/>
      <c r="ENS44" s="1004"/>
      <c r="ENT44" s="1004"/>
      <c r="ENU44" s="1004"/>
      <c r="ENV44" s="1004"/>
      <c r="ENW44" s="1004"/>
      <c r="ENX44" s="1004"/>
      <c r="ENY44" s="1004"/>
      <c r="ENZ44" s="1004"/>
      <c r="EOA44" s="1004"/>
      <c r="EOB44" s="1004"/>
      <c r="EOC44" s="1004"/>
      <c r="EOD44" s="1004"/>
      <c r="EOE44" s="1004"/>
      <c r="EOF44" s="1004"/>
      <c r="EOG44" s="1004"/>
      <c r="EOH44" s="1004"/>
      <c r="EOI44" s="1004"/>
      <c r="EOJ44" s="1004"/>
      <c r="EOK44" s="1004"/>
      <c r="EOL44" s="1004"/>
      <c r="EOM44" s="1004"/>
      <c r="EON44" s="1004"/>
      <c r="EOO44" s="1004"/>
      <c r="EOP44" s="1004"/>
      <c r="EOQ44" s="1004"/>
      <c r="EOR44" s="1004"/>
      <c r="EOS44" s="1004"/>
      <c r="EOT44" s="1004"/>
      <c r="EOU44" s="1004"/>
      <c r="EOV44" s="1004"/>
      <c r="EOW44" s="1004"/>
      <c r="EOX44" s="1004"/>
      <c r="EOY44" s="1004"/>
      <c r="EOZ44" s="1004"/>
      <c r="EPA44" s="1004"/>
      <c r="EPB44" s="1004"/>
      <c r="EPC44" s="1004"/>
      <c r="EPD44" s="1004"/>
      <c r="EPE44" s="1004"/>
      <c r="EPF44" s="1004"/>
      <c r="EPG44" s="1004"/>
      <c r="EPH44" s="1004"/>
      <c r="EPI44" s="1004"/>
      <c r="EPJ44" s="1004"/>
      <c r="EPK44" s="1004"/>
      <c r="EPL44" s="1004"/>
      <c r="EPM44" s="1004"/>
      <c r="EPN44" s="1004"/>
      <c r="EPO44" s="1004"/>
      <c r="EPP44" s="1004"/>
      <c r="EPQ44" s="1004"/>
      <c r="EPR44" s="1004"/>
      <c r="EPS44" s="1004"/>
      <c r="EPT44" s="1004"/>
      <c r="EPU44" s="1004"/>
      <c r="EPV44" s="1004"/>
      <c r="EPW44" s="1004"/>
      <c r="EPX44" s="1004"/>
      <c r="EPY44" s="1004"/>
      <c r="EPZ44" s="1004"/>
      <c r="EQA44" s="1004"/>
      <c r="EQB44" s="1004"/>
      <c r="EQC44" s="1004"/>
      <c r="EQD44" s="1004"/>
      <c r="EQE44" s="1004"/>
      <c r="EQF44" s="1004"/>
      <c r="EQG44" s="1004"/>
      <c r="EQH44" s="1004"/>
      <c r="EQI44" s="1004"/>
      <c r="EQJ44" s="1004"/>
      <c r="EQK44" s="1004"/>
      <c r="EQL44" s="1004"/>
      <c r="EQM44" s="1004"/>
      <c r="EQN44" s="1004"/>
      <c r="EQO44" s="1004"/>
      <c r="EQP44" s="1004"/>
      <c r="EQQ44" s="1004"/>
      <c r="EQR44" s="1004"/>
      <c r="EQS44" s="1004"/>
      <c r="EQT44" s="1004"/>
      <c r="EQU44" s="1004"/>
      <c r="EQV44" s="1004"/>
      <c r="EQW44" s="1004"/>
      <c r="EQX44" s="1004"/>
      <c r="EQY44" s="1004"/>
      <c r="EQZ44" s="1004"/>
      <c r="ERA44" s="1004"/>
      <c r="ERB44" s="1004"/>
      <c r="ERC44" s="1004"/>
      <c r="ERD44" s="1004"/>
      <c r="ERE44" s="1004"/>
      <c r="ERF44" s="1004"/>
      <c r="ERG44" s="1004"/>
      <c r="ERH44" s="1004"/>
      <c r="ERI44" s="1004"/>
      <c r="ERJ44" s="1004"/>
      <c r="ERK44" s="1004"/>
      <c r="ERL44" s="1004"/>
      <c r="ERM44" s="1004"/>
      <c r="ERN44" s="1004"/>
      <c r="ERO44" s="1004"/>
      <c r="ERP44" s="1004"/>
      <c r="ERQ44" s="1004"/>
      <c r="ERR44" s="1004"/>
      <c r="ERS44" s="1004"/>
      <c r="ERT44" s="1004"/>
      <c r="ERU44" s="1004"/>
      <c r="ERV44" s="1004"/>
      <c r="ERW44" s="1004"/>
      <c r="ERX44" s="1004"/>
      <c r="ERY44" s="1004"/>
      <c r="ERZ44" s="1004"/>
      <c r="ESA44" s="1004"/>
      <c r="ESB44" s="1004"/>
      <c r="ESC44" s="1004"/>
      <c r="ESD44" s="1004"/>
      <c r="ESE44" s="1004"/>
      <c r="ESF44" s="1004"/>
      <c r="ESG44" s="1004"/>
      <c r="ESH44" s="1004"/>
      <c r="ESI44" s="1004"/>
      <c r="ESJ44" s="1004"/>
      <c r="ESK44" s="1004"/>
      <c r="ESL44" s="1004"/>
      <c r="ESM44" s="1004"/>
      <c r="ESN44" s="1004"/>
      <c r="ESO44" s="1004"/>
      <c r="ESP44" s="1004"/>
      <c r="ESQ44" s="1004"/>
      <c r="ESR44" s="1004"/>
      <c r="ESS44" s="1004"/>
      <c r="EST44" s="1004"/>
      <c r="ESU44" s="1004"/>
      <c r="ESV44" s="1004"/>
      <c r="ESW44" s="1004"/>
      <c r="ESX44" s="1004"/>
      <c r="ESY44" s="1004"/>
      <c r="ESZ44" s="1004"/>
      <c r="ETA44" s="1004"/>
      <c r="ETB44" s="1004"/>
      <c r="ETC44" s="1004"/>
      <c r="ETD44" s="1004"/>
      <c r="ETE44" s="1004"/>
      <c r="ETF44" s="1004"/>
      <c r="ETG44" s="1004"/>
      <c r="ETH44" s="1004"/>
      <c r="ETI44" s="1004"/>
      <c r="ETJ44" s="1004"/>
      <c r="ETK44" s="1004"/>
      <c r="ETL44" s="1004"/>
      <c r="ETM44" s="1004"/>
      <c r="ETN44" s="1004"/>
      <c r="ETO44" s="1004"/>
      <c r="ETP44" s="1004"/>
      <c r="ETQ44" s="1004"/>
      <c r="ETR44" s="1004"/>
      <c r="ETS44" s="1004"/>
      <c r="ETT44" s="1004"/>
      <c r="ETU44" s="1004"/>
      <c r="ETV44" s="1004"/>
      <c r="ETW44" s="1004"/>
      <c r="ETX44" s="1004"/>
      <c r="ETY44" s="1004"/>
      <c r="ETZ44" s="1004"/>
      <c r="EUA44" s="1004"/>
      <c r="EUB44" s="1004"/>
      <c r="EUC44" s="1004"/>
      <c r="EUD44" s="1004"/>
      <c r="EUE44" s="1004"/>
      <c r="EUF44" s="1004"/>
      <c r="EUG44" s="1004"/>
      <c r="EUH44" s="1004"/>
      <c r="EUI44" s="1004"/>
      <c r="EUJ44" s="1004"/>
      <c r="EUK44" s="1004"/>
      <c r="EUL44" s="1004"/>
      <c r="EUM44" s="1004"/>
      <c r="EUN44" s="1004"/>
      <c r="EUO44" s="1004"/>
      <c r="EUP44" s="1004"/>
      <c r="EUQ44" s="1004"/>
      <c r="EUR44" s="1004"/>
      <c r="EUS44" s="1004"/>
      <c r="EUT44" s="1004"/>
      <c r="EUU44" s="1004"/>
      <c r="EUV44" s="1004"/>
      <c r="EUW44" s="1004"/>
      <c r="EUX44" s="1004"/>
      <c r="EUY44" s="1004"/>
      <c r="EUZ44" s="1004"/>
      <c r="EVA44" s="1004"/>
      <c r="EVB44" s="1004"/>
      <c r="EVC44" s="1004"/>
      <c r="EVD44" s="1004"/>
      <c r="EVE44" s="1004"/>
      <c r="EVF44" s="1004"/>
      <c r="EVG44" s="1004"/>
      <c r="EVH44" s="1004"/>
      <c r="EVI44" s="1004"/>
      <c r="EVJ44" s="1004"/>
      <c r="EVK44" s="1004"/>
      <c r="EVL44" s="1004"/>
      <c r="EVM44" s="1004"/>
      <c r="EVN44" s="1004"/>
      <c r="EVO44" s="1004"/>
      <c r="EVP44" s="1004"/>
      <c r="EVQ44" s="1004"/>
      <c r="EVR44" s="1004"/>
      <c r="EVS44" s="1004"/>
      <c r="EVT44" s="1004"/>
      <c r="EVU44" s="1004"/>
      <c r="EVV44" s="1004"/>
      <c r="EVW44" s="1004"/>
      <c r="EVX44" s="1004"/>
      <c r="EVY44" s="1004"/>
      <c r="EVZ44" s="1004"/>
      <c r="EWA44" s="1004"/>
      <c r="EWB44" s="1004"/>
      <c r="EWC44" s="1004"/>
      <c r="EWD44" s="1004"/>
      <c r="EWE44" s="1004"/>
      <c r="EWF44" s="1004"/>
      <c r="EWG44" s="1004"/>
      <c r="EWH44" s="1004"/>
      <c r="EWI44" s="1004"/>
      <c r="EWJ44" s="1004"/>
      <c r="EWK44" s="1004"/>
      <c r="EWL44" s="1004"/>
      <c r="EWM44" s="1004"/>
      <c r="EWN44" s="1004"/>
      <c r="EWO44" s="1004"/>
      <c r="EWP44" s="1004"/>
      <c r="EWQ44" s="1004"/>
      <c r="EWR44" s="1004"/>
      <c r="EWS44" s="1004"/>
      <c r="EWT44" s="1004"/>
      <c r="EWU44" s="1004"/>
      <c r="EWV44" s="1004"/>
      <c r="EWW44" s="1004"/>
      <c r="EWX44" s="1004"/>
      <c r="EWY44" s="1004"/>
      <c r="EWZ44" s="1004"/>
      <c r="EXA44" s="1004"/>
      <c r="EXB44" s="1004"/>
      <c r="EXC44" s="1004"/>
      <c r="EXD44" s="1004"/>
      <c r="EXE44" s="1004"/>
      <c r="EXF44" s="1004"/>
      <c r="EXG44" s="1004"/>
      <c r="EXH44" s="1004"/>
      <c r="EXI44" s="1004"/>
      <c r="EXJ44" s="1004"/>
      <c r="EXK44" s="1004"/>
      <c r="EXL44" s="1004"/>
      <c r="EXM44" s="1004"/>
      <c r="EXN44" s="1004"/>
      <c r="EXO44" s="1004"/>
      <c r="EXP44" s="1004"/>
      <c r="EXQ44" s="1004"/>
      <c r="EXR44" s="1004"/>
      <c r="EXS44" s="1004"/>
      <c r="EXT44" s="1004"/>
      <c r="EXU44" s="1004"/>
      <c r="EXV44" s="1004"/>
      <c r="EXW44" s="1004"/>
      <c r="EXX44" s="1004"/>
      <c r="EXY44" s="1004"/>
      <c r="EXZ44" s="1004"/>
      <c r="EYA44" s="1004"/>
      <c r="EYB44" s="1004"/>
      <c r="EYC44" s="1004"/>
      <c r="EYD44" s="1004"/>
      <c r="EYE44" s="1004"/>
      <c r="EYF44" s="1004"/>
      <c r="EYG44" s="1004"/>
      <c r="EYH44" s="1004"/>
      <c r="EYI44" s="1004"/>
      <c r="EYJ44" s="1004"/>
      <c r="EYK44" s="1004"/>
      <c r="EYL44" s="1004"/>
      <c r="EYM44" s="1004"/>
      <c r="EYN44" s="1004"/>
      <c r="EYO44" s="1004"/>
      <c r="EYP44" s="1004"/>
      <c r="EYQ44" s="1004"/>
      <c r="EYR44" s="1004"/>
      <c r="EYS44" s="1004"/>
      <c r="EYT44" s="1004"/>
      <c r="EYU44" s="1004"/>
      <c r="EYV44" s="1004"/>
      <c r="EYW44" s="1004"/>
      <c r="EYX44" s="1004"/>
      <c r="EYY44" s="1004"/>
      <c r="EYZ44" s="1004"/>
      <c r="EZA44" s="1004"/>
      <c r="EZB44" s="1004"/>
      <c r="EZC44" s="1004"/>
      <c r="EZD44" s="1004"/>
      <c r="EZE44" s="1004"/>
      <c r="EZF44" s="1004"/>
      <c r="EZG44" s="1004"/>
      <c r="EZH44" s="1004"/>
      <c r="EZI44" s="1004"/>
      <c r="EZJ44" s="1004"/>
      <c r="EZK44" s="1004"/>
      <c r="EZL44" s="1004"/>
      <c r="EZM44" s="1004"/>
      <c r="EZN44" s="1004"/>
      <c r="EZO44" s="1004"/>
      <c r="EZP44" s="1004"/>
      <c r="EZQ44" s="1004"/>
      <c r="EZR44" s="1004"/>
      <c r="EZS44" s="1004"/>
      <c r="EZT44" s="1004"/>
      <c r="EZU44" s="1004"/>
      <c r="EZV44" s="1004"/>
      <c r="EZW44" s="1004"/>
      <c r="EZX44" s="1004"/>
      <c r="EZY44" s="1004"/>
      <c r="EZZ44" s="1004"/>
      <c r="FAA44" s="1004"/>
      <c r="FAB44" s="1004"/>
      <c r="FAC44" s="1004"/>
      <c r="FAD44" s="1004"/>
      <c r="FAE44" s="1004"/>
      <c r="FAF44" s="1004"/>
      <c r="FAG44" s="1004"/>
      <c r="FAH44" s="1004"/>
      <c r="FAI44" s="1004"/>
      <c r="FAJ44" s="1004"/>
      <c r="FAK44" s="1004"/>
      <c r="FAL44" s="1004"/>
      <c r="FAM44" s="1004"/>
      <c r="FAN44" s="1004"/>
      <c r="FAO44" s="1004"/>
      <c r="FAP44" s="1004"/>
      <c r="FAQ44" s="1004"/>
      <c r="FAR44" s="1004"/>
      <c r="FAS44" s="1004"/>
      <c r="FAT44" s="1004"/>
      <c r="FAU44" s="1004"/>
      <c r="FAV44" s="1004"/>
      <c r="FAW44" s="1004"/>
      <c r="FAX44" s="1004"/>
      <c r="FAY44" s="1004"/>
      <c r="FAZ44" s="1004"/>
      <c r="FBA44" s="1004"/>
      <c r="FBB44" s="1004"/>
      <c r="FBC44" s="1004"/>
      <c r="FBD44" s="1004"/>
      <c r="FBE44" s="1004"/>
      <c r="FBF44" s="1004"/>
      <c r="FBG44" s="1004"/>
      <c r="FBH44" s="1004"/>
      <c r="FBI44" s="1004"/>
      <c r="FBJ44" s="1004"/>
      <c r="FBK44" s="1004"/>
      <c r="FBL44" s="1004"/>
      <c r="FBM44" s="1004"/>
      <c r="FBN44" s="1004"/>
      <c r="FBO44" s="1004"/>
      <c r="FBP44" s="1004"/>
      <c r="FBQ44" s="1004"/>
      <c r="FBR44" s="1004"/>
      <c r="FBS44" s="1004"/>
      <c r="FBT44" s="1004"/>
      <c r="FBU44" s="1004"/>
      <c r="FBV44" s="1004"/>
      <c r="FBW44" s="1004"/>
      <c r="FBX44" s="1004"/>
      <c r="FBY44" s="1004"/>
      <c r="FBZ44" s="1004"/>
      <c r="FCA44" s="1004"/>
      <c r="FCB44" s="1004"/>
      <c r="FCC44" s="1004"/>
      <c r="FCD44" s="1004"/>
      <c r="FCE44" s="1004"/>
      <c r="FCF44" s="1004"/>
      <c r="FCG44" s="1004"/>
      <c r="FCH44" s="1004"/>
      <c r="FCI44" s="1004"/>
      <c r="FCJ44" s="1004"/>
      <c r="FCK44" s="1004"/>
      <c r="FCL44" s="1004"/>
      <c r="FCM44" s="1004"/>
      <c r="FCN44" s="1004"/>
      <c r="FCO44" s="1004"/>
      <c r="FCP44" s="1004"/>
      <c r="FCQ44" s="1004"/>
      <c r="FCR44" s="1004"/>
      <c r="FCS44" s="1004"/>
      <c r="FCT44" s="1004"/>
      <c r="FCU44" s="1004"/>
      <c r="FCV44" s="1004"/>
      <c r="FCW44" s="1004"/>
      <c r="FCX44" s="1004"/>
      <c r="FCY44" s="1004"/>
      <c r="FCZ44" s="1004"/>
      <c r="FDA44" s="1004"/>
      <c r="FDB44" s="1004"/>
      <c r="FDC44" s="1004"/>
      <c r="FDD44" s="1004"/>
      <c r="FDE44" s="1004"/>
      <c r="FDF44" s="1004"/>
      <c r="FDG44" s="1004"/>
      <c r="FDH44" s="1004"/>
      <c r="FDI44" s="1004"/>
      <c r="FDJ44" s="1004"/>
      <c r="FDK44" s="1004"/>
      <c r="FDL44" s="1004"/>
      <c r="FDM44" s="1004"/>
      <c r="FDN44" s="1004"/>
      <c r="FDO44" s="1004"/>
      <c r="FDP44" s="1004"/>
      <c r="FDQ44" s="1004"/>
      <c r="FDR44" s="1004"/>
      <c r="FDS44" s="1004"/>
      <c r="FDT44" s="1004"/>
      <c r="FDU44" s="1004"/>
      <c r="FDV44" s="1004"/>
      <c r="FDW44" s="1004"/>
      <c r="FDX44" s="1004"/>
      <c r="FDY44" s="1004"/>
      <c r="FDZ44" s="1004"/>
      <c r="FEA44" s="1004"/>
      <c r="FEB44" s="1004"/>
      <c r="FEC44" s="1004"/>
      <c r="FED44" s="1004"/>
      <c r="FEE44" s="1004"/>
      <c r="FEF44" s="1004"/>
      <c r="FEG44" s="1004"/>
      <c r="FEH44" s="1004"/>
      <c r="FEI44" s="1004"/>
      <c r="FEJ44" s="1004"/>
      <c r="FEK44" s="1004"/>
      <c r="FEL44" s="1004"/>
      <c r="FEM44" s="1004"/>
      <c r="FEN44" s="1004"/>
      <c r="FEO44" s="1004"/>
      <c r="FEP44" s="1004"/>
      <c r="FEQ44" s="1004"/>
      <c r="FER44" s="1004"/>
      <c r="FES44" s="1004"/>
      <c r="FET44" s="1004"/>
      <c r="FEU44" s="1004"/>
      <c r="FEV44" s="1004"/>
      <c r="FEW44" s="1004"/>
      <c r="FEX44" s="1004"/>
      <c r="FEY44" s="1004"/>
      <c r="FEZ44" s="1004"/>
      <c r="FFA44" s="1004"/>
      <c r="FFB44" s="1004"/>
      <c r="FFC44" s="1004"/>
      <c r="FFD44" s="1004"/>
      <c r="FFE44" s="1004"/>
      <c r="FFF44" s="1004"/>
      <c r="FFG44" s="1004"/>
      <c r="FFH44" s="1004"/>
      <c r="FFI44" s="1004"/>
      <c r="FFJ44" s="1004"/>
      <c r="FFK44" s="1004"/>
      <c r="FFL44" s="1004"/>
      <c r="FFM44" s="1004"/>
      <c r="FFN44" s="1004"/>
      <c r="FFO44" s="1004"/>
      <c r="FFP44" s="1004"/>
      <c r="FFQ44" s="1004"/>
      <c r="FFR44" s="1004"/>
      <c r="FFS44" s="1004"/>
      <c r="FFT44" s="1004"/>
      <c r="FFU44" s="1004"/>
      <c r="FFV44" s="1004"/>
      <c r="FFW44" s="1004"/>
      <c r="FFX44" s="1004"/>
      <c r="FFY44" s="1004"/>
      <c r="FFZ44" s="1004"/>
      <c r="FGA44" s="1004"/>
      <c r="FGB44" s="1004"/>
      <c r="FGC44" s="1004"/>
      <c r="FGD44" s="1004"/>
      <c r="FGE44" s="1004"/>
      <c r="FGF44" s="1004"/>
      <c r="FGG44" s="1004"/>
      <c r="FGH44" s="1004"/>
      <c r="FGI44" s="1004"/>
      <c r="FGJ44" s="1004"/>
      <c r="FGK44" s="1004"/>
      <c r="FGL44" s="1004"/>
      <c r="FGM44" s="1004"/>
      <c r="FGN44" s="1004"/>
      <c r="FGO44" s="1004"/>
      <c r="FGP44" s="1004"/>
      <c r="FGQ44" s="1004"/>
      <c r="FGR44" s="1004"/>
      <c r="FGS44" s="1004"/>
      <c r="FGT44" s="1004"/>
      <c r="FGU44" s="1004"/>
      <c r="FGV44" s="1004"/>
      <c r="FGW44" s="1004"/>
      <c r="FGX44" s="1004"/>
      <c r="FGY44" s="1004"/>
      <c r="FGZ44" s="1004"/>
      <c r="FHA44" s="1004"/>
      <c r="FHB44" s="1004"/>
      <c r="FHC44" s="1004"/>
      <c r="FHD44" s="1004"/>
      <c r="FHE44" s="1004"/>
      <c r="FHF44" s="1004"/>
      <c r="FHG44" s="1004"/>
      <c r="FHH44" s="1004"/>
      <c r="FHI44" s="1004"/>
      <c r="FHJ44" s="1004"/>
      <c r="FHK44" s="1004"/>
      <c r="FHL44" s="1004"/>
      <c r="FHM44" s="1004"/>
      <c r="FHN44" s="1004"/>
      <c r="FHO44" s="1004"/>
      <c r="FHP44" s="1004"/>
      <c r="FHQ44" s="1004"/>
      <c r="FHR44" s="1004"/>
      <c r="FHS44" s="1004"/>
      <c r="FHT44" s="1004"/>
      <c r="FHU44" s="1004"/>
      <c r="FHV44" s="1004"/>
      <c r="FHW44" s="1004"/>
      <c r="FHX44" s="1004"/>
      <c r="FHY44" s="1004"/>
      <c r="FHZ44" s="1004"/>
      <c r="FIA44" s="1004"/>
      <c r="FIB44" s="1004"/>
      <c r="FIC44" s="1004"/>
      <c r="FID44" s="1004"/>
      <c r="FIE44" s="1004"/>
      <c r="FIF44" s="1004"/>
      <c r="FIG44" s="1004"/>
      <c r="FIH44" s="1004"/>
      <c r="FII44" s="1004"/>
      <c r="FIJ44" s="1004"/>
      <c r="FIK44" s="1004"/>
      <c r="FIL44" s="1004"/>
      <c r="FIM44" s="1004"/>
      <c r="FIN44" s="1004"/>
      <c r="FIO44" s="1004"/>
      <c r="FIP44" s="1004"/>
      <c r="FIQ44" s="1004"/>
      <c r="FIR44" s="1004"/>
      <c r="FIS44" s="1004"/>
      <c r="FIT44" s="1004"/>
      <c r="FIU44" s="1004"/>
      <c r="FIV44" s="1004"/>
      <c r="FIW44" s="1004"/>
      <c r="FIX44" s="1004"/>
      <c r="FIY44" s="1004"/>
      <c r="FIZ44" s="1004"/>
      <c r="FJA44" s="1004"/>
      <c r="FJB44" s="1004"/>
      <c r="FJC44" s="1004"/>
      <c r="FJD44" s="1004"/>
      <c r="FJE44" s="1004"/>
      <c r="FJF44" s="1004"/>
      <c r="FJG44" s="1004"/>
      <c r="FJH44" s="1004"/>
      <c r="FJI44" s="1004"/>
      <c r="FJJ44" s="1004"/>
      <c r="FJK44" s="1004"/>
      <c r="FJL44" s="1004"/>
      <c r="FJM44" s="1004"/>
      <c r="FJN44" s="1004"/>
      <c r="FJO44" s="1004"/>
      <c r="FJP44" s="1004"/>
      <c r="FJQ44" s="1004"/>
      <c r="FJR44" s="1004"/>
      <c r="FJS44" s="1004"/>
      <c r="FJT44" s="1004"/>
      <c r="FJU44" s="1004"/>
      <c r="FJV44" s="1004"/>
      <c r="FJW44" s="1004"/>
      <c r="FJX44" s="1004"/>
      <c r="FJY44" s="1004"/>
      <c r="FJZ44" s="1004"/>
      <c r="FKA44" s="1004"/>
      <c r="FKB44" s="1004"/>
      <c r="FKC44" s="1004"/>
      <c r="FKD44" s="1004"/>
      <c r="FKE44" s="1004"/>
      <c r="FKF44" s="1004"/>
      <c r="FKG44" s="1004"/>
      <c r="FKH44" s="1004"/>
      <c r="FKI44" s="1004"/>
      <c r="FKJ44" s="1004"/>
      <c r="FKK44" s="1004"/>
      <c r="FKL44" s="1004"/>
      <c r="FKM44" s="1004"/>
      <c r="FKN44" s="1004"/>
      <c r="FKO44" s="1004"/>
      <c r="FKP44" s="1004"/>
      <c r="FKQ44" s="1004"/>
      <c r="FKR44" s="1004"/>
      <c r="FKS44" s="1004"/>
      <c r="FKT44" s="1004"/>
      <c r="FKU44" s="1004"/>
      <c r="FKV44" s="1004"/>
      <c r="FKW44" s="1004"/>
      <c r="FKX44" s="1004"/>
      <c r="FKY44" s="1004"/>
      <c r="FKZ44" s="1004"/>
      <c r="FLA44" s="1004"/>
      <c r="FLB44" s="1004"/>
      <c r="FLC44" s="1004"/>
      <c r="FLD44" s="1004"/>
      <c r="FLE44" s="1004"/>
      <c r="FLF44" s="1004"/>
      <c r="FLG44" s="1004"/>
      <c r="FLH44" s="1004"/>
      <c r="FLI44" s="1004"/>
      <c r="FLJ44" s="1004"/>
      <c r="FLK44" s="1004"/>
      <c r="FLL44" s="1004"/>
      <c r="FLM44" s="1004"/>
      <c r="FLN44" s="1004"/>
      <c r="FLO44" s="1004"/>
      <c r="FLP44" s="1004"/>
      <c r="FLQ44" s="1004"/>
      <c r="FLR44" s="1004"/>
      <c r="FLS44" s="1004"/>
      <c r="FLT44" s="1004"/>
      <c r="FLU44" s="1004"/>
      <c r="FLV44" s="1004"/>
      <c r="FLW44" s="1004"/>
      <c r="FLX44" s="1004"/>
      <c r="FLY44" s="1004"/>
      <c r="FLZ44" s="1004"/>
      <c r="FMA44" s="1004"/>
      <c r="FMB44" s="1004"/>
      <c r="FMC44" s="1004"/>
      <c r="FMD44" s="1004"/>
      <c r="FME44" s="1004"/>
      <c r="FMF44" s="1004"/>
      <c r="FMG44" s="1004"/>
      <c r="FMH44" s="1004"/>
      <c r="FMI44" s="1004"/>
      <c r="FMJ44" s="1004"/>
      <c r="FMK44" s="1004"/>
      <c r="FML44" s="1004"/>
      <c r="FMM44" s="1004"/>
      <c r="FMN44" s="1004"/>
      <c r="FMO44" s="1004"/>
      <c r="FMP44" s="1004"/>
      <c r="FMQ44" s="1004"/>
      <c r="FMR44" s="1004"/>
      <c r="FMS44" s="1004"/>
      <c r="FMT44" s="1004"/>
      <c r="FMU44" s="1004"/>
      <c r="FMV44" s="1004"/>
      <c r="FMW44" s="1004"/>
      <c r="FMX44" s="1004"/>
      <c r="FMY44" s="1004"/>
      <c r="FMZ44" s="1004"/>
      <c r="FNA44" s="1004"/>
      <c r="FNB44" s="1004"/>
      <c r="FNC44" s="1004"/>
      <c r="FND44" s="1004"/>
      <c r="FNE44" s="1004"/>
      <c r="FNF44" s="1004"/>
      <c r="FNG44" s="1004"/>
      <c r="FNH44" s="1004"/>
      <c r="FNI44" s="1004"/>
      <c r="FNJ44" s="1004"/>
      <c r="FNK44" s="1004"/>
      <c r="FNL44" s="1004"/>
      <c r="FNM44" s="1004"/>
      <c r="FNN44" s="1004"/>
      <c r="FNO44" s="1004"/>
      <c r="FNP44" s="1004"/>
      <c r="FNQ44" s="1004"/>
      <c r="FNR44" s="1004"/>
      <c r="FNS44" s="1004"/>
      <c r="FNT44" s="1004"/>
      <c r="FNU44" s="1004"/>
      <c r="FNV44" s="1004"/>
      <c r="FNW44" s="1004"/>
      <c r="FNX44" s="1004"/>
      <c r="FNY44" s="1004"/>
      <c r="FNZ44" s="1004"/>
      <c r="FOA44" s="1004"/>
      <c r="FOB44" s="1004"/>
      <c r="FOC44" s="1004"/>
      <c r="FOD44" s="1004"/>
      <c r="FOE44" s="1004"/>
      <c r="FOF44" s="1004"/>
      <c r="FOG44" s="1004"/>
      <c r="FOH44" s="1004"/>
      <c r="FOI44" s="1004"/>
      <c r="FOJ44" s="1004"/>
      <c r="FOK44" s="1004"/>
      <c r="FOL44" s="1004"/>
      <c r="FOM44" s="1004"/>
      <c r="FON44" s="1004"/>
      <c r="FOO44" s="1004"/>
      <c r="FOP44" s="1004"/>
      <c r="FOQ44" s="1004"/>
      <c r="FOR44" s="1004"/>
      <c r="FOS44" s="1004"/>
      <c r="FOT44" s="1004"/>
      <c r="FOU44" s="1004"/>
      <c r="FOV44" s="1004"/>
      <c r="FOW44" s="1004"/>
      <c r="FOX44" s="1004"/>
      <c r="FOY44" s="1004"/>
      <c r="FOZ44" s="1004"/>
      <c r="FPA44" s="1004"/>
      <c r="FPB44" s="1004"/>
      <c r="FPC44" s="1004"/>
      <c r="FPD44" s="1004"/>
      <c r="FPE44" s="1004"/>
      <c r="FPF44" s="1004"/>
      <c r="FPG44" s="1004"/>
      <c r="FPH44" s="1004"/>
      <c r="FPI44" s="1004"/>
      <c r="FPJ44" s="1004"/>
      <c r="FPK44" s="1004"/>
      <c r="FPL44" s="1004"/>
      <c r="FPM44" s="1004"/>
      <c r="FPN44" s="1004"/>
      <c r="FPO44" s="1004"/>
      <c r="FPP44" s="1004"/>
      <c r="FPQ44" s="1004"/>
      <c r="FPR44" s="1004"/>
      <c r="FPS44" s="1004"/>
      <c r="FPT44" s="1004"/>
      <c r="FPU44" s="1004"/>
      <c r="FPV44" s="1004"/>
      <c r="FPW44" s="1004"/>
      <c r="FPX44" s="1004"/>
      <c r="FPY44" s="1004"/>
      <c r="FPZ44" s="1004"/>
      <c r="FQA44" s="1004"/>
      <c r="FQB44" s="1004"/>
      <c r="FQC44" s="1004"/>
      <c r="FQD44" s="1004"/>
      <c r="FQE44" s="1004"/>
      <c r="FQF44" s="1004"/>
      <c r="FQG44" s="1004"/>
      <c r="FQH44" s="1004"/>
      <c r="FQI44" s="1004"/>
      <c r="FQJ44" s="1004"/>
      <c r="FQK44" s="1004"/>
      <c r="FQL44" s="1004"/>
      <c r="FQM44" s="1004"/>
      <c r="FQN44" s="1004"/>
      <c r="FQO44" s="1004"/>
      <c r="FQP44" s="1004"/>
      <c r="FQQ44" s="1004"/>
      <c r="FQR44" s="1004"/>
      <c r="FQS44" s="1004"/>
      <c r="FQT44" s="1004"/>
      <c r="FQU44" s="1004"/>
      <c r="FQV44" s="1004"/>
      <c r="FQW44" s="1004"/>
      <c r="FQX44" s="1004"/>
      <c r="FQY44" s="1004"/>
      <c r="FQZ44" s="1004"/>
      <c r="FRA44" s="1004"/>
      <c r="FRB44" s="1004"/>
      <c r="FRC44" s="1004"/>
      <c r="FRD44" s="1004"/>
      <c r="FRE44" s="1004"/>
      <c r="FRF44" s="1004"/>
      <c r="FRG44" s="1004"/>
      <c r="FRH44" s="1004"/>
      <c r="FRI44" s="1004"/>
      <c r="FRJ44" s="1004"/>
      <c r="FRK44" s="1004"/>
      <c r="FRL44" s="1004"/>
      <c r="FRM44" s="1004"/>
      <c r="FRN44" s="1004"/>
      <c r="FRO44" s="1004"/>
      <c r="FRP44" s="1004"/>
      <c r="FRQ44" s="1004"/>
      <c r="FRR44" s="1004"/>
      <c r="FRS44" s="1004"/>
      <c r="FRT44" s="1004"/>
      <c r="FRU44" s="1004"/>
      <c r="FRV44" s="1004"/>
      <c r="FRW44" s="1004"/>
      <c r="FRX44" s="1004"/>
      <c r="FRY44" s="1004"/>
      <c r="FRZ44" s="1004"/>
      <c r="FSA44" s="1004"/>
      <c r="FSB44" s="1004"/>
      <c r="FSC44" s="1004"/>
      <c r="FSD44" s="1004"/>
      <c r="FSE44" s="1004"/>
      <c r="FSF44" s="1004"/>
      <c r="FSG44" s="1004"/>
      <c r="FSH44" s="1004"/>
      <c r="FSI44" s="1004"/>
      <c r="FSJ44" s="1004"/>
      <c r="FSK44" s="1004"/>
      <c r="FSL44" s="1004"/>
      <c r="FSM44" s="1004"/>
      <c r="FSN44" s="1004"/>
      <c r="FSO44" s="1004"/>
      <c r="FSP44" s="1004"/>
      <c r="FSQ44" s="1004"/>
      <c r="FSR44" s="1004"/>
      <c r="FSS44" s="1004"/>
      <c r="FST44" s="1004"/>
      <c r="FSU44" s="1004"/>
      <c r="FSV44" s="1004"/>
      <c r="FSW44" s="1004"/>
      <c r="FSX44" s="1004"/>
      <c r="FSY44" s="1004"/>
      <c r="FSZ44" s="1004"/>
      <c r="FTA44" s="1004"/>
      <c r="FTB44" s="1004"/>
      <c r="FTC44" s="1004"/>
      <c r="FTD44" s="1004"/>
      <c r="FTE44" s="1004"/>
      <c r="FTF44" s="1004"/>
      <c r="FTG44" s="1004"/>
      <c r="FTH44" s="1004"/>
      <c r="FTI44" s="1004"/>
      <c r="FTJ44" s="1004"/>
      <c r="FTK44" s="1004"/>
      <c r="FTL44" s="1004"/>
      <c r="FTM44" s="1004"/>
      <c r="FTN44" s="1004"/>
      <c r="FTO44" s="1004"/>
      <c r="FTP44" s="1004"/>
      <c r="FTQ44" s="1004"/>
      <c r="FTR44" s="1004"/>
      <c r="FTS44" s="1004"/>
      <c r="FTT44" s="1004"/>
      <c r="FTU44" s="1004"/>
      <c r="FTV44" s="1004"/>
      <c r="FTW44" s="1004"/>
      <c r="FTX44" s="1004"/>
      <c r="FTY44" s="1004"/>
      <c r="FTZ44" s="1004"/>
      <c r="FUA44" s="1004"/>
      <c r="FUB44" s="1004"/>
      <c r="FUC44" s="1004"/>
      <c r="FUD44" s="1004"/>
      <c r="FUE44" s="1004"/>
      <c r="FUF44" s="1004"/>
      <c r="FUG44" s="1004"/>
      <c r="FUH44" s="1004"/>
      <c r="FUI44" s="1004"/>
      <c r="FUJ44" s="1004"/>
      <c r="FUK44" s="1004"/>
      <c r="FUL44" s="1004"/>
      <c r="FUM44" s="1004"/>
      <c r="FUN44" s="1004"/>
      <c r="FUO44" s="1004"/>
      <c r="FUP44" s="1004"/>
      <c r="FUQ44" s="1004"/>
      <c r="FUR44" s="1004"/>
      <c r="FUS44" s="1004"/>
      <c r="FUT44" s="1004"/>
      <c r="FUU44" s="1004"/>
      <c r="FUV44" s="1004"/>
      <c r="FUW44" s="1004"/>
      <c r="FUX44" s="1004"/>
      <c r="FUY44" s="1004"/>
      <c r="FUZ44" s="1004"/>
      <c r="FVA44" s="1004"/>
      <c r="FVB44" s="1004"/>
      <c r="FVC44" s="1004"/>
      <c r="FVD44" s="1004"/>
      <c r="FVE44" s="1004"/>
      <c r="FVF44" s="1004"/>
      <c r="FVG44" s="1004"/>
      <c r="FVH44" s="1004"/>
      <c r="FVI44" s="1004"/>
      <c r="FVJ44" s="1004"/>
      <c r="FVK44" s="1004"/>
      <c r="FVL44" s="1004"/>
      <c r="FVM44" s="1004"/>
      <c r="FVN44" s="1004"/>
      <c r="FVO44" s="1004"/>
      <c r="FVP44" s="1004"/>
      <c r="FVQ44" s="1004"/>
      <c r="FVR44" s="1004"/>
      <c r="FVS44" s="1004"/>
      <c r="FVT44" s="1004"/>
      <c r="FVU44" s="1004"/>
      <c r="FVV44" s="1004"/>
      <c r="FVW44" s="1004"/>
      <c r="FVX44" s="1004"/>
      <c r="FVY44" s="1004"/>
      <c r="FVZ44" s="1004"/>
      <c r="FWA44" s="1004"/>
      <c r="FWB44" s="1004"/>
      <c r="FWC44" s="1004"/>
      <c r="FWD44" s="1004"/>
      <c r="FWE44" s="1004"/>
      <c r="FWF44" s="1004"/>
      <c r="FWG44" s="1004"/>
      <c r="FWH44" s="1004"/>
      <c r="FWI44" s="1004"/>
      <c r="FWJ44" s="1004"/>
      <c r="FWK44" s="1004"/>
      <c r="FWL44" s="1004"/>
      <c r="FWM44" s="1004"/>
      <c r="FWN44" s="1004"/>
      <c r="FWO44" s="1004"/>
      <c r="FWP44" s="1004"/>
      <c r="FWQ44" s="1004"/>
      <c r="FWR44" s="1004"/>
      <c r="FWS44" s="1004"/>
      <c r="FWT44" s="1004"/>
      <c r="FWU44" s="1004"/>
      <c r="FWV44" s="1004"/>
      <c r="FWW44" s="1004"/>
      <c r="FWX44" s="1004"/>
      <c r="FWY44" s="1004"/>
      <c r="FWZ44" s="1004"/>
      <c r="FXA44" s="1004"/>
      <c r="FXB44" s="1004"/>
      <c r="FXC44" s="1004"/>
      <c r="FXD44" s="1004"/>
      <c r="FXE44" s="1004"/>
      <c r="FXF44" s="1004"/>
      <c r="FXG44" s="1004"/>
      <c r="FXH44" s="1004"/>
      <c r="FXI44" s="1004"/>
      <c r="FXJ44" s="1004"/>
      <c r="FXK44" s="1004"/>
      <c r="FXL44" s="1004"/>
      <c r="FXM44" s="1004"/>
      <c r="FXN44" s="1004"/>
      <c r="FXO44" s="1004"/>
      <c r="FXP44" s="1004"/>
      <c r="FXQ44" s="1004"/>
      <c r="FXR44" s="1004"/>
      <c r="FXS44" s="1004"/>
      <c r="FXT44" s="1004"/>
      <c r="FXU44" s="1004"/>
      <c r="FXV44" s="1004"/>
      <c r="FXW44" s="1004"/>
      <c r="FXX44" s="1004"/>
      <c r="FXY44" s="1004"/>
      <c r="FXZ44" s="1004"/>
      <c r="FYA44" s="1004"/>
      <c r="FYB44" s="1004"/>
      <c r="FYC44" s="1004"/>
      <c r="FYD44" s="1004"/>
      <c r="FYE44" s="1004"/>
      <c r="FYF44" s="1004"/>
      <c r="FYG44" s="1004"/>
      <c r="FYH44" s="1004"/>
      <c r="FYI44" s="1004"/>
      <c r="FYJ44" s="1004"/>
      <c r="FYK44" s="1004"/>
      <c r="FYL44" s="1004"/>
      <c r="FYM44" s="1004"/>
      <c r="FYN44" s="1004"/>
      <c r="FYO44" s="1004"/>
      <c r="FYP44" s="1004"/>
      <c r="FYQ44" s="1004"/>
      <c r="FYR44" s="1004"/>
      <c r="FYS44" s="1004"/>
      <c r="FYT44" s="1004"/>
      <c r="FYU44" s="1004"/>
      <c r="FYV44" s="1004"/>
      <c r="FYW44" s="1004"/>
      <c r="FYX44" s="1004"/>
      <c r="FYY44" s="1004"/>
      <c r="FYZ44" s="1004"/>
      <c r="FZA44" s="1004"/>
      <c r="FZB44" s="1004"/>
      <c r="FZC44" s="1004"/>
      <c r="FZD44" s="1004"/>
      <c r="FZE44" s="1004"/>
      <c r="FZF44" s="1004"/>
      <c r="FZG44" s="1004"/>
      <c r="FZH44" s="1004"/>
      <c r="FZI44" s="1004"/>
      <c r="FZJ44" s="1004"/>
      <c r="FZK44" s="1004"/>
      <c r="FZL44" s="1004"/>
      <c r="FZM44" s="1004"/>
      <c r="FZN44" s="1004"/>
      <c r="FZO44" s="1004"/>
      <c r="FZP44" s="1004"/>
      <c r="FZQ44" s="1004"/>
      <c r="FZR44" s="1004"/>
      <c r="FZS44" s="1004"/>
      <c r="FZT44" s="1004"/>
      <c r="FZU44" s="1004"/>
      <c r="FZV44" s="1004"/>
      <c r="FZW44" s="1004"/>
      <c r="FZX44" s="1004"/>
      <c r="FZY44" s="1004"/>
      <c r="FZZ44" s="1004"/>
      <c r="GAA44" s="1004"/>
      <c r="GAB44" s="1004"/>
      <c r="GAC44" s="1004"/>
      <c r="GAD44" s="1004"/>
      <c r="GAE44" s="1004"/>
      <c r="GAF44" s="1004"/>
      <c r="GAG44" s="1004"/>
      <c r="GAH44" s="1004"/>
      <c r="GAI44" s="1004"/>
      <c r="GAJ44" s="1004"/>
      <c r="GAK44" s="1004"/>
      <c r="GAL44" s="1004"/>
      <c r="GAM44" s="1004"/>
      <c r="GAN44" s="1004"/>
      <c r="GAO44" s="1004"/>
      <c r="GAP44" s="1004"/>
      <c r="GAQ44" s="1004"/>
      <c r="GAR44" s="1004"/>
      <c r="GAS44" s="1004"/>
      <c r="GAT44" s="1004"/>
      <c r="GAU44" s="1004"/>
      <c r="GAV44" s="1004"/>
      <c r="GAW44" s="1004"/>
      <c r="GAX44" s="1004"/>
      <c r="GAY44" s="1004"/>
      <c r="GAZ44" s="1004"/>
      <c r="GBA44" s="1004"/>
      <c r="GBB44" s="1004"/>
      <c r="GBC44" s="1004"/>
      <c r="GBD44" s="1004"/>
      <c r="GBE44" s="1004"/>
      <c r="GBF44" s="1004"/>
      <c r="GBG44" s="1004"/>
      <c r="GBH44" s="1004"/>
      <c r="GBI44" s="1004"/>
      <c r="GBJ44" s="1004"/>
      <c r="GBK44" s="1004"/>
      <c r="GBL44" s="1004"/>
      <c r="GBM44" s="1004"/>
      <c r="GBN44" s="1004"/>
      <c r="GBO44" s="1004"/>
      <c r="GBP44" s="1004"/>
      <c r="GBQ44" s="1004"/>
      <c r="GBR44" s="1004"/>
      <c r="GBS44" s="1004"/>
      <c r="GBT44" s="1004"/>
      <c r="GBU44" s="1004"/>
      <c r="GBV44" s="1004"/>
      <c r="GBW44" s="1004"/>
      <c r="GBX44" s="1004"/>
      <c r="GBY44" s="1004"/>
      <c r="GBZ44" s="1004"/>
      <c r="GCA44" s="1004"/>
      <c r="GCB44" s="1004"/>
      <c r="GCC44" s="1004"/>
      <c r="GCD44" s="1004"/>
      <c r="GCE44" s="1004"/>
      <c r="GCF44" s="1004"/>
      <c r="GCG44" s="1004"/>
      <c r="GCH44" s="1004"/>
      <c r="GCI44" s="1004"/>
      <c r="GCJ44" s="1004"/>
      <c r="GCK44" s="1004"/>
      <c r="GCL44" s="1004"/>
      <c r="GCM44" s="1004"/>
      <c r="GCN44" s="1004"/>
      <c r="GCO44" s="1004"/>
      <c r="GCP44" s="1004"/>
      <c r="GCQ44" s="1004"/>
      <c r="GCR44" s="1004"/>
      <c r="GCS44" s="1004"/>
      <c r="GCT44" s="1004"/>
      <c r="GCU44" s="1004"/>
      <c r="GCV44" s="1004"/>
      <c r="GCW44" s="1004"/>
      <c r="GCX44" s="1004"/>
      <c r="GCY44" s="1004"/>
      <c r="GCZ44" s="1004"/>
      <c r="GDA44" s="1004"/>
      <c r="GDB44" s="1004"/>
      <c r="GDC44" s="1004"/>
      <c r="GDD44" s="1004"/>
      <c r="GDE44" s="1004"/>
      <c r="GDF44" s="1004"/>
      <c r="GDG44" s="1004"/>
      <c r="GDH44" s="1004"/>
      <c r="GDI44" s="1004"/>
      <c r="GDJ44" s="1004"/>
      <c r="GDK44" s="1004"/>
      <c r="GDL44" s="1004"/>
      <c r="GDM44" s="1004"/>
      <c r="GDN44" s="1004"/>
      <c r="GDO44" s="1004"/>
      <c r="GDP44" s="1004"/>
      <c r="GDQ44" s="1004"/>
      <c r="GDR44" s="1004"/>
      <c r="GDS44" s="1004"/>
      <c r="GDT44" s="1004"/>
      <c r="GDU44" s="1004"/>
      <c r="GDV44" s="1004"/>
      <c r="GDW44" s="1004"/>
      <c r="GDX44" s="1004"/>
      <c r="GDY44" s="1004"/>
      <c r="GDZ44" s="1004"/>
      <c r="GEA44" s="1004"/>
      <c r="GEB44" s="1004"/>
      <c r="GEC44" s="1004"/>
      <c r="GED44" s="1004"/>
      <c r="GEE44" s="1004"/>
      <c r="GEF44" s="1004"/>
      <c r="GEG44" s="1004"/>
      <c r="GEH44" s="1004"/>
      <c r="GEI44" s="1004"/>
      <c r="GEJ44" s="1004"/>
      <c r="GEK44" s="1004"/>
      <c r="GEL44" s="1004"/>
      <c r="GEM44" s="1004"/>
      <c r="GEN44" s="1004"/>
      <c r="GEO44" s="1004"/>
      <c r="GEP44" s="1004"/>
      <c r="GEQ44" s="1004"/>
      <c r="GER44" s="1004"/>
      <c r="GES44" s="1004"/>
      <c r="GET44" s="1004"/>
      <c r="GEU44" s="1004"/>
      <c r="GEV44" s="1004"/>
      <c r="GEW44" s="1004"/>
      <c r="GEX44" s="1004"/>
      <c r="GEY44" s="1004"/>
      <c r="GEZ44" s="1004"/>
      <c r="GFA44" s="1004"/>
      <c r="GFB44" s="1004"/>
      <c r="GFC44" s="1004"/>
      <c r="GFD44" s="1004"/>
      <c r="GFE44" s="1004"/>
      <c r="GFF44" s="1004"/>
      <c r="GFG44" s="1004"/>
      <c r="GFH44" s="1004"/>
      <c r="GFI44" s="1004"/>
      <c r="GFJ44" s="1004"/>
      <c r="GFK44" s="1004"/>
      <c r="GFL44" s="1004"/>
      <c r="GFM44" s="1004"/>
      <c r="GFN44" s="1004"/>
      <c r="GFO44" s="1004"/>
      <c r="GFP44" s="1004"/>
      <c r="GFQ44" s="1004"/>
      <c r="GFR44" s="1004"/>
      <c r="GFS44" s="1004"/>
      <c r="GFT44" s="1004"/>
      <c r="GFU44" s="1004"/>
      <c r="GFV44" s="1004"/>
      <c r="GFW44" s="1004"/>
      <c r="GFX44" s="1004"/>
      <c r="GFY44" s="1004"/>
      <c r="GFZ44" s="1004"/>
      <c r="GGA44" s="1004"/>
      <c r="GGB44" s="1004"/>
      <c r="GGC44" s="1004"/>
      <c r="GGD44" s="1004"/>
      <c r="GGE44" s="1004"/>
      <c r="GGF44" s="1004"/>
      <c r="GGG44" s="1004"/>
      <c r="GGH44" s="1004"/>
      <c r="GGI44" s="1004"/>
      <c r="GGJ44" s="1004"/>
      <c r="GGK44" s="1004"/>
      <c r="GGL44" s="1004"/>
      <c r="GGM44" s="1004"/>
      <c r="GGN44" s="1004"/>
      <c r="GGO44" s="1004"/>
      <c r="GGP44" s="1004"/>
      <c r="GGQ44" s="1004"/>
      <c r="GGR44" s="1004"/>
      <c r="GGS44" s="1004"/>
      <c r="GGT44" s="1004"/>
      <c r="GGU44" s="1004"/>
      <c r="GGV44" s="1004"/>
      <c r="GGW44" s="1004"/>
      <c r="GGX44" s="1004"/>
      <c r="GGY44" s="1004"/>
      <c r="GGZ44" s="1004"/>
      <c r="GHA44" s="1004"/>
      <c r="GHB44" s="1004"/>
      <c r="GHC44" s="1004"/>
      <c r="GHD44" s="1004"/>
      <c r="GHE44" s="1004"/>
      <c r="GHF44" s="1004"/>
      <c r="GHG44" s="1004"/>
      <c r="GHH44" s="1004"/>
      <c r="GHI44" s="1004"/>
      <c r="GHJ44" s="1004"/>
      <c r="GHK44" s="1004"/>
      <c r="GHL44" s="1004"/>
      <c r="GHM44" s="1004"/>
      <c r="GHN44" s="1004"/>
      <c r="GHO44" s="1004"/>
      <c r="GHP44" s="1004"/>
      <c r="GHQ44" s="1004"/>
      <c r="GHR44" s="1004"/>
      <c r="GHS44" s="1004"/>
      <c r="GHT44" s="1004"/>
      <c r="GHU44" s="1004"/>
      <c r="GHV44" s="1004"/>
      <c r="GHW44" s="1004"/>
      <c r="GHX44" s="1004"/>
      <c r="GHY44" s="1004"/>
      <c r="GHZ44" s="1004"/>
      <c r="GIA44" s="1004"/>
      <c r="GIB44" s="1004"/>
      <c r="GIC44" s="1004"/>
      <c r="GID44" s="1004"/>
      <c r="GIE44" s="1004"/>
      <c r="GIF44" s="1004"/>
      <c r="GIG44" s="1004"/>
      <c r="GIH44" s="1004"/>
      <c r="GII44" s="1004"/>
      <c r="GIJ44" s="1004"/>
      <c r="GIK44" s="1004"/>
      <c r="GIL44" s="1004"/>
      <c r="GIM44" s="1004"/>
      <c r="GIN44" s="1004"/>
      <c r="GIO44" s="1004"/>
      <c r="GIP44" s="1004"/>
      <c r="GIQ44" s="1004"/>
      <c r="GIR44" s="1004"/>
      <c r="GIS44" s="1004"/>
      <c r="GIT44" s="1004"/>
      <c r="GIU44" s="1004"/>
      <c r="GIV44" s="1004"/>
      <c r="GIW44" s="1004"/>
      <c r="GIX44" s="1004"/>
      <c r="GIY44" s="1004"/>
      <c r="GIZ44" s="1004"/>
      <c r="GJA44" s="1004"/>
      <c r="GJB44" s="1004"/>
      <c r="GJC44" s="1004"/>
      <c r="GJD44" s="1004"/>
      <c r="GJE44" s="1004"/>
      <c r="GJF44" s="1004"/>
      <c r="GJG44" s="1004"/>
      <c r="GJH44" s="1004"/>
      <c r="GJI44" s="1004"/>
      <c r="GJJ44" s="1004"/>
      <c r="GJK44" s="1004"/>
      <c r="GJL44" s="1004"/>
      <c r="GJM44" s="1004"/>
      <c r="GJN44" s="1004"/>
      <c r="GJO44" s="1004"/>
      <c r="GJP44" s="1004"/>
      <c r="GJQ44" s="1004"/>
      <c r="GJR44" s="1004"/>
      <c r="GJS44" s="1004"/>
      <c r="GJT44" s="1004"/>
      <c r="GJU44" s="1004"/>
      <c r="GJV44" s="1004"/>
      <c r="GJW44" s="1004"/>
      <c r="GJX44" s="1004"/>
      <c r="GJY44" s="1004"/>
      <c r="GJZ44" s="1004"/>
      <c r="GKA44" s="1004"/>
      <c r="GKB44" s="1004"/>
      <c r="GKC44" s="1004"/>
      <c r="GKD44" s="1004"/>
      <c r="GKE44" s="1004"/>
      <c r="GKF44" s="1004"/>
      <c r="GKG44" s="1004"/>
      <c r="GKH44" s="1004"/>
      <c r="GKI44" s="1004"/>
      <c r="GKJ44" s="1004"/>
      <c r="GKK44" s="1004"/>
      <c r="GKL44" s="1004"/>
      <c r="GKM44" s="1004"/>
      <c r="GKN44" s="1004"/>
      <c r="GKO44" s="1004"/>
      <c r="GKP44" s="1004"/>
      <c r="GKQ44" s="1004"/>
      <c r="GKR44" s="1004"/>
      <c r="GKS44" s="1004"/>
      <c r="GKT44" s="1004"/>
      <c r="GKU44" s="1004"/>
      <c r="GKV44" s="1004"/>
      <c r="GKW44" s="1004"/>
      <c r="GKX44" s="1004"/>
      <c r="GKY44" s="1004"/>
      <c r="GKZ44" s="1004"/>
      <c r="GLA44" s="1004"/>
      <c r="GLB44" s="1004"/>
      <c r="GLC44" s="1004"/>
      <c r="GLD44" s="1004"/>
      <c r="GLE44" s="1004"/>
      <c r="GLF44" s="1004"/>
      <c r="GLG44" s="1004"/>
      <c r="GLH44" s="1004"/>
      <c r="GLI44" s="1004"/>
      <c r="GLJ44" s="1004"/>
      <c r="GLK44" s="1004"/>
      <c r="GLL44" s="1004"/>
      <c r="GLM44" s="1004"/>
      <c r="GLN44" s="1004"/>
      <c r="GLO44" s="1004"/>
      <c r="GLP44" s="1004"/>
      <c r="GLQ44" s="1004"/>
      <c r="GLR44" s="1004"/>
      <c r="GLS44" s="1004"/>
      <c r="GLT44" s="1004"/>
      <c r="GLU44" s="1004"/>
      <c r="GLV44" s="1004"/>
      <c r="GLW44" s="1004"/>
      <c r="GLX44" s="1004"/>
      <c r="GLY44" s="1004"/>
      <c r="GLZ44" s="1004"/>
      <c r="GMA44" s="1004"/>
      <c r="GMB44" s="1004"/>
      <c r="GMC44" s="1004"/>
      <c r="GMD44" s="1004"/>
      <c r="GME44" s="1004"/>
      <c r="GMF44" s="1004"/>
      <c r="GMG44" s="1004"/>
      <c r="GMH44" s="1004"/>
      <c r="GMI44" s="1004"/>
      <c r="GMJ44" s="1004"/>
      <c r="GMK44" s="1004"/>
      <c r="GML44" s="1004"/>
      <c r="GMM44" s="1004"/>
      <c r="GMN44" s="1004"/>
      <c r="GMO44" s="1004"/>
      <c r="GMP44" s="1004"/>
      <c r="GMQ44" s="1004"/>
      <c r="GMR44" s="1004"/>
      <c r="GMS44" s="1004"/>
      <c r="GMT44" s="1004"/>
      <c r="GMU44" s="1004"/>
      <c r="GMV44" s="1004"/>
      <c r="GMW44" s="1004"/>
      <c r="GMX44" s="1004"/>
      <c r="GMY44" s="1004"/>
      <c r="GMZ44" s="1004"/>
      <c r="GNA44" s="1004"/>
      <c r="GNB44" s="1004"/>
      <c r="GNC44" s="1004"/>
      <c r="GND44" s="1004"/>
      <c r="GNE44" s="1004"/>
      <c r="GNF44" s="1004"/>
      <c r="GNG44" s="1004"/>
      <c r="GNH44" s="1004"/>
      <c r="GNI44" s="1004"/>
      <c r="GNJ44" s="1004"/>
      <c r="GNK44" s="1004"/>
      <c r="GNL44" s="1004"/>
      <c r="GNM44" s="1004"/>
      <c r="GNN44" s="1004"/>
      <c r="GNO44" s="1004"/>
      <c r="GNP44" s="1004"/>
      <c r="GNQ44" s="1004"/>
      <c r="GNR44" s="1004"/>
      <c r="GNS44" s="1004"/>
      <c r="GNT44" s="1004"/>
      <c r="GNU44" s="1004"/>
      <c r="GNV44" s="1004"/>
      <c r="GNW44" s="1004"/>
      <c r="GNX44" s="1004"/>
      <c r="GNY44" s="1004"/>
      <c r="GNZ44" s="1004"/>
      <c r="GOA44" s="1004"/>
      <c r="GOB44" s="1004"/>
      <c r="GOC44" s="1004"/>
      <c r="GOD44" s="1004"/>
      <c r="GOE44" s="1004"/>
      <c r="GOF44" s="1004"/>
      <c r="GOG44" s="1004"/>
      <c r="GOH44" s="1004"/>
      <c r="GOI44" s="1004"/>
      <c r="GOJ44" s="1004"/>
      <c r="GOK44" s="1004"/>
      <c r="GOL44" s="1004"/>
      <c r="GOM44" s="1004"/>
      <c r="GON44" s="1004"/>
      <c r="GOO44" s="1004"/>
      <c r="GOP44" s="1004"/>
      <c r="GOQ44" s="1004"/>
      <c r="GOR44" s="1004"/>
      <c r="GOS44" s="1004"/>
      <c r="GOT44" s="1004"/>
      <c r="GOU44" s="1004"/>
      <c r="GOV44" s="1004"/>
      <c r="GOW44" s="1004"/>
      <c r="GOX44" s="1004"/>
      <c r="GOY44" s="1004"/>
      <c r="GOZ44" s="1004"/>
      <c r="GPA44" s="1004"/>
      <c r="GPB44" s="1004"/>
      <c r="GPC44" s="1004"/>
      <c r="GPD44" s="1004"/>
      <c r="GPE44" s="1004"/>
      <c r="GPF44" s="1004"/>
      <c r="GPG44" s="1004"/>
      <c r="GPH44" s="1004"/>
      <c r="GPI44" s="1004"/>
      <c r="GPJ44" s="1004"/>
      <c r="GPK44" s="1004"/>
      <c r="GPL44" s="1004"/>
      <c r="GPM44" s="1004"/>
      <c r="GPN44" s="1004"/>
      <c r="GPO44" s="1004"/>
      <c r="GPP44" s="1004"/>
      <c r="GPQ44" s="1004"/>
      <c r="GPR44" s="1004"/>
      <c r="GPS44" s="1004"/>
      <c r="GPT44" s="1004"/>
      <c r="GPU44" s="1004"/>
      <c r="GPV44" s="1004"/>
      <c r="GPW44" s="1004"/>
      <c r="GPX44" s="1004"/>
      <c r="GPY44" s="1004"/>
      <c r="GPZ44" s="1004"/>
      <c r="GQA44" s="1004"/>
      <c r="GQB44" s="1004"/>
      <c r="GQC44" s="1004"/>
      <c r="GQD44" s="1004"/>
      <c r="GQE44" s="1004"/>
      <c r="GQF44" s="1004"/>
      <c r="GQG44" s="1004"/>
      <c r="GQH44" s="1004"/>
      <c r="GQI44" s="1004"/>
      <c r="GQJ44" s="1004"/>
      <c r="GQK44" s="1004"/>
      <c r="GQL44" s="1004"/>
      <c r="GQM44" s="1004"/>
      <c r="GQN44" s="1004"/>
      <c r="GQO44" s="1004"/>
      <c r="GQP44" s="1004"/>
      <c r="GQQ44" s="1004"/>
      <c r="GQR44" s="1004"/>
      <c r="GQS44" s="1004"/>
      <c r="GQT44" s="1004"/>
      <c r="GQU44" s="1004"/>
      <c r="GQV44" s="1004"/>
      <c r="GQW44" s="1004"/>
      <c r="GQX44" s="1004"/>
      <c r="GQY44" s="1004"/>
      <c r="GQZ44" s="1004"/>
      <c r="GRA44" s="1004"/>
      <c r="GRB44" s="1004"/>
      <c r="GRC44" s="1004"/>
      <c r="GRD44" s="1004"/>
      <c r="GRE44" s="1004"/>
      <c r="GRF44" s="1004"/>
      <c r="GRG44" s="1004"/>
      <c r="GRH44" s="1004"/>
      <c r="GRI44" s="1004"/>
      <c r="GRJ44" s="1004"/>
      <c r="GRK44" s="1004"/>
      <c r="GRL44" s="1004"/>
      <c r="GRM44" s="1004"/>
      <c r="GRN44" s="1004"/>
      <c r="GRO44" s="1004"/>
      <c r="GRP44" s="1004"/>
      <c r="GRQ44" s="1004"/>
      <c r="GRR44" s="1004"/>
      <c r="GRS44" s="1004"/>
      <c r="GRT44" s="1004"/>
      <c r="GRU44" s="1004"/>
      <c r="GRV44" s="1004"/>
      <c r="GRW44" s="1004"/>
      <c r="GRX44" s="1004"/>
      <c r="GRY44" s="1004"/>
      <c r="GRZ44" s="1004"/>
      <c r="GSA44" s="1004"/>
      <c r="GSB44" s="1004"/>
      <c r="GSC44" s="1004"/>
      <c r="GSD44" s="1004"/>
      <c r="GSE44" s="1004"/>
      <c r="GSF44" s="1004"/>
      <c r="GSG44" s="1004"/>
      <c r="GSH44" s="1004"/>
      <c r="GSI44" s="1004"/>
      <c r="GSJ44" s="1004"/>
      <c r="GSK44" s="1004"/>
      <c r="GSL44" s="1004"/>
      <c r="GSM44" s="1004"/>
      <c r="GSN44" s="1004"/>
      <c r="GSO44" s="1004"/>
      <c r="GSP44" s="1004"/>
      <c r="GSQ44" s="1004"/>
      <c r="GSR44" s="1004"/>
      <c r="GSS44" s="1004"/>
      <c r="GST44" s="1004"/>
      <c r="GSU44" s="1004"/>
      <c r="GSV44" s="1004"/>
      <c r="GSW44" s="1004"/>
      <c r="GSX44" s="1004"/>
      <c r="GSY44" s="1004"/>
      <c r="GSZ44" s="1004"/>
      <c r="GTA44" s="1004"/>
      <c r="GTB44" s="1004"/>
      <c r="GTC44" s="1004"/>
      <c r="GTD44" s="1004"/>
      <c r="GTE44" s="1004"/>
      <c r="GTF44" s="1004"/>
      <c r="GTG44" s="1004"/>
      <c r="GTH44" s="1004"/>
      <c r="GTI44" s="1004"/>
      <c r="GTJ44" s="1004"/>
      <c r="GTK44" s="1004"/>
      <c r="GTL44" s="1004"/>
      <c r="GTM44" s="1004"/>
      <c r="GTN44" s="1004"/>
      <c r="GTO44" s="1004"/>
      <c r="GTP44" s="1004"/>
      <c r="GTQ44" s="1004"/>
      <c r="GTR44" s="1004"/>
      <c r="GTS44" s="1004"/>
      <c r="GTT44" s="1004"/>
      <c r="GTU44" s="1004"/>
      <c r="GTV44" s="1004"/>
      <c r="GTW44" s="1004"/>
      <c r="GTX44" s="1004"/>
      <c r="GTY44" s="1004"/>
      <c r="GTZ44" s="1004"/>
      <c r="GUA44" s="1004"/>
      <c r="GUB44" s="1004"/>
      <c r="GUC44" s="1004"/>
      <c r="GUD44" s="1004"/>
      <c r="GUE44" s="1004"/>
      <c r="GUF44" s="1004"/>
      <c r="GUG44" s="1004"/>
      <c r="GUH44" s="1004"/>
      <c r="GUI44" s="1004"/>
      <c r="GUJ44" s="1004"/>
      <c r="GUK44" s="1004"/>
      <c r="GUL44" s="1004"/>
      <c r="GUM44" s="1004"/>
      <c r="GUN44" s="1004"/>
      <c r="GUO44" s="1004"/>
      <c r="GUP44" s="1004"/>
      <c r="GUQ44" s="1004"/>
      <c r="GUR44" s="1004"/>
      <c r="GUS44" s="1004"/>
      <c r="GUT44" s="1004"/>
      <c r="GUU44" s="1004"/>
      <c r="GUV44" s="1004"/>
      <c r="GUW44" s="1004"/>
      <c r="GUX44" s="1004"/>
      <c r="GUY44" s="1004"/>
      <c r="GUZ44" s="1004"/>
      <c r="GVA44" s="1004"/>
      <c r="GVB44" s="1004"/>
      <c r="GVC44" s="1004"/>
      <c r="GVD44" s="1004"/>
      <c r="GVE44" s="1004"/>
      <c r="GVF44" s="1004"/>
      <c r="GVG44" s="1004"/>
      <c r="GVH44" s="1004"/>
      <c r="GVI44" s="1004"/>
      <c r="GVJ44" s="1004"/>
      <c r="GVK44" s="1004"/>
      <c r="GVL44" s="1004"/>
      <c r="GVM44" s="1004"/>
      <c r="GVN44" s="1004"/>
      <c r="GVO44" s="1004"/>
      <c r="GVP44" s="1004"/>
      <c r="GVQ44" s="1004"/>
      <c r="GVR44" s="1004"/>
      <c r="GVS44" s="1004"/>
      <c r="GVT44" s="1004"/>
      <c r="GVU44" s="1004"/>
      <c r="GVV44" s="1004"/>
      <c r="GVW44" s="1004"/>
      <c r="GVX44" s="1004"/>
      <c r="GVY44" s="1004"/>
      <c r="GVZ44" s="1004"/>
      <c r="GWA44" s="1004"/>
      <c r="GWB44" s="1004"/>
      <c r="GWC44" s="1004"/>
      <c r="GWD44" s="1004"/>
      <c r="GWE44" s="1004"/>
      <c r="GWF44" s="1004"/>
      <c r="GWG44" s="1004"/>
      <c r="GWH44" s="1004"/>
      <c r="GWI44" s="1004"/>
      <c r="GWJ44" s="1004"/>
      <c r="GWK44" s="1004"/>
      <c r="GWL44" s="1004"/>
      <c r="GWM44" s="1004"/>
      <c r="GWN44" s="1004"/>
      <c r="GWO44" s="1004"/>
      <c r="GWP44" s="1004"/>
      <c r="GWQ44" s="1004"/>
      <c r="GWR44" s="1004"/>
      <c r="GWS44" s="1004"/>
      <c r="GWT44" s="1004"/>
      <c r="GWU44" s="1004"/>
      <c r="GWV44" s="1004"/>
      <c r="GWW44" s="1004"/>
      <c r="GWX44" s="1004"/>
      <c r="GWY44" s="1004"/>
      <c r="GWZ44" s="1004"/>
      <c r="GXA44" s="1004"/>
      <c r="GXB44" s="1004"/>
      <c r="GXC44" s="1004"/>
      <c r="GXD44" s="1004"/>
      <c r="GXE44" s="1004"/>
      <c r="GXF44" s="1004"/>
      <c r="GXG44" s="1004"/>
      <c r="GXH44" s="1004"/>
      <c r="GXI44" s="1004"/>
      <c r="GXJ44" s="1004"/>
      <c r="GXK44" s="1004"/>
      <c r="GXL44" s="1004"/>
      <c r="GXM44" s="1004"/>
      <c r="GXN44" s="1004"/>
      <c r="GXO44" s="1004"/>
      <c r="GXP44" s="1004"/>
      <c r="GXQ44" s="1004"/>
      <c r="GXR44" s="1004"/>
      <c r="GXS44" s="1004"/>
      <c r="GXT44" s="1004"/>
      <c r="GXU44" s="1004"/>
      <c r="GXV44" s="1004"/>
      <c r="GXW44" s="1004"/>
      <c r="GXX44" s="1004"/>
      <c r="GXY44" s="1004"/>
      <c r="GXZ44" s="1004"/>
      <c r="GYA44" s="1004"/>
      <c r="GYB44" s="1004"/>
      <c r="GYC44" s="1004"/>
      <c r="GYD44" s="1004"/>
      <c r="GYE44" s="1004"/>
      <c r="GYF44" s="1004"/>
      <c r="GYG44" s="1004"/>
      <c r="GYH44" s="1004"/>
      <c r="GYI44" s="1004"/>
      <c r="GYJ44" s="1004"/>
      <c r="GYK44" s="1004"/>
      <c r="GYL44" s="1004"/>
      <c r="GYM44" s="1004"/>
      <c r="GYN44" s="1004"/>
      <c r="GYO44" s="1004"/>
      <c r="GYP44" s="1004"/>
      <c r="GYQ44" s="1004"/>
      <c r="GYR44" s="1004"/>
      <c r="GYS44" s="1004"/>
      <c r="GYT44" s="1004"/>
      <c r="GYU44" s="1004"/>
      <c r="GYV44" s="1004"/>
      <c r="GYW44" s="1004"/>
      <c r="GYX44" s="1004"/>
      <c r="GYY44" s="1004"/>
      <c r="GYZ44" s="1004"/>
      <c r="GZA44" s="1004"/>
      <c r="GZB44" s="1004"/>
      <c r="GZC44" s="1004"/>
      <c r="GZD44" s="1004"/>
      <c r="GZE44" s="1004"/>
      <c r="GZF44" s="1004"/>
      <c r="GZG44" s="1004"/>
      <c r="GZH44" s="1004"/>
      <c r="GZI44" s="1004"/>
      <c r="GZJ44" s="1004"/>
      <c r="GZK44" s="1004"/>
      <c r="GZL44" s="1004"/>
      <c r="GZM44" s="1004"/>
      <c r="GZN44" s="1004"/>
      <c r="GZO44" s="1004"/>
      <c r="GZP44" s="1004"/>
      <c r="GZQ44" s="1004"/>
      <c r="GZR44" s="1004"/>
      <c r="GZS44" s="1004"/>
      <c r="GZT44" s="1004"/>
      <c r="GZU44" s="1004"/>
      <c r="GZV44" s="1004"/>
      <c r="GZW44" s="1004"/>
      <c r="GZX44" s="1004"/>
      <c r="GZY44" s="1004"/>
      <c r="GZZ44" s="1004"/>
      <c r="HAA44" s="1004"/>
      <c r="HAB44" s="1004"/>
      <c r="HAC44" s="1004"/>
      <c r="HAD44" s="1004"/>
      <c r="HAE44" s="1004"/>
      <c r="HAF44" s="1004"/>
      <c r="HAG44" s="1004"/>
      <c r="HAH44" s="1004"/>
      <c r="HAI44" s="1004"/>
      <c r="HAJ44" s="1004"/>
      <c r="HAK44" s="1004"/>
      <c r="HAL44" s="1004"/>
      <c r="HAM44" s="1004"/>
      <c r="HAN44" s="1004"/>
      <c r="HAO44" s="1004"/>
      <c r="HAP44" s="1004"/>
      <c r="HAQ44" s="1004"/>
      <c r="HAR44" s="1004"/>
      <c r="HAS44" s="1004"/>
      <c r="HAT44" s="1004"/>
      <c r="HAU44" s="1004"/>
      <c r="HAV44" s="1004"/>
      <c r="HAW44" s="1004"/>
      <c r="HAX44" s="1004"/>
      <c r="HAY44" s="1004"/>
      <c r="HAZ44" s="1004"/>
      <c r="HBA44" s="1004"/>
      <c r="HBB44" s="1004"/>
      <c r="HBC44" s="1004"/>
      <c r="HBD44" s="1004"/>
      <c r="HBE44" s="1004"/>
      <c r="HBF44" s="1004"/>
      <c r="HBG44" s="1004"/>
      <c r="HBH44" s="1004"/>
      <c r="HBI44" s="1004"/>
      <c r="HBJ44" s="1004"/>
      <c r="HBK44" s="1004"/>
      <c r="HBL44" s="1004"/>
      <c r="HBM44" s="1004"/>
      <c r="HBN44" s="1004"/>
      <c r="HBO44" s="1004"/>
      <c r="HBP44" s="1004"/>
      <c r="HBQ44" s="1004"/>
      <c r="HBR44" s="1004"/>
      <c r="HBS44" s="1004"/>
      <c r="HBT44" s="1004"/>
      <c r="HBU44" s="1004"/>
      <c r="HBV44" s="1004"/>
      <c r="HBW44" s="1004"/>
      <c r="HBX44" s="1004"/>
      <c r="HBY44" s="1004"/>
      <c r="HBZ44" s="1004"/>
      <c r="HCA44" s="1004"/>
      <c r="HCB44" s="1004"/>
      <c r="HCC44" s="1004"/>
      <c r="HCD44" s="1004"/>
      <c r="HCE44" s="1004"/>
      <c r="HCF44" s="1004"/>
      <c r="HCG44" s="1004"/>
      <c r="HCH44" s="1004"/>
      <c r="HCI44" s="1004"/>
      <c r="HCJ44" s="1004"/>
      <c r="HCK44" s="1004"/>
      <c r="HCL44" s="1004"/>
      <c r="HCM44" s="1004"/>
      <c r="HCN44" s="1004"/>
      <c r="HCO44" s="1004"/>
      <c r="HCP44" s="1004"/>
      <c r="HCQ44" s="1004"/>
      <c r="HCR44" s="1004"/>
      <c r="HCS44" s="1004"/>
      <c r="HCT44" s="1004"/>
      <c r="HCU44" s="1004"/>
      <c r="HCV44" s="1004"/>
      <c r="HCW44" s="1004"/>
      <c r="HCX44" s="1004"/>
      <c r="HCY44" s="1004"/>
      <c r="HCZ44" s="1004"/>
      <c r="HDA44" s="1004"/>
      <c r="HDB44" s="1004"/>
      <c r="HDC44" s="1004"/>
      <c r="HDD44" s="1004"/>
      <c r="HDE44" s="1004"/>
      <c r="HDF44" s="1004"/>
      <c r="HDG44" s="1004"/>
      <c r="HDH44" s="1004"/>
      <c r="HDI44" s="1004"/>
      <c r="HDJ44" s="1004"/>
      <c r="HDK44" s="1004"/>
      <c r="HDL44" s="1004"/>
      <c r="HDM44" s="1004"/>
      <c r="HDN44" s="1004"/>
      <c r="HDO44" s="1004"/>
      <c r="HDP44" s="1004"/>
      <c r="HDQ44" s="1004"/>
      <c r="HDR44" s="1004"/>
      <c r="HDS44" s="1004"/>
      <c r="HDT44" s="1004"/>
      <c r="HDU44" s="1004"/>
      <c r="HDV44" s="1004"/>
      <c r="HDW44" s="1004"/>
      <c r="HDX44" s="1004"/>
      <c r="HDY44" s="1004"/>
      <c r="HDZ44" s="1004"/>
      <c r="HEA44" s="1004"/>
      <c r="HEB44" s="1004"/>
      <c r="HEC44" s="1004"/>
      <c r="HED44" s="1004"/>
      <c r="HEE44" s="1004"/>
      <c r="HEF44" s="1004"/>
      <c r="HEG44" s="1004"/>
      <c r="HEH44" s="1004"/>
      <c r="HEI44" s="1004"/>
      <c r="HEJ44" s="1004"/>
      <c r="HEK44" s="1004"/>
      <c r="HEL44" s="1004"/>
      <c r="HEM44" s="1004"/>
      <c r="HEN44" s="1004"/>
      <c r="HEO44" s="1004"/>
      <c r="HEP44" s="1004"/>
      <c r="HEQ44" s="1004"/>
      <c r="HER44" s="1004"/>
      <c r="HES44" s="1004"/>
      <c r="HET44" s="1004"/>
      <c r="HEU44" s="1004"/>
      <c r="HEV44" s="1004"/>
      <c r="HEW44" s="1004"/>
      <c r="HEX44" s="1004"/>
      <c r="HEY44" s="1004"/>
      <c r="HEZ44" s="1004"/>
      <c r="HFA44" s="1004"/>
      <c r="HFB44" s="1004"/>
      <c r="HFC44" s="1004"/>
      <c r="HFD44" s="1004"/>
      <c r="HFE44" s="1004"/>
      <c r="HFF44" s="1004"/>
      <c r="HFG44" s="1004"/>
      <c r="HFH44" s="1004"/>
      <c r="HFI44" s="1004"/>
      <c r="HFJ44" s="1004"/>
      <c r="HFK44" s="1004"/>
      <c r="HFL44" s="1004"/>
      <c r="HFM44" s="1004"/>
      <c r="HFN44" s="1004"/>
      <c r="HFO44" s="1004"/>
      <c r="HFP44" s="1004"/>
      <c r="HFQ44" s="1004"/>
      <c r="HFR44" s="1004"/>
      <c r="HFS44" s="1004"/>
      <c r="HFT44" s="1004"/>
      <c r="HFU44" s="1004"/>
      <c r="HFV44" s="1004"/>
      <c r="HFW44" s="1004"/>
      <c r="HFX44" s="1004"/>
      <c r="HFY44" s="1004"/>
      <c r="HFZ44" s="1004"/>
      <c r="HGA44" s="1004"/>
      <c r="HGB44" s="1004"/>
      <c r="HGC44" s="1004"/>
      <c r="HGD44" s="1004"/>
      <c r="HGE44" s="1004"/>
      <c r="HGF44" s="1004"/>
      <c r="HGG44" s="1004"/>
      <c r="HGH44" s="1004"/>
      <c r="HGI44" s="1004"/>
      <c r="HGJ44" s="1004"/>
      <c r="HGK44" s="1004"/>
      <c r="HGL44" s="1004"/>
      <c r="HGM44" s="1004"/>
      <c r="HGN44" s="1004"/>
      <c r="HGO44" s="1004"/>
      <c r="HGP44" s="1004"/>
      <c r="HGQ44" s="1004"/>
      <c r="HGR44" s="1004"/>
      <c r="HGS44" s="1004"/>
      <c r="HGT44" s="1004"/>
      <c r="HGU44" s="1004"/>
      <c r="HGV44" s="1004"/>
      <c r="HGW44" s="1004"/>
      <c r="HGX44" s="1004"/>
      <c r="HGY44" s="1004"/>
      <c r="HGZ44" s="1004"/>
      <c r="HHA44" s="1004"/>
      <c r="HHB44" s="1004"/>
      <c r="HHC44" s="1004"/>
      <c r="HHD44" s="1004"/>
      <c r="HHE44" s="1004"/>
      <c r="HHF44" s="1004"/>
      <c r="HHG44" s="1004"/>
      <c r="HHH44" s="1004"/>
      <c r="HHI44" s="1004"/>
      <c r="HHJ44" s="1004"/>
      <c r="HHK44" s="1004"/>
      <c r="HHL44" s="1004"/>
      <c r="HHM44" s="1004"/>
      <c r="HHN44" s="1004"/>
      <c r="HHO44" s="1004"/>
      <c r="HHP44" s="1004"/>
      <c r="HHQ44" s="1004"/>
      <c r="HHR44" s="1004"/>
      <c r="HHS44" s="1004"/>
      <c r="HHT44" s="1004"/>
      <c r="HHU44" s="1004"/>
      <c r="HHV44" s="1004"/>
      <c r="HHW44" s="1004"/>
      <c r="HHX44" s="1004"/>
      <c r="HHY44" s="1004"/>
      <c r="HHZ44" s="1004"/>
      <c r="HIA44" s="1004"/>
      <c r="HIB44" s="1004"/>
      <c r="HIC44" s="1004"/>
      <c r="HID44" s="1004"/>
      <c r="HIE44" s="1004"/>
      <c r="HIF44" s="1004"/>
      <c r="HIG44" s="1004"/>
      <c r="HIH44" s="1004"/>
      <c r="HII44" s="1004"/>
      <c r="HIJ44" s="1004"/>
      <c r="HIK44" s="1004"/>
      <c r="HIL44" s="1004"/>
      <c r="HIM44" s="1004"/>
      <c r="HIN44" s="1004"/>
      <c r="HIO44" s="1004"/>
      <c r="HIP44" s="1004"/>
      <c r="HIQ44" s="1004"/>
      <c r="HIR44" s="1004"/>
      <c r="HIS44" s="1004"/>
      <c r="HIT44" s="1004"/>
      <c r="HIU44" s="1004"/>
      <c r="HIV44" s="1004"/>
      <c r="HIW44" s="1004"/>
      <c r="HIX44" s="1004"/>
      <c r="HIY44" s="1004"/>
      <c r="HIZ44" s="1004"/>
      <c r="HJA44" s="1004"/>
      <c r="HJB44" s="1004"/>
      <c r="HJC44" s="1004"/>
      <c r="HJD44" s="1004"/>
      <c r="HJE44" s="1004"/>
      <c r="HJF44" s="1004"/>
      <c r="HJG44" s="1004"/>
      <c r="HJH44" s="1004"/>
      <c r="HJI44" s="1004"/>
      <c r="HJJ44" s="1004"/>
      <c r="HJK44" s="1004"/>
      <c r="HJL44" s="1004"/>
      <c r="HJM44" s="1004"/>
      <c r="HJN44" s="1004"/>
      <c r="HJO44" s="1004"/>
      <c r="HJP44" s="1004"/>
      <c r="HJQ44" s="1004"/>
      <c r="HJR44" s="1004"/>
      <c r="HJS44" s="1004"/>
      <c r="HJT44" s="1004"/>
      <c r="HJU44" s="1004"/>
      <c r="HJV44" s="1004"/>
      <c r="HJW44" s="1004"/>
      <c r="HJX44" s="1004"/>
      <c r="HJY44" s="1004"/>
      <c r="HJZ44" s="1004"/>
      <c r="HKA44" s="1004"/>
      <c r="HKB44" s="1004"/>
      <c r="HKC44" s="1004"/>
      <c r="HKD44" s="1004"/>
      <c r="HKE44" s="1004"/>
      <c r="HKF44" s="1004"/>
      <c r="HKG44" s="1004"/>
      <c r="HKH44" s="1004"/>
      <c r="HKI44" s="1004"/>
      <c r="HKJ44" s="1004"/>
      <c r="HKK44" s="1004"/>
      <c r="HKL44" s="1004"/>
      <c r="HKM44" s="1004"/>
      <c r="HKN44" s="1004"/>
      <c r="HKO44" s="1004"/>
      <c r="HKP44" s="1004"/>
      <c r="HKQ44" s="1004"/>
      <c r="HKR44" s="1004"/>
      <c r="HKS44" s="1004"/>
      <c r="HKT44" s="1004"/>
      <c r="HKU44" s="1004"/>
      <c r="HKV44" s="1004"/>
      <c r="HKW44" s="1004"/>
      <c r="HKX44" s="1004"/>
      <c r="HKY44" s="1004"/>
      <c r="HKZ44" s="1004"/>
      <c r="HLA44" s="1004"/>
      <c r="HLB44" s="1004"/>
      <c r="HLC44" s="1004"/>
      <c r="HLD44" s="1004"/>
      <c r="HLE44" s="1004"/>
      <c r="HLF44" s="1004"/>
      <c r="HLG44" s="1004"/>
      <c r="HLH44" s="1004"/>
      <c r="HLI44" s="1004"/>
      <c r="HLJ44" s="1004"/>
      <c r="HLK44" s="1004"/>
      <c r="HLL44" s="1004"/>
      <c r="HLM44" s="1004"/>
      <c r="HLN44" s="1004"/>
      <c r="HLO44" s="1004"/>
      <c r="HLP44" s="1004"/>
      <c r="HLQ44" s="1004"/>
      <c r="HLR44" s="1004"/>
      <c r="HLS44" s="1004"/>
      <c r="HLT44" s="1004"/>
      <c r="HLU44" s="1004"/>
      <c r="HLV44" s="1004"/>
      <c r="HLW44" s="1004"/>
      <c r="HLX44" s="1004"/>
      <c r="HLY44" s="1004"/>
      <c r="HLZ44" s="1004"/>
      <c r="HMA44" s="1004"/>
      <c r="HMB44" s="1004"/>
      <c r="HMC44" s="1004"/>
      <c r="HMD44" s="1004"/>
      <c r="HME44" s="1004"/>
      <c r="HMF44" s="1004"/>
      <c r="HMG44" s="1004"/>
      <c r="HMH44" s="1004"/>
      <c r="HMI44" s="1004"/>
      <c r="HMJ44" s="1004"/>
      <c r="HMK44" s="1004"/>
      <c r="HML44" s="1004"/>
      <c r="HMM44" s="1004"/>
      <c r="HMN44" s="1004"/>
      <c r="HMO44" s="1004"/>
      <c r="HMP44" s="1004"/>
      <c r="HMQ44" s="1004"/>
      <c r="HMR44" s="1004"/>
      <c r="HMS44" s="1004"/>
      <c r="HMT44" s="1004"/>
      <c r="HMU44" s="1004"/>
      <c r="HMV44" s="1004"/>
      <c r="HMW44" s="1004"/>
      <c r="HMX44" s="1004"/>
      <c r="HMY44" s="1004"/>
      <c r="HMZ44" s="1004"/>
      <c r="HNA44" s="1004"/>
      <c r="HNB44" s="1004"/>
      <c r="HNC44" s="1004"/>
      <c r="HND44" s="1004"/>
      <c r="HNE44" s="1004"/>
      <c r="HNF44" s="1004"/>
      <c r="HNG44" s="1004"/>
      <c r="HNH44" s="1004"/>
      <c r="HNI44" s="1004"/>
      <c r="HNJ44" s="1004"/>
      <c r="HNK44" s="1004"/>
      <c r="HNL44" s="1004"/>
      <c r="HNM44" s="1004"/>
      <c r="HNN44" s="1004"/>
      <c r="HNO44" s="1004"/>
      <c r="HNP44" s="1004"/>
      <c r="HNQ44" s="1004"/>
      <c r="HNR44" s="1004"/>
      <c r="HNS44" s="1004"/>
      <c r="HNT44" s="1004"/>
      <c r="HNU44" s="1004"/>
      <c r="HNV44" s="1004"/>
      <c r="HNW44" s="1004"/>
      <c r="HNX44" s="1004"/>
      <c r="HNY44" s="1004"/>
      <c r="HNZ44" s="1004"/>
      <c r="HOA44" s="1004"/>
      <c r="HOB44" s="1004"/>
      <c r="HOC44" s="1004"/>
      <c r="HOD44" s="1004"/>
      <c r="HOE44" s="1004"/>
      <c r="HOF44" s="1004"/>
      <c r="HOG44" s="1004"/>
      <c r="HOH44" s="1004"/>
      <c r="HOI44" s="1004"/>
      <c r="HOJ44" s="1004"/>
      <c r="HOK44" s="1004"/>
      <c r="HOL44" s="1004"/>
      <c r="HOM44" s="1004"/>
      <c r="HON44" s="1004"/>
      <c r="HOO44" s="1004"/>
      <c r="HOP44" s="1004"/>
      <c r="HOQ44" s="1004"/>
      <c r="HOR44" s="1004"/>
      <c r="HOS44" s="1004"/>
      <c r="HOT44" s="1004"/>
      <c r="HOU44" s="1004"/>
      <c r="HOV44" s="1004"/>
      <c r="HOW44" s="1004"/>
      <c r="HOX44" s="1004"/>
      <c r="HOY44" s="1004"/>
      <c r="HOZ44" s="1004"/>
      <c r="HPA44" s="1004"/>
      <c r="HPB44" s="1004"/>
      <c r="HPC44" s="1004"/>
      <c r="HPD44" s="1004"/>
      <c r="HPE44" s="1004"/>
      <c r="HPF44" s="1004"/>
      <c r="HPG44" s="1004"/>
      <c r="HPH44" s="1004"/>
      <c r="HPI44" s="1004"/>
      <c r="HPJ44" s="1004"/>
      <c r="HPK44" s="1004"/>
      <c r="HPL44" s="1004"/>
      <c r="HPM44" s="1004"/>
      <c r="HPN44" s="1004"/>
      <c r="HPO44" s="1004"/>
      <c r="HPP44" s="1004"/>
      <c r="HPQ44" s="1004"/>
      <c r="HPR44" s="1004"/>
      <c r="HPS44" s="1004"/>
      <c r="HPT44" s="1004"/>
      <c r="HPU44" s="1004"/>
      <c r="HPV44" s="1004"/>
      <c r="HPW44" s="1004"/>
      <c r="HPX44" s="1004"/>
      <c r="HPY44" s="1004"/>
      <c r="HPZ44" s="1004"/>
      <c r="HQA44" s="1004"/>
      <c r="HQB44" s="1004"/>
      <c r="HQC44" s="1004"/>
      <c r="HQD44" s="1004"/>
      <c r="HQE44" s="1004"/>
      <c r="HQF44" s="1004"/>
      <c r="HQG44" s="1004"/>
      <c r="HQH44" s="1004"/>
      <c r="HQI44" s="1004"/>
      <c r="HQJ44" s="1004"/>
      <c r="HQK44" s="1004"/>
      <c r="HQL44" s="1004"/>
      <c r="HQM44" s="1004"/>
      <c r="HQN44" s="1004"/>
      <c r="HQO44" s="1004"/>
      <c r="HQP44" s="1004"/>
      <c r="HQQ44" s="1004"/>
      <c r="HQR44" s="1004"/>
      <c r="HQS44" s="1004"/>
      <c r="HQT44" s="1004"/>
      <c r="HQU44" s="1004"/>
      <c r="HQV44" s="1004"/>
      <c r="HQW44" s="1004"/>
      <c r="HQX44" s="1004"/>
      <c r="HQY44" s="1004"/>
      <c r="HQZ44" s="1004"/>
      <c r="HRA44" s="1004"/>
      <c r="HRB44" s="1004"/>
      <c r="HRC44" s="1004"/>
      <c r="HRD44" s="1004"/>
      <c r="HRE44" s="1004"/>
      <c r="HRF44" s="1004"/>
      <c r="HRG44" s="1004"/>
      <c r="HRH44" s="1004"/>
      <c r="HRI44" s="1004"/>
      <c r="HRJ44" s="1004"/>
      <c r="HRK44" s="1004"/>
      <c r="HRL44" s="1004"/>
      <c r="HRM44" s="1004"/>
      <c r="HRN44" s="1004"/>
      <c r="HRO44" s="1004"/>
      <c r="HRP44" s="1004"/>
      <c r="HRQ44" s="1004"/>
      <c r="HRR44" s="1004"/>
      <c r="HRS44" s="1004"/>
      <c r="HRT44" s="1004"/>
      <c r="HRU44" s="1004"/>
      <c r="HRV44" s="1004"/>
      <c r="HRW44" s="1004"/>
      <c r="HRX44" s="1004"/>
      <c r="HRY44" s="1004"/>
      <c r="HRZ44" s="1004"/>
      <c r="HSA44" s="1004"/>
      <c r="HSB44" s="1004"/>
      <c r="HSC44" s="1004"/>
      <c r="HSD44" s="1004"/>
      <c r="HSE44" s="1004"/>
      <c r="HSF44" s="1004"/>
      <c r="HSG44" s="1004"/>
      <c r="HSH44" s="1004"/>
      <c r="HSI44" s="1004"/>
      <c r="HSJ44" s="1004"/>
      <c r="HSK44" s="1004"/>
      <c r="HSL44" s="1004"/>
      <c r="HSM44" s="1004"/>
      <c r="HSN44" s="1004"/>
      <c r="HSO44" s="1004"/>
      <c r="HSP44" s="1004"/>
      <c r="HSQ44" s="1004"/>
      <c r="HSR44" s="1004"/>
      <c r="HSS44" s="1004"/>
      <c r="HST44" s="1004"/>
      <c r="HSU44" s="1004"/>
      <c r="HSV44" s="1004"/>
      <c r="HSW44" s="1004"/>
      <c r="HSX44" s="1004"/>
      <c r="HSY44" s="1004"/>
      <c r="HSZ44" s="1004"/>
      <c r="HTA44" s="1004"/>
      <c r="HTB44" s="1004"/>
      <c r="HTC44" s="1004"/>
      <c r="HTD44" s="1004"/>
      <c r="HTE44" s="1004"/>
      <c r="HTF44" s="1004"/>
      <c r="HTG44" s="1004"/>
      <c r="HTH44" s="1004"/>
      <c r="HTI44" s="1004"/>
      <c r="HTJ44" s="1004"/>
      <c r="HTK44" s="1004"/>
      <c r="HTL44" s="1004"/>
      <c r="HTM44" s="1004"/>
      <c r="HTN44" s="1004"/>
      <c r="HTO44" s="1004"/>
      <c r="HTP44" s="1004"/>
      <c r="HTQ44" s="1004"/>
      <c r="HTR44" s="1004"/>
      <c r="HTS44" s="1004"/>
      <c r="HTT44" s="1004"/>
      <c r="HTU44" s="1004"/>
      <c r="HTV44" s="1004"/>
      <c r="HTW44" s="1004"/>
      <c r="HTX44" s="1004"/>
      <c r="HTY44" s="1004"/>
      <c r="HTZ44" s="1004"/>
      <c r="HUA44" s="1004"/>
      <c r="HUB44" s="1004"/>
      <c r="HUC44" s="1004"/>
      <c r="HUD44" s="1004"/>
      <c r="HUE44" s="1004"/>
      <c r="HUF44" s="1004"/>
      <c r="HUG44" s="1004"/>
      <c r="HUH44" s="1004"/>
      <c r="HUI44" s="1004"/>
      <c r="HUJ44" s="1004"/>
      <c r="HUK44" s="1004"/>
      <c r="HUL44" s="1004"/>
      <c r="HUM44" s="1004"/>
      <c r="HUN44" s="1004"/>
      <c r="HUO44" s="1004"/>
      <c r="HUP44" s="1004"/>
      <c r="HUQ44" s="1004"/>
      <c r="HUR44" s="1004"/>
      <c r="HUS44" s="1004"/>
      <c r="HUT44" s="1004"/>
      <c r="HUU44" s="1004"/>
      <c r="HUV44" s="1004"/>
      <c r="HUW44" s="1004"/>
      <c r="HUX44" s="1004"/>
      <c r="HUY44" s="1004"/>
      <c r="HUZ44" s="1004"/>
      <c r="HVA44" s="1004"/>
      <c r="HVB44" s="1004"/>
      <c r="HVC44" s="1004"/>
      <c r="HVD44" s="1004"/>
      <c r="HVE44" s="1004"/>
      <c r="HVF44" s="1004"/>
      <c r="HVG44" s="1004"/>
      <c r="HVH44" s="1004"/>
      <c r="HVI44" s="1004"/>
      <c r="HVJ44" s="1004"/>
      <c r="HVK44" s="1004"/>
      <c r="HVL44" s="1004"/>
      <c r="HVM44" s="1004"/>
      <c r="HVN44" s="1004"/>
      <c r="HVO44" s="1004"/>
      <c r="HVP44" s="1004"/>
      <c r="HVQ44" s="1004"/>
      <c r="HVR44" s="1004"/>
      <c r="HVS44" s="1004"/>
      <c r="HVT44" s="1004"/>
      <c r="HVU44" s="1004"/>
      <c r="HVV44" s="1004"/>
      <c r="HVW44" s="1004"/>
      <c r="HVX44" s="1004"/>
      <c r="HVY44" s="1004"/>
      <c r="HVZ44" s="1004"/>
      <c r="HWA44" s="1004"/>
      <c r="HWB44" s="1004"/>
      <c r="HWC44" s="1004"/>
      <c r="HWD44" s="1004"/>
      <c r="HWE44" s="1004"/>
      <c r="HWF44" s="1004"/>
      <c r="HWG44" s="1004"/>
      <c r="HWH44" s="1004"/>
      <c r="HWI44" s="1004"/>
      <c r="HWJ44" s="1004"/>
      <c r="HWK44" s="1004"/>
      <c r="HWL44" s="1004"/>
      <c r="HWM44" s="1004"/>
      <c r="HWN44" s="1004"/>
      <c r="HWO44" s="1004"/>
      <c r="HWP44" s="1004"/>
      <c r="HWQ44" s="1004"/>
      <c r="HWR44" s="1004"/>
      <c r="HWS44" s="1004"/>
      <c r="HWT44" s="1004"/>
      <c r="HWU44" s="1004"/>
      <c r="HWV44" s="1004"/>
      <c r="HWW44" s="1004"/>
      <c r="HWX44" s="1004"/>
      <c r="HWY44" s="1004"/>
      <c r="HWZ44" s="1004"/>
      <c r="HXA44" s="1004"/>
      <c r="HXB44" s="1004"/>
      <c r="HXC44" s="1004"/>
      <c r="HXD44" s="1004"/>
      <c r="HXE44" s="1004"/>
      <c r="HXF44" s="1004"/>
      <c r="HXG44" s="1004"/>
      <c r="HXH44" s="1004"/>
      <c r="HXI44" s="1004"/>
      <c r="HXJ44" s="1004"/>
      <c r="HXK44" s="1004"/>
      <c r="HXL44" s="1004"/>
      <c r="HXM44" s="1004"/>
      <c r="HXN44" s="1004"/>
      <c r="HXO44" s="1004"/>
      <c r="HXP44" s="1004"/>
      <c r="HXQ44" s="1004"/>
      <c r="HXR44" s="1004"/>
      <c r="HXS44" s="1004"/>
      <c r="HXT44" s="1004"/>
      <c r="HXU44" s="1004"/>
      <c r="HXV44" s="1004"/>
      <c r="HXW44" s="1004"/>
      <c r="HXX44" s="1004"/>
      <c r="HXY44" s="1004"/>
      <c r="HXZ44" s="1004"/>
      <c r="HYA44" s="1004"/>
      <c r="HYB44" s="1004"/>
      <c r="HYC44" s="1004"/>
      <c r="HYD44" s="1004"/>
      <c r="HYE44" s="1004"/>
      <c r="HYF44" s="1004"/>
      <c r="HYG44" s="1004"/>
      <c r="HYH44" s="1004"/>
      <c r="HYI44" s="1004"/>
      <c r="HYJ44" s="1004"/>
      <c r="HYK44" s="1004"/>
      <c r="HYL44" s="1004"/>
      <c r="HYM44" s="1004"/>
      <c r="HYN44" s="1004"/>
      <c r="HYO44" s="1004"/>
      <c r="HYP44" s="1004"/>
      <c r="HYQ44" s="1004"/>
      <c r="HYR44" s="1004"/>
      <c r="HYS44" s="1004"/>
      <c r="HYT44" s="1004"/>
      <c r="HYU44" s="1004"/>
      <c r="HYV44" s="1004"/>
      <c r="HYW44" s="1004"/>
      <c r="HYX44" s="1004"/>
      <c r="HYY44" s="1004"/>
      <c r="HYZ44" s="1004"/>
      <c r="HZA44" s="1004"/>
      <c r="HZB44" s="1004"/>
      <c r="HZC44" s="1004"/>
      <c r="HZD44" s="1004"/>
      <c r="HZE44" s="1004"/>
      <c r="HZF44" s="1004"/>
      <c r="HZG44" s="1004"/>
      <c r="HZH44" s="1004"/>
      <c r="HZI44" s="1004"/>
      <c r="HZJ44" s="1004"/>
      <c r="HZK44" s="1004"/>
      <c r="HZL44" s="1004"/>
      <c r="HZM44" s="1004"/>
      <c r="HZN44" s="1004"/>
      <c r="HZO44" s="1004"/>
      <c r="HZP44" s="1004"/>
      <c r="HZQ44" s="1004"/>
      <c r="HZR44" s="1004"/>
      <c r="HZS44" s="1004"/>
      <c r="HZT44" s="1004"/>
      <c r="HZU44" s="1004"/>
      <c r="HZV44" s="1004"/>
      <c r="HZW44" s="1004"/>
      <c r="HZX44" s="1004"/>
      <c r="HZY44" s="1004"/>
      <c r="HZZ44" s="1004"/>
      <c r="IAA44" s="1004"/>
      <c r="IAB44" s="1004"/>
      <c r="IAC44" s="1004"/>
      <c r="IAD44" s="1004"/>
      <c r="IAE44" s="1004"/>
      <c r="IAF44" s="1004"/>
      <c r="IAG44" s="1004"/>
      <c r="IAH44" s="1004"/>
      <c r="IAI44" s="1004"/>
      <c r="IAJ44" s="1004"/>
      <c r="IAK44" s="1004"/>
      <c r="IAL44" s="1004"/>
      <c r="IAM44" s="1004"/>
      <c r="IAN44" s="1004"/>
      <c r="IAO44" s="1004"/>
      <c r="IAP44" s="1004"/>
      <c r="IAQ44" s="1004"/>
      <c r="IAR44" s="1004"/>
      <c r="IAS44" s="1004"/>
      <c r="IAT44" s="1004"/>
      <c r="IAU44" s="1004"/>
      <c r="IAV44" s="1004"/>
      <c r="IAW44" s="1004"/>
      <c r="IAX44" s="1004"/>
      <c r="IAY44" s="1004"/>
      <c r="IAZ44" s="1004"/>
      <c r="IBA44" s="1004"/>
      <c r="IBB44" s="1004"/>
      <c r="IBC44" s="1004"/>
      <c r="IBD44" s="1004"/>
      <c r="IBE44" s="1004"/>
      <c r="IBF44" s="1004"/>
      <c r="IBG44" s="1004"/>
      <c r="IBH44" s="1004"/>
      <c r="IBI44" s="1004"/>
      <c r="IBJ44" s="1004"/>
      <c r="IBK44" s="1004"/>
      <c r="IBL44" s="1004"/>
      <c r="IBM44" s="1004"/>
      <c r="IBN44" s="1004"/>
      <c r="IBO44" s="1004"/>
      <c r="IBP44" s="1004"/>
      <c r="IBQ44" s="1004"/>
      <c r="IBR44" s="1004"/>
      <c r="IBS44" s="1004"/>
      <c r="IBT44" s="1004"/>
      <c r="IBU44" s="1004"/>
      <c r="IBV44" s="1004"/>
      <c r="IBW44" s="1004"/>
      <c r="IBX44" s="1004"/>
      <c r="IBY44" s="1004"/>
      <c r="IBZ44" s="1004"/>
      <c r="ICA44" s="1004"/>
      <c r="ICB44" s="1004"/>
      <c r="ICC44" s="1004"/>
      <c r="ICD44" s="1004"/>
      <c r="ICE44" s="1004"/>
      <c r="ICF44" s="1004"/>
      <c r="ICG44" s="1004"/>
      <c r="ICH44" s="1004"/>
      <c r="ICI44" s="1004"/>
      <c r="ICJ44" s="1004"/>
      <c r="ICK44" s="1004"/>
      <c r="ICL44" s="1004"/>
      <c r="ICM44" s="1004"/>
      <c r="ICN44" s="1004"/>
      <c r="ICO44" s="1004"/>
      <c r="ICP44" s="1004"/>
      <c r="ICQ44" s="1004"/>
      <c r="ICR44" s="1004"/>
      <c r="ICS44" s="1004"/>
      <c r="ICT44" s="1004"/>
      <c r="ICU44" s="1004"/>
      <c r="ICV44" s="1004"/>
      <c r="ICW44" s="1004"/>
      <c r="ICX44" s="1004"/>
      <c r="ICY44" s="1004"/>
      <c r="ICZ44" s="1004"/>
      <c r="IDA44" s="1004"/>
      <c r="IDB44" s="1004"/>
      <c r="IDC44" s="1004"/>
      <c r="IDD44" s="1004"/>
      <c r="IDE44" s="1004"/>
      <c r="IDF44" s="1004"/>
      <c r="IDG44" s="1004"/>
      <c r="IDH44" s="1004"/>
      <c r="IDI44" s="1004"/>
      <c r="IDJ44" s="1004"/>
      <c r="IDK44" s="1004"/>
      <c r="IDL44" s="1004"/>
      <c r="IDM44" s="1004"/>
      <c r="IDN44" s="1004"/>
      <c r="IDO44" s="1004"/>
      <c r="IDP44" s="1004"/>
      <c r="IDQ44" s="1004"/>
      <c r="IDR44" s="1004"/>
      <c r="IDS44" s="1004"/>
      <c r="IDT44" s="1004"/>
      <c r="IDU44" s="1004"/>
      <c r="IDV44" s="1004"/>
      <c r="IDW44" s="1004"/>
      <c r="IDX44" s="1004"/>
      <c r="IDY44" s="1004"/>
      <c r="IDZ44" s="1004"/>
      <c r="IEA44" s="1004"/>
      <c r="IEB44" s="1004"/>
      <c r="IEC44" s="1004"/>
      <c r="IED44" s="1004"/>
      <c r="IEE44" s="1004"/>
      <c r="IEF44" s="1004"/>
      <c r="IEG44" s="1004"/>
      <c r="IEH44" s="1004"/>
      <c r="IEI44" s="1004"/>
      <c r="IEJ44" s="1004"/>
      <c r="IEK44" s="1004"/>
      <c r="IEL44" s="1004"/>
      <c r="IEM44" s="1004"/>
      <c r="IEN44" s="1004"/>
      <c r="IEO44" s="1004"/>
      <c r="IEP44" s="1004"/>
      <c r="IEQ44" s="1004"/>
      <c r="IER44" s="1004"/>
      <c r="IES44" s="1004"/>
      <c r="IET44" s="1004"/>
      <c r="IEU44" s="1004"/>
      <c r="IEV44" s="1004"/>
      <c r="IEW44" s="1004"/>
      <c r="IEX44" s="1004"/>
      <c r="IEY44" s="1004"/>
      <c r="IEZ44" s="1004"/>
      <c r="IFA44" s="1004"/>
      <c r="IFB44" s="1004"/>
      <c r="IFC44" s="1004"/>
      <c r="IFD44" s="1004"/>
      <c r="IFE44" s="1004"/>
      <c r="IFF44" s="1004"/>
      <c r="IFG44" s="1004"/>
      <c r="IFH44" s="1004"/>
      <c r="IFI44" s="1004"/>
      <c r="IFJ44" s="1004"/>
      <c r="IFK44" s="1004"/>
      <c r="IFL44" s="1004"/>
      <c r="IFM44" s="1004"/>
      <c r="IFN44" s="1004"/>
      <c r="IFO44" s="1004"/>
      <c r="IFP44" s="1004"/>
      <c r="IFQ44" s="1004"/>
      <c r="IFR44" s="1004"/>
      <c r="IFS44" s="1004"/>
      <c r="IFT44" s="1004"/>
      <c r="IFU44" s="1004"/>
      <c r="IFV44" s="1004"/>
      <c r="IFW44" s="1004"/>
      <c r="IFX44" s="1004"/>
      <c r="IFY44" s="1004"/>
      <c r="IFZ44" s="1004"/>
      <c r="IGA44" s="1004"/>
      <c r="IGB44" s="1004"/>
      <c r="IGC44" s="1004"/>
      <c r="IGD44" s="1004"/>
      <c r="IGE44" s="1004"/>
      <c r="IGF44" s="1004"/>
      <c r="IGG44" s="1004"/>
      <c r="IGH44" s="1004"/>
      <c r="IGI44" s="1004"/>
      <c r="IGJ44" s="1004"/>
      <c r="IGK44" s="1004"/>
      <c r="IGL44" s="1004"/>
      <c r="IGM44" s="1004"/>
      <c r="IGN44" s="1004"/>
      <c r="IGO44" s="1004"/>
      <c r="IGP44" s="1004"/>
      <c r="IGQ44" s="1004"/>
      <c r="IGR44" s="1004"/>
      <c r="IGS44" s="1004"/>
      <c r="IGT44" s="1004"/>
      <c r="IGU44" s="1004"/>
      <c r="IGV44" s="1004"/>
      <c r="IGW44" s="1004"/>
      <c r="IGX44" s="1004"/>
      <c r="IGY44" s="1004"/>
      <c r="IGZ44" s="1004"/>
      <c r="IHA44" s="1004"/>
      <c r="IHB44" s="1004"/>
      <c r="IHC44" s="1004"/>
      <c r="IHD44" s="1004"/>
      <c r="IHE44" s="1004"/>
      <c r="IHF44" s="1004"/>
      <c r="IHG44" s="1004"/>
      <c r="IHH44" s="1004"/>
      <c r="IHI44" s="1004"/>
      <c r="IHJ44" s="1004"/>
      <c r="IHK44" s="1004"/>
      <c r="IHL44" s="1004"/>
      <c r="IHM44" s="1004"/>
      <c r="IHN44" s="1004"/>
      <c r="IHO44" s="1004"/>
      <c r="IHP44" s="1004"/>
      <c r="IHQ44" s="1004"/>
      <c r="IHR44" s="1004"/>
      <c r="IHS44" s="1004"/>
      <c r="IHT44" s="1004"/>
      <c r="IHU44" s="1004"/>
      <c r="IHV44" s="1004"/>
      <c r="IHW44" s="1004"/>
      <c r="IHX44" s="1004"/>
      <c r="IHY44" s="1004"/>
      <c r="IHZ44" s="1004"/>
      <c r="IIA44" s="1004"/>
      <c r="IIB44" s="1004"/>
      <c r="IIC44" s="1004"/>
      <c r="IID44" s="1004"/>
      <c r="IIE44" s="1004"/>
      <c r="IIF44" s="1004"/>
      <c r="IIG44" s="1004"/>
      <c r="IIH44" s="1004"/>
      <c r="III44" s="1004"/>
      <c r="IIJ44" s="1004"/>
      <c r="IIK44" s="1004"/>
      <c r="IIL44" s="1004"/>
      <c r="IIM44" s="1004"/>
      <c r="IIN44" s="1004"/>
      <c r="IIO44" s="1004"/>
      <c r="IIP44" s="1004"/>
      <c r="IIQ44" s="1004"/>
      <c r="IIR44" s="1004"/>
      <c r="IIS44" s="1004"/>
      <c r="IIT44" s="1004"/>
      <c r="IIU44" s="1004"/>
      <c r="IIV44" s="1004"/>
      <c r="IIW44" s="1004"/>
      <c r="IIX44" s="1004"/>
      <c r="IIY44" s="1004"/>
      <c r="IIZ44" s="1004"/>
      <c r="IJA44" s="1004"/>
      <c r="IJB44" s="1004"/>
      <c r="IJC44" s="1004"/>
      <c r="IJD44" s="1004"/>
      <c r="IJE44" s="1004"/>
      <c r="IJF44" s="1004"/>
      <c r="IJG44" s="1004"/>
      <c r="IJH44" s="1004"/>
      <c r="IJI44" s="1004"/>
      <c r="IJJ44" s="1004"/>
      <c r="IJK44" s="1004"/>
      <c r="IJL44" s="1004"/>
      <c r="IJM44" s="1004"/>
      <c r="IJN44" s="1004"/>
      <c r="IJO44" s="1004"/>
      <c r="IJP44" s="1004"/>
      <c r="IJQ44" s="1004"/>
      <c r="IJR44" s="1004"/>
      <c r="IJS44" s="1004"/>
      <c r="IJT44" s="1004"/>
      <c r="IJU44" s="1004"/>
      <c r="IJV44" s="1004"/>
      <c r="IJW44" s="1004"/>
      <c r="IJX44" s="1004"/>
      <c r="IJY44" s="1004"/>
      <c r="IJZ44" s="1004"/>
      <c r="IKA44" s="1004"/>
      <c r="IKB44" s="1004"/>
      <c r="IKC44" s="1004"/>
      <c r="IKD44" s="1004"/>
      <c r="IKE44" s="1004"/>
      <c r="IKF44" s="1004"/>
      <c r="IKG44" s="1004"/>
      <c r="IKH44" s="1004"/>
      <c r="IKI44" s="1004"/>
      <c r="IKJ44" s="1004"/>
      <c r="IKK44" s="1004"/>
      <c r="IKL44" s="1004"/>
      <c r="IKM44" s="1004"/>
      <c r="IKN44" s="1004"/>
      <c r="IKO44" s="1004"/>
      <c r="IKP44" s="1004"/>
      <c r="IKQ44" s="1004"/>
      <c r="IKR44" s="1004"/>
      <c r="IKS44" s="1004"/>
      <c r="IKT44" s="1004"/>
      <c r="IKU44" s="1004"/>
      <c r="IKV44" s="1004"/>
      <c r="IKW44" s="1004"/>
      <c r="IKX44" s="1004"/>
      <c r="IKY44" s="1004"/>
      <c r="IKZ44" s="1004"/>
      <c r="ILA44" s="1004"/>
      <c r="ILB44" s="1004"/>
      <c r="ILC44" s="1004"/>
      <c r="ILD44" s="1004"/>
      <c r="ILE44" s="1004"/>
      <c r="ILF44" s="1004"/>
      <c r="ILG44" s="1004"/>
      <c r="ILH44" s="1004"/>
      <c r="ILI44" s="1004"/>
      <c r="ILJ44" s="1004"/>
      <c r="ILK44" s="1004"/>
      <c r="ILL44" s="1004"/>
      <c r="ILM44" s="1004"/>
      <c r="ILN44" s="1004"/>
      <c r="ILO44" s="1004"/>
      <c r="ILP44" s="1004"/>
      <c r="ILQ44" s="1004"/>
      <c r="ILR44" s="1004"/>
      <c r="ILS44" s="1004"/>
      <c r="ILT44" s="1004"/>
      <c r="ILU44" s="1004"/>
      <c r="ILV44" s="1004"/>
      <c r="ILW44" s="1004"/>
      <c r="ILX44" s="1004"/>
      <c r="ILY44" s="1004"/>
      <c r="ILZ44" s="1004"/>
      <c r="IMA44" s="1004"/>
      <c r="IMB44" s="1004"/>
      <c r="IMC44" s="1004"/>
      <c r="IMD44" s="1004"/>
      <c r="IME44" s="1004"/>
      <c r="IMF44" s="1004"/>
      <c r="IMG44" s="1004"/>
      <c r="IMH44" s="1004"/>
      <c r="IMI44" s="1004"/>
      <c r="IMJ44" s="1004"/>
      <c r="IMK44" s="1004"/>
      <c r="IML44" s="1004"/>
      <c r="IMM44" s="1004"/>
      <c r="IMN44" s="1004"/>
      <c r="IMO44" s="1004"/>
      <c r="IMP44" s="1004"/>
      <c r="IMQ44" s="1004"/>
      <c r="IMR44" s="1004"/>
      <c r="IMS44" s="1004"/>
      <c r="IMT44" s="1004"/>
      <c r="IMU44" s="1004"/>
      <c r="IMV44" s="1004"/>
      <c r="IMW44" s="1004"/>
      <c r="IMX44" s="1004"/>
      <c r="IMY44" s="1004"/>
      <c r="IMZ44" s="1004"/>
      <c r="INA44" s="1004"/>
      <c r="INB44" s="1004"/>
      <c r="INC44" s="1004"/>
      <c r="IND44" s="1004"/>
      <c r="INE44" s="1004"/>
      <c r="INF44" s="1004"/>
      <c r="ING44" s="1004"/>
      <c r="INH44" s="1004"/>
      <c r="INI44" s="1004"/>
      <c r="INJ44" s="1004"/>
      <c r="INK44" s="1004"/>
      <c r="INL44" s="1004"/>
      <c r="INM44" s="1004"/>
      <c r="INN44" s="1004"/>
      <c r="INO44" s="1004"/>
      <c r="INP44" s="1004"/>
      <c r="INQ44" s="1004"/>
      <c r="INR44" s="1004"/>
      <c r="INS44" s="1004"/>
      <c r="INT44" s="1004"/>
      <c r="INU44" s="1004"/>
      <c r="INV44" s="1004"/>
      <c r="INW44" s="1004"/>
      <c r="INX44" s="1004"/>
      <c r="INY44" s="1004"/>
      <c r="INZ44" s="1004"/>
      <c r="IOA44" s="1004"/>
      <c r="IOB44" s="1004"/>
      <c r="IOC44" s="1004"/>
      <c r="IOD44" s="1004"/>
      <c r="IOE44" s="1004"/>
      <c r="IOF44" s="1004"/>
      <c r="IOG44" s="1004"/>
      <c r="IOH44" s="1004"/>
      <c r="IOI44" s="1004"/>
      <c r="IOJ44" s="1004"/>
      <c r="IOK44" s="1004"/>
      <c r="IOL44" s="1004"/>
      <c r="IOM44" s="1004"/>
      <c r="ION44" s="1004"/>
      <c r="IOO44" s="1004"/>
      <c r="IOP44" s="1004"/>
      <c r="IOQ44" s="1004"/>
      <c r="IOR44" s="1004"/>
      <c r="IOS44" s="1004"/>
      <c r="IOT44" s="1004"/>
      <c r="IOU44" s="1004"/>
      <c r="IOV44" s="1004"/>
      <c r="IOW44" s="1004"/>
      <c r="IOX44" s="1004"/>
      <c r="IOY44" s="1004"/>
      <c r="IOZ44" s="1004"/>
      <c r="IPA44" s="1004"/>
      <c r="IPB44" s="1004"/>
      <c r="IPC44" s="1004"/>
      <c r="IPD44" s="1004"/>
      <c r="IPE44" s="1004"/>
      <c r="IPF44" s="1004"/>
      <c r="IPG44" s="1004"/>
      <c r="IPH44" s="1004"/>
      <c r="IPI44" s="1004"/>
      <c r="IPJ44" s="1004"/>
      <c r="IPK44" s="1004"/>
      <c r="IPL44" s="1004"/>
      <c r="IPM44" s="1004"/>
      <c r="IPN44" s="1004"/>
      <c r="IPO44" s="1004"/>
      <c r="IPP44" s="1004"/>
      <c r="IPQ44" s="1004"/>
      <c r="IPR44" s="1004"/>
      <c r="IPS44" s="1004"/>
      <c r="IPT44" s="1004"/>
      <c r="IPU44" s="1004"/>
      <c r="IPV44" s="1004"/>
      <c r="IPW44" s="1004"/>
      <c r="IPX44" s="1004"/>
      <c r="IPY44" s="1004"/>
      <c r="IPZ44" s="1004"/>
      <c r="IQA44" s="1004"/>
      <c r="IQB44" s="1004"/>
      <c r="IQC44" s="1004"/>
      <c r="IQD44" s="1004"/>
      <c r="IQE44" s="1004"/>
      <c r="IQF44" s="1004"/>
      <c r="IQG44" s="1004"/>
      <c r="IQH44" s="1004"/>
      <c r="IQI44" s="1004"/>
      <c r="IQJ44" s="1004"/>
      <c r="IQK44" s="1004"/>
      <c r="IQL44" s="1004"/>
      <c r="IQM44" s="1004"/>
      <c r="IQN44" s="1004"/>
      <c r="IQO44" s="1004"/>
      <c r="IQP44" s="1004"/>
      <c r="IQQ44" s="1004"/>
      <c r="IQR44" s="1004"/>
      <c r="IQS44" s="1004"/>
      <c r="IQT44" s="1004"/>
      <c r="IQU44" s="1004"/>
      <c r="IQV44" s="1004"/>
      <c r="IQW44" s="1004"/>
      <c r="IQX44" s="1004"/>
      <c r="IQY44" s="1004"/>
      <c r="IQZ44" s="1004"/>
      <c r="IRA44" s="1004"/>
      <c r="IRB44" s="1004"/>
      <c r="IRC44" s="1004"/>
      <c r="IRD44" s="1004"/>
      <c r="IRE44" s="1004"/>
      <c r="IRF44" s="1004"/>
      <c r="IRG44" s="1004"/>
      <c r="IRH44" s="1004"/>
      <c r="IRI44" s="1004"/>
      <c r="IRJ44" s="1004"/>
      <c r="IRK44" s="1004"/>
      <c r="IRL44" s="1004"/>
      <c r="IRM44" s="1004"/>
      <c r="IRN44" s="1004"/>
      <c r="IRO44" s="1004"/>
      <c r="IRP44" s="1004"/>
      <c r="IRQ44" s="1004"/>
      <c r="IRR44" s="1004"/>
      <c r="IRS44" s="1004"/>
      <c r="IRT44" s="1004"/>
      <c r="IRU44" s="1004"/>
      <c r="IRV44" s="1004"/>
      <c r="IRW44" s="1004"/>
      <c r="IRX44" s="1004"/>
      <c r="IRY44" s="1004"/>
      <c r="IRZ44" s="1004"/>
      <c r="ISA44" s="1004"/>
      <c r="ISB44" s="1004"/>
      <c r="ISC44" s="1004"/>
      <c r="ISD44" s="1004"/>
      <c r="ISE44" s="1004"/>
      <c r="ISF44" s="1004"/>
      <c r="ISG44" s="1004"/>
      <c r="ISH44" s="1004"/>
      <c r="ISI44" s="1004"/>
      <c r="ISJ44" s="1004"/>
      <c r="ISK44" s="1004"/>
      <c r="ISL44" s="1004"/>
      <c r="ISM44" s="1004"/>
      <c r="ISN44" s="1004"/>
      <c r="ISO44" s="1004"/>
      <c r="ISP44" s="1004"/>
      <c r="ISQ44" s="1004"/>
      <c r="ISR44" s="1004"/>
      <c r="ISS44" s="1004"/>
      <c r="IST44" s="1004"/>
      <c r="ISU44" s="1004"/>
      <c r="ISV44" s="1004"/>
      <c r="ISW44" s="1004"/>
      <c r="ISX44" s="1004"/>
      <c r="ISY44" s="1004"/>
      <c r="ISZ44" s="1004"/>
      <c r="ITA44" s="1004"/>
      <c r="ITB44" s="1004"/>
      <c r="ITC44" s="1004"/>
      <c r="ITD44" s="1004"/>
      <c r="ITE44" s="1004"/>
      <c r="ITF44" s="1004"/>
      <c r="ITG44" s="1004"/>
      <c r="ITH44" s="1004"/>
      <c r="ITI44" s="1004"/>
      <c r="ITJ44" s="1004"/>
      <c r="ITK44" s="1004"/>
      <c r="ITL44" s="1004"/>
      <c r="ITM44" s="1004"/>
      <c r="ITN44" s="1004"/>
      <c r="ITO44" s="1004"/>
      <c r="ITP44" s="1004"/>
      <c r="ITQ44" s="1004"/>
      <c r="ITR44" s="1004"/>
      <c r="ITS44" s="1004"/>
      <c r="ITT44" s="1004"/>
      <c r="ITU44" s="1004"/>
      <c r="ITV44" s="1004"/>
      <c r="ITW44" s="1004"/>
      <c r="ITX44" s="1004"/>
      <c r="ITY44" s="1004"/>
      <c r="ITZ44" s="1004"/>
      <c r="IUA44" s="1004"/>
      <c r="IUB44" s="1004"/>
      <c r="IUC44" s="1004"/>
      <c r="IUD44" s="1004"/>
      <c r="IUE44" s="1004"/>
      <c r="IUF44" s="1004"/>
      <c r="IUG44" s="1004"/>
      <c r="IUH44" s="1004"/>
      <c r="IUI44" s="1004"/>
      <c r="IUJ44" s="1004"/>
      <c r="IUK44" s="1004"/>
      <c r="IUL44" s="1004"/>
      <c r="IUM44" s="1004"/>
      <c r="IUN44" s="1004"/>
      <c r="IUO44" s="1004"/>
      <c r="IUP44" s="1004"/>
      <c r="IUQ44" s="1004"/>
      <c r="IUR44" s="1004"/>
      <c r="IUS44" s="1004"/>
      <c r="IUT44" s="1004"/>
      <c r="IUU44" s="1004"/>
      <c r="IUV44" s="1004"/>
      <c r="IUW44" s="1004"/>
      <c r="IUX44" s="1004"/>
      <c r="IUY44" s="1004"/>
      <c r="IUZ44" s="1004"/>
      <c r="IVA44" s="1004"/>
      <c r="IVB44" s="1004"/>
      <c r="IVC44" s="1004"/>
      <c r="IVD44" s="1004"/>
      <c r="IVE44" s="1004"/>
      <c r="IVF44" s="1004"/>
      <c r="IVG44" s="1004"/>
      <c r="IVH44" s="1004"/>
      <c r="IVI44" s="1004"/>
      <c r="IVJ44" s="1004"/>
      <c r="IVK44" s="1004"/>
      <c r="IVL44" s="1004"/>
      <c r="IVM44" s="1004"/>
      <c r="IVN44" s="1004"/>
      <c r="IVO44" s="1004"/>
      <c r="IVP44" s="1004"/>
      <c r="IVQ44" s="1004"/>
      <c r="IVR44" s="1004"/>
      <c r="IVS44" s="1004"/>
      <c r="IVT44" s="1004"/>
      <c r="IVU44" s="1004"/>
      <c r="IVV44" s="1004"/>
      <c r="IVW44" s="1004"/>
      <c r="IVX44" s="1004"/>
      <c r="IVY44" s="1004"/>
      <c r="IVZ44" s="1004"/>
      <c r="IWA44" s="1004"/>
      <c r="IWB44" s="1004"/>
      <c r="IWC44" s="1004"/>
      <c r="IWD44" s="1004"/>
      <c r="IWE44" s="1004"/>
      <c r="IWF44" s="1004"/>
      <c r="IWG44" s="1004"/>
      <c r="IWH44" s="1004"/>
      <c r="IWI44" s="1004"/>
      <c r="IWJ44" s="1004"/>
      <c r="IWK44" s="1004"/>
      <c r="IWL44" s="1004"/>
      <c r="IWM44" s="1004"/>
      <c r="IWN44" s="1004"/>
      <c r="IWO44" s="1004"/>
      <c r="IWP44" s="1004"/>
      <c r="IWQ44" s="1004"/>
      <c r="IWR44" s="1004"/>
      <c r="IWS44" s="1004"/>
      <c r="IWT44" s="1004"/>
      <c r="IWU44" s="1004"/>
      <c r="IWV44" s="1004"/>
      <c r="IWW44" s="1004"/>
      <c r="IWX44" s="1004"/>
      <c r="IWY44" s="1004"/>
      <c r="IWZ44" s="1004"/>
      <c r="IXA44" s="1004"/>
      <c r="IXB44" s="1004"/>
      <c r="IXC44" s="1004"/>
      <c r="IXD44" s="1004"/>
      <c r="IXE44" s="1004"/>
      <c r="IXF44" s="1004"/>
      <c r="IXG44" s="1004"/>
      <c r="IXH44" s="1004"/>
      <c r="IXI44" s="1004"/>
      <c r="IXJ44" s="1004"/>
      <c r="IXK44" s="1004"/>
      <c r="IXL44" s="1004"/>
      <c r="IXM44" s="1004"/>
      <c r="IXN44" s="1004"/>
      <c r="IXO44" s="1004"/>
      <c r="IXP44" s="1004"/>
      <c r="IXQ44" s="1004"/>
      <c r="IXR44" s="1004"/>
      <c r="IXS44" s="1004"/>
      <c r="IXT44" s="1004"/>
      <c r="IXU44" s="1004"/>
      <c r="IXV44" s="1004"/>
      <c r="IXW44" s="1004"/>
      <c r="IXX44" s="1004"/>
      <c r="IXY44" s="1004"/>
      <c r="IXZ44" s="1004"/>
      <c r="IYA44" s="1004"/>
      <c r="IYB44" s="1004"/>
      <c r="IYC44" s="1004"/>
      <c r="IYD44" s="1004"/>
      <c r="IYE44" s="1004"/>
      <c r="IYF44" s="1004"/>
      <c r="IYG44" s="1004"/>
      <c r="IYH44" s="1004"/>
      <c r="IYI44" s="1004"/>
      <c r="IYJ44" s="1004"/>
      <c r="IYK44" s="1004"/>
      <c r="IYL44" s="1004"/>
      <c r="IYM44" s="1004"/>
      <c r="IYN44" s="1004"/>
      <c r="IYO44" s="1004"/>
      <c r="IYP44" s="1004"/>
      <c r="IYQ44" s="1004"/>
      <c r="IYR44" s="1004"/>
      <c r="IYS44" s="1004"/>
      <c r="IYT44" s="1004"/>
      <c r="IYU44" s="1004"/>
      <c r="IYV44" s="1004"/>
      <c r="IYW44" s="1004"/>
      <c r="IYX44" s="1004"/>
      <c r="IYY44" s="1004"/>
      <c r="IYZ44" s="1004"/>
      <c r="IZA44" s="1004"/>
      <c r="IZB44" s="1004"/>
      <c r="IZC44" s="1004"/>
      <c r="IZD44" s="1004"/>
      <c r="IZE44" s="1004"/>
      <c r="IZF44" s="1004"/>
      <c r="IZG44" s="1004"/>
      <c r="IZH44" s="1004"/>
      <c r="IZI44" s="1004"/>
      <c r="IZJ44" s="1004"/>
      <c r="IZK44" s="1004"/>
      <c r="IZL44" s="1004"/>
      <c r="IZM44" s="1004"/>
      <c r="IZN44" s="1004"/>
      <c r="IZO44" s="1004"/>
      <c r="IZP44" s="1004"/>
      <c r="IZQ44" s="1004"/>
      <c r="IZR44" s="1004"/>
      <c r="IZS44" s="1004"/>
      <c r="IZT44" s="1004"/>
      <c r="IZU44" s="1004"/>
      <c r="IZV44" s="1004"/>
      <c r="IZW44" s="1004"/>
      <c r="IZX44" s="1004"/>
      <c r="IZY44" s="1004"/>
      <c r="IZZ44" s="1004"/>
      <c r="JAA44" s="1004"/>
      <c r="JAB44" s="1004"/>
      <c r="JAC44" s="1004"/>
      <c r="JAD44" s="1004"/>
      <c r="JAE44" s="1004"/>
      <c r="JAF44" s="1004"/>
      <c r="JAG44" s="1004"/>
      <c r="JAH44" s="1004"/>
      <c r="JAI44" s="1004"/>
      <c r="JAJ44" s="1004"/>
      <c r="JAK44" s="1004"/>
      <c r="JAL44" s="1004"/>
      <c r="JAM44" s="1004"/>
      <c r="JAN44" s="1004"/>
      <c r="JAO44" s="1004"/>
      <c r="JAP44" s="1004"/>
      <c r="JAQ44" s="1004"/>
      <c r="JAR44" s="1004"/>
      <c r="JAS44" s="1004"/>
      <c r="JAT44" s="1004"/>
      <c r="JAU44" s="1004"/>
      <c r="JAV44" s="1004"/>
      <c r="JAW44" s="1004"/>
      <c r="JAX44" s="1004"/>
      <c r="JAY44" s="1004"/>
      <c r="JAZ44" s="1004"/>
      <c r="JBA44" s="1004"/>
      <c r="JBB44" s="1004"/>
      <c r="JBC44" s="1004"/>
      <c r="JBD44" s="1004"/>
      <c r="JBE44" s="1004"/>
      <c r="JBF44" s="1004"/>
      <c r="JBG44" s="1004"/>
      <c r="JBH44" s="1004"/>
      <c r="JBI44" s="1004"/>
      <c r="JBJ44" s="1004"/>
      <c r="JBK44" s="1004"/>
      <c r="JBL44" s="1004"/>
      <c r="JBM44" s="1004"/>
      <c r="JBN44" s="1004"/>
      <c r="JBO44" s="1004"/>
      <c r="JBP44" s="1004"/>
      <c r="JBQ44" s="1004"/>
      <c r="JBR44" s="1004"/>
      <c r="JBS44" s="1004"/>
      <c r="JBT44" s="1004"/>
      <c r="JBU44" s="1004"/>
      <c r="JBV44" s="1004"/>
      <c r="JBW44" s="1004"/>
      <c r="JBX44" s="1004"/>
      <c r="JBY44" s="1004"/>
      <c r="JBZ44" s="1004"/>
      <c r="JCA44" s="1004"/>
      <c r="JCB44" s="1004"/>
      <c r="JCC44" s="1004"/>
      <c r="JCD44" s="1004"/>
      <c r="JCE44" s="1004"/>
      <c r="JCF44" s="1004"/>
      <c r="JCG44" s="1004"/>
      <c r="JCH44" s="1004"/>
      <c r="JCI44" s="1004"/>
      <c r="JCJ44" s="1004"/>
      <c r="JCK44" s="1004"/>
      <c r="JCL44" s="1004"/>
      <c r="JCM44" s="1004"/>
      <c r="JCN44" s="1004"/>
      <c r="JCO44" s="1004"/>
      <c r="JCP44" s="1004"/>
      <c r="JCQ44" s="1004"/>
      <c r="JCR44" s="1004"/>
      <c r="JCS44" s="1004"/>
      <c r="JCT44" s="1004"/>
      <c r="JCU44" s="1004"/>
      <c r="JCV44" s="1004"/>
      <c r="JCW44" s="1004"/>
      <c r="JCX44" s="1004"/>
      <c r="JCY44" s="1004"/>
      <c r="JCZ44" s="1004"/>
      <c r="JDA44" s="1004"/>
      <c r="JDB44" s="1004"/>
      <c r="JDC44" s="1004"/>
      <c r="JDD44" s="1004"/>
      <c r="JDE44" s="1004"/>
      <c r="JDF44" s="1004"/>
      <c r="JDG44" s="1004"/>
      <c r="JDH44" s="1004"/>
      <c r="JDI44" s="1004"/>
      <c r="JDJ44" s="1004"/>
      <c r="JDK44" s="1004"/>
      <c r="JDL44" s="1004"/>
      <c r="JDM44" s="1004"/>
      <c r="JDN44" s="1004"/>
      <c r="JDO44" s="1004"/>
      <c r="JDP44" s="1004"/>
      <c r="JDQ44" s="1004"/>
      <c r="JDR44" s="1004"/>
      <c r="JDS44" s="1004"/>
      <c r="JDT44" s="1004"/>
      <c r="JDU44" s="1004"/>
      <c r="JDV44" s="1004"/>
      <c r="JDW44" s="1004"/>
      <c r="JDX44" s="1004"/>
      <c r="JDY44" s="1004"/>
      <c r="JDZ44" s="1004"/>
      <c r="JEA44" s="1004"/>
      <c r="JEB44" s="1004"/>
      <c r="JEC44" s="1004"/>
      <c r="JED44" s="1004"/>
      <c r="JEE44" s="1004"/>
      <c r="JEF44" s="1004"/>
      <c r="JEG44" s="1004"/>
      <c r="JEH44" s="1004"/>
      <c r="JEI44" s="1004"/>
      <c r="JEJ44" s="1004"/>
      <c r="JEK44" s="1004"/>
      <c r="JEL44" s="1004"/>
      <c r="JEM44" s="1004"/>
      <c r="JEN44" s="1004"/>
      <c r="JEO44" s="1004"/>
      <c r="JEP44" s="1004"/>
      <c r="JEQ44" s="1004"/>
      <c r="JER44" s="1004"/>
      <c r="JES44" s="1004"/>
      <c r="JET44" s="1004"/>
      <c r="JEU44" s="1004"/>
      <c r="JEV44" s="1004"/>
      <c r="JEW44" s="1004"/>
      <c r="JEX44" s="1004"/>
      <c r="JEY44" s="1004"/>
      <c r="JEZ44" s="1004"/>
      <c r="JFA44" s="1004"/>
      <c r="JFB44" s="1004"/>
      <c r="JFC44" s="1004"/>
      <c r="JFD44" s="1004"/>
      <c r="JFE44" s="1004"/>
      <c r="JFF44" s="1004"/>
      <c r="JFG44" s="1004"/>
      <c r="JFH44" s="1004"/>
      <c r="JFI44" s="1004"/>
      <c r="JFJ44" s="1004"/>
      <c r="JFK44" s="1004"/>
      <c r="JFL44" s="1004"/>
      <c r="JFM44" s="1004"/>
      <c r="JFN44" s="1004"/>
      <c r="JFO44" s="1004"/>
      <c r="JFP44" s="1004"/>
      <c r="JFQ44" s="1004"/>
      <c r="JFR44" s="1004"/>
      <c r="JFS44" s="1004"/>
      <c r="JFT44" s="1004"/>
      <c r="JFU44" s="1004"/>
      <c r="JFV44" s="1004"/>
      <c r="JFW44" s="1004"/>
      <c r="JFX44" s="1004"/>
      <c r="JFY44" s="1004"/>
      <c r="JFZ44" s="1004"/>
      <c r="JGA44" s="1004"/>
      <c r="JGB44" s="1004"/>
      <c r="JGC44" s="1004"/>
      <c r="JGD44" s="1004"/>
      <c r="JGE44" s="1004"/>
      <c r="JGF44" s="1004"/>
      <c r="JGG44" s="1004"/>
      <c r="JGH44" s="1004"/>
      <c r="JGI44" s="1004"/>
      <c r="JGJ44" s="1004"/>
      <c r="JGK44" s="1004"/>
      <c r="JGL44" s="1004"/>
      <c r="JGM44" s="1004"/>
      <c r="JGN44" s="1004"/>
      <c r="JGO44" s="1004"/>
      <c r="JGP44" s="1004"/>
      <c r="JGQ44" s="1004"/>
      <c r="JGR44" s="1004"/>
      <c r="JGS44" s="1004"/>
      <c r="JGT44" s="1004"/>
      <c r="JGU44" s="1004"/>
      <c r="JGV44" s="1004"/>
      <c r="JGW44" s="1004"/>
      <c r="JGX44" s="1004"/>
      <c r="JGY44" s="1004"/>
      <c r="JGZ44" s="1004"/>
      <c r="JHA44" s="1004"/>
      <c r="JHB44" s="1004"/>
      <c r="JHC44" s="1004"/>
      <c r="JHD44" s="1004"/>
      <c r="JHE44" s="1004"/>
      <c r="JHF44" s="1004"/>
      <c r="JHG44" s="1004"/>
      <c r="JHH44" s="1004"/>
      <c r="JHI44" s="1004"/>
      <c r="JHJ44" s="1004"/>
      <c r="JHK44" s="1004"/>
      <c r="JHL44" s="1004"/>
      <c r="JHM44" s="1004"/>
      <c r="JHN44" s="1004"/>
      <c r="JHO44" s="1004"/>
      <c r="JHP44" s="1004"/>
      <c r="JHQ44" s="1004"/>
      <c r="JHR44" s="1004"/>
      <c r="JHS44" s="1004"/>
      <c r="JHT44" s="1004"/>
      <c r="JHU44" s="1004"/>
      <c r="JHV44" s="1004"/>
      <c r="JHW44" s="1004"/>
      <c r="JHX44" s="1004"/>
      <c r="JHY44" s="1004"/>
      <c r="JHZ44" s="1004"/>
      <c r="JIA44" s="1004"/>
      <c r="JIB44" s="1004"/>
      <c r="JIC44" s="1004"/>
      <c r="JID44" s="1004"/>
      <c r="JIE44" s="1004"/>
      <c r="JIF44" s="1004"/>
      <c r="JIG44" s="1004"/>
      <c r="JIH44" s="1004"/>
      <c r="JII44" s="1004"/>
      <c r="JIJ44" s="1004"/>
      <c r="JIK44" s="1004"/>
      <c r="JIL44" s="1004"/>
      <c r="JIM44" s="1004"/>
      <c r="JIN44" s="1004"/>
      <c r="JIO44" s="1004"/>
      <c r="JIP44" s="1004"/>
      <c r="JIQ44" s="1004"/>
      <c r="JIR44" s="1004"/>
      <c r="JIS44" s="1004"/>
      <c r="JIT44" s="1004"/>
      <c r="JIU44" s="1004"/>
      <c r="JIV44" s="1004"/>
      <c r="JIW44" s="1004"/>
      <c r="JIX44" s="1004"/>
      <c r="JIY44" s="1004"/>
      <c r="JIZ44" s="1004"/>
      <c r="JJA44" s="1004"/>
      <c r="JJB44" s="1004"/>
      <c r="JJC44" s="1004"/>
      <c r="JJD44" s="1004"/>
      <c r="JJE44" s="1004"/>
      <c r="JJF44" s="1004"/>
      <c r="JJG44" s="1004"/>
      <c r="JJH44" s="1004"/>
      <c r="JJI44" s="1004"/>
      <c r="JJJ44" s="1004"/>
      <c r="JJK44" s="1004"/>
      <c r="JJL44" s="1004"/>
      <c r="JJM44" s="1004"/>
      <c r="JJN44" s="1004"/>
      <c r="JJO44" s="1004"/>
      <c r="JJP44" s="1004"/>
      <c r="JJQ44" s="1004"/>
      <c r="JJR44" s="1004"/>
      <c r="JJS44" s="1004"/>
      <c r="JJT44" s="1004"/>
      <c r="JJU44" s="1004"/>
      <c r="JJV44" s="1004"/>
      <c r="JJW44" s="1004"/>
      <c r="JJX44" s="1004"/>
      <c r="JJY44" s="1004"/>
      <c r="JJZ44" s="1004"/>
      <c r="JKA44" s="1004"/>
      <c r="JKB44" s="1004"/>
      <c r="JKC44" s="1004"/>
      <c r="JKD44" s="1004"/>
      <c r="JKE44" s="1004"/>
      <c r="JKF44" s="1004"/>
      <c r="JKG44" s="1004"/>
      <c r="JKH44" s="1004"/>
      <c r="JKI44" s="1004"/>
      <c r="JKJ44" s="1004"/>
      <c r="JKK44" s="1004"/>
      <c r="JKL44" s="1004"/>
      <c r="JKM44" s="1004"/>
      <c r="JKN44" s="1004"/>
      <c r="JKO44" s="1004"/>
      <c r="JKP44" s="1004"/>
      <c r="JKQ44" s="1004"/>
      <c r="JKR44" s="1004"/>
      <c r="JKS44" s="1004"/>
      <c r="JKT44" s="1004"/>
      <c r="JKU44" s="1004"/>
      <c r="JKV44" s="1004"/>
      <c r="JKW44" s="1004"/>
      <c r="JKX44" s="1004"/>
      <c r="JKY44" s="1004"/>
      <c r="JKZ44" s="1004"/>
      <c r="JLA44" s="1004"/>
      <c r="JLB44" s="1004"/>
      <c r="JLC44" s="1004"/>
      <c r="JLD44" s="1004"/>
      <c r="JLE44" s="1004"/>
      <c r="JLF44" s="1004"/>
      <c r="JLG44" s="1004"/>
      <c r="JLH44" s="1004"/>
      <c r="JLI44" s="1004"/>
      <c r="JLJ44" s="1004"/>
      <c r="JLK44" s="1004"/>
      <c r="JLL44" s="1004"/>
      <c r="JLM44" s="1004"/>
      <c r="JLN44" s="1004"/>
      <c r="JLO44" s="1004"/>
      <c r="JLP44" s="1004"/>
      <c r="JLQ44" s="1004"/>
      <c r="JLR44" s="1004"/>
      <c r="JLS44" s="1004"/>
      <c r="JLT44" s="1004"/>
      <c r="JLU44" s="1004"/>
      <c r="JLV44" s="1004"/>
      <c r="JLW44" s="1004"/>
      <c r="JLX44" s="1004"/>
      <c r="JLY44" s="1004"/>
      <c r="JLZ44" s="1004"/>
      <c r="JMA44" s="1004"/>
      <c r="JMB44" s="1004"/>
      <c r="JMC44" s="1004"/>
      <c r="JMD44" s="1004"/>
      <c r="JME44" s="1004"/>
      <c r="JMF44" s="1004"/>
      <c r="JMG44" s="1004"/>
      <c r="JMH44" s="1004"/>
      <c r="JMI44" s="1004"/>
      <c r="JMJ44" s="1004"/>
      <c r="JMK44" s="1004"/>
      <c r="JML44" s="1004"/>
      <c r="JMM44" s="1004"/>
      <c r="JMN44" s="1004"/>
      <c r="JMO44" s="1004"/>
      <c r="JMP44" s="1004"/>
      <c r="JMQ44" s="1004"/>
      <c r="JMR44" s="1004"/>
      <c r="JMS44" s="1004"/>
      <c r="JMT44" s="1004"/>
      <c r="JMU44" s="1004"/>
      <c r="JMV44" s="1004"/>
      <c r="JMW44" s="1004"/>
      <c r="JMX44" s="1004"/>
      <c r="JMY44" s="1004"/>
      <c r="JMZ44" s="1004"/>
      <c r="JNA44" s="1004"/>
      <c r="JNB44" s="1004"/>
      <c r="JNC44" s="1004"/>
      <c r="JND44" s="1004"/>
      <c r="JNE44" s="1004"/>
      <c r="JNF44" s="1004"/>
      <c r="JNG44" s="1004"/>
      <c r="JNH44" s="1004"/>
      <c r="JNI44" s="1004"/>
      <c r="JNJ44" s="1004"/>
      <c r="JNK44" s="1004"/>
      <c r="JNL44" s="1004"/>
      <c r="JNM44" s="1004"/>
      <c r="JNN44" s="1004"/>
      <c r="JNO44" s="1004"/>
      <c r="JNP44" s="1004"/>
      <c r="JNQ44" s="1004"/>
      <c r="JNR44" s="1004"/>
      <c r="JNS44" s="1004"/>
      <c r="JNT44" s="1004"/>
      <c r="JNU44" s="1004"/>
      <c r="JNV44" s="1004"/>
      <c r="JNW44" s="1004"/>
      <c r="JNX44" s="1004"/>
      <c r="JNY44" s="1004"/>
      <c r="JNZ44" s="1004"/>
      <c r="JOA44" s="1004"/>
      <c r="JOB44" s="1004"/>
      <c r="JOC44" s="1004"/>
      <c r="JOD44" s="1004"/>
      <c r="JOE44" s="1004"/>
      <c r="JOF44" s="1004"/>
      <c r="JOG44" s="1004"/>
      <c r="JOH44" s="1004"/>
      <c r="JOI44" s="1004"/>
      <c r="JOJ44" s="1004"/>
      <c r="JOK44" s="1004"/>
      <c r="JOL44" s="1004"/>
      <c r="JOM44" s="1004"/>
      <c r="JON44" s="1004"/>
      <c r="JOO44" s="1004"/>
      <c r="JOP44" s="1004"/>
      <c r="JOQ44" s="1004"/>
      <c r="JOR44" s="1004"/>
      <c r="JOS44" s="1004"/>
      <c r="JOT44" s="1004"/>
      <c r="JOU44" s="1004"/>
      <c r="JOV44" s="1004"/>
      <c r="JOW44" s="1004"/>
      <c r="JOX44" s="1004"/>
      <c r="JOY44" s="1004"/>
      <c r="JOZ44" s="1004"/>
      <c r="JPA44" s="1004"/>
      <c r="JPB44" s="1004"/>
      <c r="JPC44" s="1004"/>
      <c r="JPD44" s="1004"/>
      <c r="JPE44" s="1004"/>
      <c r="JPF44" s="1004"/>
      <c r="JPG44" s="1004"/>
      <c r="JPH44" s="1004"/>
      <c r="JPI44" s="1004"/>
      <c r="JPJ44" s="1004"/>
      <c r="JPK44" s="1004"/>
      <c r="JPL44" s="1004"/>
      <c r="JPM44" s="1004"/>
      <c r="JPN44" s="1004"/>
      <c r="JPO44" s="1004"/>
      <c r="JPP44" s="1004"/>
      <c r="JPQ44" s="1004"/>
      <c r="JPR44" s="1004"/>
      <c r="JPS44" s="1004"/>
      <c r="JPT44" s="1004"/>
      <c r="JPU44" s="1004"/>
      <c r="JPV44" s="1004"/>
      <c r="JPW44" s="1004"/>
      <c r="JPX44" s="1004"/>
      <c r="JPY44" s="1004"/>
      <c r="JPZ44" s="1004"/>
      <c r="JQA44" s="1004"/>
      <c r="JQB44" s="1004"/>
      <c r="JQC44" s="1004"/>
      <c r="JQD44" s="1004"/>
      <c r="JQE44" s="1004"/>
      <c r="JQF44" s="1004"/>
      <c r="JQG44" s="1004"/>
      <c r="JQH44" s="1004"/>
      <c r="JQI44" s="1004"/>
      <c r="JQJ44" s="1004"/>
      <c r="JQK44" s="1004"/>
      <c r="JQL44" s="1004"/>
      <c r="JQM44" s="1004"/>
      <c r="JQN44" s="1004"/>
      <c r="JQO44" s="1004"/>
      <c r="JQP44" s="1004"/>
      <c r="JQQ44" s="1004"/>
      <c r="JQR44" s="1004"/>
      <c r="JQS44" s="1004"/>
      <c r="JQT44" s="1004"/>
      <c r="JQU44" s="1004"/>
      <c r="JQV44" s="1004"/>
      <c r="JQW44" s="1004"/>
      <c r="JQX44" s="1004"/>
      <c r="JQY44" s="1004"/>
      <c r="JQZ44" s="1004"/>
      <c r="JRA44" s="1004"/>
      <c r="JRB44" s="1004"/>
      <c r="JRC44" s="1004"/>
      <c r="JRD44" s="1004"/>
      <c r="JRE44" s="1004"/>
      <c r="JRF44" s="1004"/>
      <c r="JRG44" s="1004"/>
      <c r="JRH44" s="1004"/>
      <c r="JRI44" s="1004"/>
      <c r="JRJ44" s="1004"/>
      <c r="JRK44" s="1004"/>
      <c r="JRL44" s="1004"/>
      <c r="JRM44" s="1004"/>
      <c r="JRN44" s="1004"/>
      <c r="JRO44" s="1004"/>
      <c r="JRP44" s="1004"/>
      <c r="JRQ44" s="1004"/>
      <c r="JRR44" s="1004"/>
      <c r="JRS44" s="1004"/>
      <c r="JRT44" s="1004"/>
      <c r="JRU44" s="1004"/>
      <c r="JRV44" s="1004"/>
      <c r="JRW44" s="1004"/>
      <c r="JRX44" s="1004"/>
      <c r="JRY44" s="1004"/>
      <c r="JRZ44" s="1004"/>
      <c r="JSA44" s="1004"/>
      <c r="JSB44" s="1004"/>
      <c r="JSC44" s="1004"/>
      <c r="JSD44" s="1004"/>
      <c r="JSE44" s="1004"/>
      <c r="JSF44" s="1004"/>
      <c r="JSG44" s="1004"/>
      <c r="JSH44" s="1004"/>
      <c r="JSI44" s="1004"/>
      <c r="JSJ44" s="1004"/>
      <c r="JSK44" s="1004"/>
      <c r="JSL44" s="1004"/>
      <c r="JSM44" s="1004"/>
      <c r="JSN44" s="1004"/>
      <c r="JSO44" s="1004"/>
      <c r="JSP44" s="1004"/>
      <c r="JSQ44" s="1004"/>
      <c r="JSR44" s="1004"/>
      <c r="JSS44" s="1004"/>
      <c r="JST44" s="1004"/>
      <c r="JSU44" s="1004"/>
      <c r="JSV44" s="1004"/>
      <c r="JSW44" s="1004"/>
      <c r="JSX44" s="1004"/>
      <c r="JSY44" s="1004"/>
      <c r="JSZ44" s="1004"/>
      <c r="JTA44" s="1004"/>
      <c r="JTB44" s="1004"/>
      <c r="JTC44" s="1004"/>
      <c r="JTD44" s="1004"/>
      <c r="JTE44" s="1004"/>
      <c r="JTF44" s="1004"/>
      <c r="JTG44" s="1004"/>
      <c r="JTH44" s="1004"/>
      <c r="JTI44" s="1004"/>
      <c r="JTJ44" s="1004"/>
      <c r="JTK44" s="1004"/>
      <c r="JTL44" s="1004"/>
      <c r="JTM44" s="1004"/>
      <c r="JTN44" s="1004"/>
      <c r="JTO44" s="1004"/>
      <c r="JTP44" s="1004"/>
      <c r="JTQ44" s="1004"/>
      <c r="JTR44" s="1004"/>
      <c r="JTS44" s="1004"/>
      <c r="JTT44" s="1004"/>
      <c r="JTU44" s="1004"/>
      <c r="JTV44" s="1004"/>
      <c r="JTW44" s="1004"/>
      <c r="JTX44" s="1004"/>
      <c r="JTY44" s="1004"/>
      <c r="JTZ44" s="1004"/>
      <c r="JUA44" s="1004"/>
      <c r="JUB44" s="1004"/>
      <c r="JUC44" s="1004"/>
      <c r="JUD44" s="1004"/>
      <c r="JUE44" s="1004"/>
      <c r="JUF44" s="1004"/>
      <c r="JUG44" s="1004"/>
      <c r="JUH44" s="1004"/>
      <c r="JUI44" s="1004"/>
      <c r="JUJ44" s="1004"/>
      <c r="JUK44" s="1004"/>
      <c r="JUL44" s="1004"/>
      <c r="JUM44" s="1004"/>
      <c r="JUN44" s="1004"/>
      <c r="JUO44" s="1004"/>
      <c r="JUP44" s="1004"/>
      <c r="JUQ44" s="1004"/>
      <c r="JUR44" s="1004"/>
      <c r="JUS44" s="1004"/>
      <c r="JUT44" s="1004"/>
      <c r="JUU44" s="1004"/>
      <c r="JUV44" s="1004"/>
      <c r="JUW44" s="1004"/>
      <c r="JUX44" s="1004"/>
      <c r="JUY44" s="1004"/>
      <c r="JUZ44" s="1004"/>
      <c r="JVA44" s="1004"/>
      <c r="JVB44" s="1004"/>
      <c r="JVC44" s="1004"/>
      <c r="JVD44" s="1004"/>
      <c r="JVE44" s="1004"/>
      <c r="JVF44" s="1004"/>
      <c r="JVG44" s="1004"/>
      <c r="JVH44" s="1004"/>
      <c r="JVI44" s="1004"/>
      <c r="JVJ44" s="1004"/>
      <c r="JVK44" s="1004"/>
      <c r="JVL44" s="1004"/>
      <c r="JVM44" s="1004"/>
      <c r="JVN44" s="1004"/>
      <c r="JVO44" s="1004"/>
      <c r="JVP44" s="1004"/>
      <c r="JVQ44" s="1004"/>
      <c r="JVR44" s="1004"/>
      <c r="JVS44" s="1004"/>
      <c r="JVT44" s="1004"/>
      <c r="JVU44" s="1004"/>
      <c r="JVV44" s="1004"/>
      <c r="JVW44" s="1004"/>
      <c r="JVX44" s="1004"/>
      <c r="JVY44" s="1004"/>
      <c r="JVZ44" s="1004"/>
      <c r="JWA44" s="1004"/>
      <c r="JWB44" s="1004"/>
      <c r="JWC44" s="1004"/>
      <c r="JWD44" s="1004"/>
      <c r="JWE44" s="1004"/>
      <c r="JWF44" s="1004"/>
      <c r="JWG44" s="1004"/>
      <c r="JWH44" s="1004"/>
      <c r="JWI44" s="1004"/>
      <c r="JWJ44" s="1004"/>
      <c r="JWK44" s="1004"/>
      <c r="JWL44" s="1004"/>
      <c r="JWM44" s="1004"/>
      <c r="JWN44" s="1004"/>
      <c r="JWO44" s="1004"/>
      <c r="JWP44" s="1004"/>
      <c r="JWQ44" s="1004"/>
      <c r="JWR44" s="1004"/>
      <c r="JWS44" s="1004"/>
      <c r="JWT44" s="1004"/>
      <c r="JWU44" s="1004"/>
      <c r="JWV44" s="1004"/>
      <c r="JWW44" s="1004"/>
      <c r="JWX44" s="1004"/>
      <c r="JWY44" s="1004"/>
      <c r="JWZ44" s="1004"/>
      <c r="JXA44" s="1004"/>
      <c r="JXB44" s="1004"/>
      <c r="JXC44" s="1004"/>
      <c r="JXD44" s="1004"/>
      <c r="JXE44" s="1004"/>
      <c r="JXF44" s="1004"/>
      <c r="JXG44" s="1004"/>
      <c r="JXH44" s="1004"/>
      <c r="JXI44" s="1004"/>
      <c r="JXJ44" s="1004"/>
      <c r="JXK44" s="1004"/>
      <c r="JXL44" s="1004"/>
      <c r="JXM44" s="1004"/>
      <c r="JXN44" s="1004"/>
      <c r="JXO44" s="1004"/>
      <c r="JXP44" s="1004"/>
      <c r="JXQ44" s="1004"/>
      <c r="JXR44" s="1004"/>
      <c r="JXS44" s="1004"/>
      <c r="JXT44" s="1004"/>
      <c r="JXU44" s="1004"/>
      <c r="JXV44" s="1004"/>
      <c r="JXW44" s="1004"/>
      <c r="JXX44" s="1004"/>
      <c r="JXY44" s="1004"/>
      <c r="JXZ44" s="1004"/>
      <c r="JYA44" s="1004"/>
      <c r="JYB44" s="1004"/>
      <c r="JYC44" s="1004"/>
      <c r="JYD44" s="1004"/>
      <c r="JYE44" s="1004"/>
      <c r="JYF44" s="1004"/>
      <c r="JYG44" s="1004"/>
      <c r="JYH44" s="1004"/>
      <c r="JYI44" s="1004"/>
      <c r="JYJ44" s="1004"/>
      <c r="JYK44" s="1004"/>
      <c r="JYL44" s="1004"/>
      <c r="JYM44" s="1004"/>
      <c r="JYN44" s="1004"/>
      <c r="JYO44" s="1004"/>
      <c r="JYP44" s="1004"/>
      <c r="JYQ44" s="1004"/>
      <c r="JYR44" s="1004"/>
      <c r="JYS44" s="1004"/>
      <c r="JYT44" s="1004"/>
      <c r="JYU44" s="1004"/>
      <c r="JYV44" s="1004"/>
      <c r="JYW44" s="1004"/>
      <c r="JYX44" s="1004"/>
      <c r="JYY44" s="1004"/>
      <c r="JYZ44" s="1004"/>
      <c r="JZA44" s="1004"/>
      <c r="JZB44" s="1004"/>
      <c r="JZC44" s="1004"/>
      <c r="JZD44" s="1004"/>
      <c r="JZE44" s="1004"/>
      <c r="JZF44" s="1004"/>
      <c r="JZG44" s="1004"/>
      <c r="JZH44" s="1004"/>
      <c r="JZI44" s="1004"/>
      <c r="JZJ44" s="1004"/>
      <c r="JZK44" s="1004"/>
      <c r="JZL44" s="1004"/>
      <c r="JZM44" s="1004"/>
      <c r="JZN44" s="1004"/>
      <c r="JZO44" s="1004"/>
      <c r="JZP44" s="1004"/>
      <c r="JZQ44" s="1004"/>
      <c r="JZR44" s="1004"/>
      <c r="JZS44" s="1004"/>
      <c r="JZT44" s="1004"/>
      <c r="JZU44" s="1004"/>
      <c r="JZV44" s="1004"/>
      <c r="JZW44" s="1004"/>
      <c r="JZX44" s="1004"/>
      <c r="JZY44" s="1004"/>
      <c r="JZZ44" s="1004"/>
      <c r="KAA44" s="1004"/>
      <c r="KAB44" s="1004"/>
      <c r="KAC44" s="1004"/>
      <c r="KAD44" s="1004"/>
      <c r="KAE44" s="1004"/>
      <c r="KAF44" s="1004"/>
      <c r="KAG44" s="1004"/>
      <c r="KAH44" s="1004"/>
      <c r="KAI44" s="1004"/>
      <c r="KAJ44" s="1004"/>
      <c r="KAK44" s="1004"/>
      <c r="KAL44" s="1004"/>
      <c r="KAM44" s="1004"/>
      <c r="KAN44" s="1004"/>
      <c r="KAO44" s="1004"/>
      <c r="KAP44" s="1004"/>
      <c r="KAQ44" s="1004"/>
      <c r="KAR44" s="1004"/>
      <c r="KAS44" s="1004"/>
      <c r="KAT44" s="1004"/>
      <c r="KAU44" s="1004"/>
      <c r="KAV44" s="1004"/>
      <c r="KAW44" s="1004"/>
      <c r="KAX44" s="1004"/>
      <c r="KAY44" s="1004"/>
      <c r="KAZ44" s="1004"/>
      <c r="KBA44" s="1004"/>
      <c r="KBB44" s="1004"/>
      <c r="KBC44" s="1004"/>
      <c r="KBD44" s="1004"/>
      <c r="KBE44" s="1004"/>
      <c r="KBF44" s="1004"/>
      <c r="KBG44" s="1004"/>
      <c r="KBH44" s="1004"/>
      <c r="KBI44" s="1004"/>
      <c r="KBJ44" s="1004"/>
      <c r="KBK44" s="1004"/>
      <c r="KBL44" s="1004"/>
      <c r="KBM44" s="1004"/>
      <c r="KBN44" s="1004"/>
      <c r="KBO44" s="1004"/>
      <c r="KBP44" s="1004"/>
      <c r="KBQ44" s="1004"/>
      <c r="KBR44" s="1004"/>
      <c r="KBS44" s="1004"/>
      <c r="KBT44" s="1004"/>
      <c r="KBU44" s="1004"/>
      <c r="KBV44" s="1004"/>
      <c r="KBW44" s="1004"/>
      <c r="KBX44" s="1004"/>
      <c r="KBY44" s="1004"/>
      <c r="KBZ44" s="1004"/>
      <c r="KCA44" s="1004"/>
      <c r="KCB44" s="1004"/>
      <c r="KCC44" s="1004"/>
      <c r="KCD44" s="1004"/>
      <c r="KCE44" s="1004"/>
      <c r="KCF44" s="1004"/>
      <c r="KCG44" s="1004"/>
      <c r="KCH44" s="1004"/>
      <c r="KCI44" s="1004"/>
      <c r="KCJ44" s="1004"/>
      <c r="KCK44" s="1004"/>
      <c r="KCL44" s="1004"/>
      <c r="KCM44" s="1004"/>
      <c r="KCN44" s="1004"/>
      <c r="KCO44" s="1004"/>
      <c r="KCP44" s="1004"/>
      <c r="KCQ44" s="1004"/>
      <c r="KCR44" s="1004"/>
      <c r="KCS44" s="1004"/>
      <c r="KCT44" s="1004"/>
      <c r="KCU44" s="1004"/>
      <c r="KCV44" s="1004"/>
      <c r="KCW44" s="1004"/>
      <c r="KCX44" s="1004"/>
      <c r="KCY44" s="1004"/>
      <c r="KCZ44" s="1004"/>
      <c r="KDA44" s="1004"/>
      <c r="KDB44" s="1004"/>
      <c r="KDC44" s="1004"/>
      <c r="KDD44" s="1004"/>
      <c r="KDE44" s="1004"/>
      <c r="KDF44" s="1004"/>
      <c r="KDG44" s="1004"/>
      <c r="KDH44" s="1004"/>
      <c r="KDI44" s="1004"/>
      <c r="KDJ44" s="1004"/>
      <c r="KDK44" s="1004"/>
      <c r="KDL44" s="1004"/>
      <c r="KDM44" s="1004"/>
      <c r="KDN44" s="1004"/>
      <c r="KDO44" s="1004"/>
      <c r="KDP44" s="1004"/>
      <c r="KDQ44" s="1004"/>
      <c r="KDR44" s="1004"/>
      <c r="KDS44" s="1004"/>
      <c r="KDT44" s="1004"/>
      <c r="KDU44" s="1004"/>
      <c r="KDV44" s="1004"/>
      <c r="KDW44" s="1004"/>
      <c r="KDX44" s="1004"/>
      <c r="KDY44" s="1004"/>
      <c r="KDZ44" s="1004"/>
      <c r="KEA44" s="1004"/>
      <c r="KEB44" s="1004"/>
      <c r="KEC44" s="1004"/>
      <c r="KED44" s="1004"/>
      <c r="KEE44" s="1004"/>
      <c r="KEF44" s="1004"/>
      <c r="KEG44" s="1004"/>
      <c r="KEH44" s="1004"/>
      <c r="KEI44" s="1004"/>
      <c r="KEJ44" s="1004"/>
      <c r="KEK44" s="1004"/>
      <c r="KEL44" s="1004"/>
      <c r="KEM44" s="1004"/>
      <c r="KEN44" s="1004"/>
      <c r="KEO44" s="1004"/>
      <c r="KEP44" s="1004"/>
      <c r="KEQ44" s="1004"/>
      <c r="KER44" s="1004"/>
      <c r="KES44" s="1004"/>
      <c r="KET44" s="1004"/>
      <c r="KEU44" s="1004"/>
      <c r="KEV44" s="1004"/>
      <c r="KEW44" s="1004"/>
      <c r="KEX44" s="1004"/>
      <c r="KEY44" s="1004"/>
      <c r="KEZ44" s="1004"/>
      <c r="KFA44" s="1004"/>
      <c r="KFB44" s="1004"/>
      <c r="KFC44" s="1004"/>
      <c r="KFD44" s="1004"/>
      <c r="KFE44" s="1004"/>
      <c r="KFF44" s="1004"/>
      <c r="KFG44" s="1004"/>
      <c r="KFH44" s="1004"/>
      <c r="KFI44" s="1004"/>
      <c r="KFJ44" s="1004"/>
      <c r="KFK44" s="1004"/>
      <c r="KFL44" s="1004"/>
      <c r="KFM44" s="1004"/>
      <c r="KFN44" s="1004"/>
      <c r="KFO44" s="1004"/>
      <c r="KFP44" s="1004"/>
      <c r="KFQ44" s="1004"/>
      <c r="KFR44" s="1004"/>
      <c r="KFS44" s="1004"/>
      <c r="KFT44" s="1004"/>
      <c r="KFU44" s="1004"/>
      <c r="KFV44" s="1004"/>
      <c r="KFW44" s="1004"/>
      <c r="KFX44" s="1004"/>
      <c r="KFY44" s="1004"/>
      <c r="KFZ44" s="1004"/>
      <c r="KGA44" s="1004"/>
      <c r="KGB44" s="1004"/>
      <c r="KGC44" s="1004"/>
      <c r="KGD44" s="1004"/>
      <c r="KGE44" s="1004"/>
      <c r="KGF44" s="1004"/>
      <c r="KGG44" s="1004"/>
      <c r="KGH44" s="1004"/>
      <c r="KGI44" s="1004"/>
      <c r="KGJ44" s="1004"/>
      <c r="KGK44" s="1004"/>
      <c r="KGL44" s="1004"/>
      <c r="KGM44" s="1004"/>
      <c r="KGN44" s="1004"/>
      <c r="KGO44" s="1004"/>
      <c r="KGP44" s="1004"/>
      <c r="KGQ44" s="1004"/>
      <c r="KGR44" s="1004"/>
      <c r="KGS44" s="1004"/>
      <c r="KGT44" s="1004"/>
      <c r="KGU44" s="1004"/>
      <c r="KGV44" s="1004"/>
      <c r="KGW44" s="1004"/>
      <c r="KGX44" s="1004"/>
      <c r="KGY44" s="1004"/>
      <c r="KGZ44" s="1004"/>
      <c r="KHA44" s="1004"/>
      <c r="KHB44" s="1004"/>
      <c r="KHC44" s="1004"/>
      <c r="KHD44" s="1004"/>
      <c r="KHE44" s="1004"/>
      <c r="KHF44" s="1004"/>
      <c r="KHG44" s="1004"/>
      <c r="KHH44" s="1004"/>
      <c r="KHI44" s="1004"/>
      <c r="KHJ44" s="1004"/>
      <c r="KHK44" s="1004"/>
      <c r="KHL44" s="1004"/>
      <c r="KHM44" s="1004"/>
      <c r="KHN44" s="1004"/>
      <c r="KHO44" s="1004"/>
      <c r="KHP44" s="1004"/>
      <c r="KHQ44" s="1004"/>
      <c r="KHR44" s="1004"/>
      <c r="KHS44" s="1004"/>
      <c r="KHT44" s="1004"/>
      <c r="KHU44" s="1004"/>
      <c r="KHV44" s="1004"/>
      <c r="KHW44" s="1004"/>
      <c r="KHX44" s="1004"/>
      <c r="KHY44" s="1004"/>
      <c r="KHZ44" s="1004"/>
      <c r="KIA44" s="1004"/>
      <c r="KIB44" s="1004"/>
      <c r="KIC44" s="1004"/>
      <c r="KID44" s="1004"/>
      <c r="KIE44" s="1004"/>
      <c r="KIF44" s="1004"/>
      <c r="KIG44" s="1004"/>
      <c r="KIH44" s="1004"/>
      <c r="KII44" s="1004"/>
      <c r="KIJ44" s="1004"/>
      <c r="KIK44" s="1004"/>
      <c r="KIL44" s="1004"/>
      <c r="KIM44" s="1004"/>
      <c r="KIN44" s="1004"/>
      <c r="KIO44" s="1004"/>
      <c r="KIP44" s="1004"/>
      <c r="KIQ44" s="1004"/>
      <c r="KIR44" s="1004"/>
      <c r="KIS44" s="1004"/>
      <c r="KIT44" s="1004"/>
      <c r="KIU44" s="1004"/>
      <c r="KIV44" s="1004"/>
      <c r="KIW44" s="1004"/>
      <c r="KIX44" s="1004"/>
      <c r="KIY44" s="1004"/>
      <c r="KIZ44" s="1004"/>
      <c r="KJA44" s="1004"/>
      <c r="KJB44" s="1004"/>
      <c r="KJC44" s="1004"/>
      <c r="KJD44" s="1004"/>
      <c r="KJE44" s="1004"/>
      <c r="KJF44" s="1004"/>
      <c r="KJG44" s="1004"/>
      <c r="KJH44" s="1004"/>
      <c r="KJI44" s="1004"/>
      <c r="KJJ44" s="1004"/>
      <c r="KJK44" s="1004"/>
      <c r="KJL44" s="1004"/>
      <c r="KJM44" s="1004"/>
      <c r="KJN44" s="1004"/>
      <c r="KJO44" s="1004"/>
      <c r="KJP44" s="1004"/>
      <c r="KJQ44" s="1004"/>
      <c r="KJR44" s="1004"/>
      <c r="KJS44" s="1004"/>
      <c r="KJT44" s="1004"/>
      <c r="KJU44" s="1004"/>
      <c r="KJV44" s="1004"/>
      <c r="KJW44" s="1004"/>
      <c r="KJX44" s="1004"/>
      <c r="KJY44" s="1004"/>
      <c r="KJZ44" s="1004"/>
      <c r="KKA44" s="1004"/>
      <c r="KKB44" s="1004"/>
      <c r="KKC44" s="1004"/>
      <c r="KKD44" s="1004"/>
      <c r="KKE44" s="1004"/>
      <c r="KKF44" s="1004"/>
      <c r="KKG44" s="1004"/>
      <c r="KKH44" s="1004"/>
      <c r="KKI44" s="1004"/>
      <c r="KKJ44" s="1004"/>
      <c r="KKK44" s="1004"/>
      <c r="KKL44" s="1004"/>
      <c r="KKM44" s="1004"/>
      <c r="KKN44" s="1004"/>
      <c r="KKO44" s="1004"/>
      <c r="KKP44" s="1004"/>
      <c r="KKQ44" s="1004"/>
      <c r="KKR44" s="1004"/>
      <c r="KKS44" s="1004"/>
      <c r="KKT44" s="1004"/>
      <c r="KKU44" s="1004"/>
      <c r="KKV44" s="1004"/>
      <c r="KKW44" s="1004"/>
      <c r="KKX44" s="1004"/>
      <c r="KKY44" s="1004"/>
      <c r="KKZ44" s="1004"/>
      <c r="KLA44" s="1004"/>
      <c r="KLB44" s="1004"/>
      <c r="KLC44" s="1004"/>
      <c r="KLD44" s="1004"/>
      <c r="KLE44" s="1004"/>
      <c r="KLF44" s="1004"/>
      <c r="KLG44" s="1004"/>
      <c r="KLH44" s="1004"/>
      <c r="KLI44" s="1004"/>
      <c r="KLJ44" s="1004"/>
      <c r="KLK44" s="1004"/>
      <c r="KLL44" s="1004"/>
      <c r="KLM44" s="1004"/>
      <c r="KLN44" s="1004"/>
      <c r="KLO44" s="1004"/>
      <c r="KLP44" s="1004"/>
      <c r="KLQ44" s="1004"/>
      <c r="KLR44" s="1004"/>
      <c r="KLS44" s="1004"/>
      <c r="KLT44" s="1004"/>
      <c r="KLU44" s="1004"/>
      <c r="KLV44" s="1004"/>
      <c r="KLW44" s="1004"/>
      <c r="KLX44" s="1004"/>
      <c r="KLY44" s="1004"/>
      <c r="KLZ44" s="1004"/>
      <c r="KMA44" s="1004"/>
      <c r="KMB44" s="1004"/>
      <c r="KMC44" s="1004"/>
      <c r="KMD44" s="1004"/>
      <c r="KME44" s="1004"/>
      <c r="KMF44" s="1004"/>
      <c r="KMG44" s="1004"/>
      <c r="KMH44" s="1004"/>
      <c r="KMI44" s="1004"/>
      <c r="KMJ44" s="1004"/>
      <c r="KMK44" s="1004"/>
      <c r="KML44" s="1004"/>
      <c r="KMM44" s="1004"/>
      <c r="KMN44" s="1004"/>
      <c r="KMO44" s="1004"/>
      <c r="KMP44" s="1004"/>
      <c r="KMQ44" s="1004"/>
      <c r="KMR44" s="1004"/>
      <c r="KMS44" s="1004"/>
      <c r="KMT44" s="1004"/>
      <c r="KMU44" s="1004"/>
      <c r="KMV44" s="1004"/>
      <c r="KMW44" s="1004"/>
      <c r="KMX44" s="1004"/>
      <c r="KMY44" s="1004"/>
      <c r="KMZ44" s="1004"/>
      <c r="KNA44" s="1004"/>
      <c r="KNB44" s="1004"/>
      <c r="KNC44" s="1004"/>
      <c r="KND44" s="1004"/>
      <c r="KNE44" s="1004"/>
      <c r="KNF44" s="1004"/>
      <c r="KNG44" s="1004"/>
      <c r="KNH44" s="1004"/>
      <c r="KNI44" s="1004"/>
      <c r="KNJ44" s="1004"/>
      <c r="KNK44" s="1004"/>
      <c r="KNL44" s="1004"/>
      <c r="KNM44" s="1004"/>
      <c r="KNN44" s="1004"/>
      <c r="KNO44" s="1004"/>
      <c r="KNP44" s="1004"/>
      <c r="KNQ44" s="1004"/>
      <c r="KNR44" s="1004"/>
      <c r="KNS44" s="1004"/>
      <c r="KNT44" s="1004"/>
      <c r="KNU44" s="1004"/>
      <c r="KNV44" s="1004"/>
      <c r="KNW44" s="1004"/>
      <c r="KNX44" s="1004"/>
      <c r="KNY44" s="1004"/>
      <c r="KNZ44" s="1004"/>
      <c r="KOA44" s="1004"/>
      <c r="KOB44" s="1004"/>
      <c r="KOC44" s="1004"/>
      <c r="KOD44" s="1004"/>
      <c r="KOE44" s="1004"/>
      <c r="KOF44" s="1004"/>
      <c r="KOG44" s="1004"/>
      <c r="KOH44" s="1004"/>
      <c r="KOI44" s="1004"/>
      <c r="KOJ44" s="1004"/>
      <c r="KOK44" s="1004"/>
      <c r="KOL44" s="1004"/>
      <c r="KOM44" s="1004"/>
      <c r="KON44" s="1004"/>
      <c r="KOO44" s="1004"/>
      <c r="KOP44" s="1004"/>
      <c r="KOQ44" s="1004"/>
      <c r="KOR44" s="1004"/>
      <c r="KOS44" s="1004"/>
      <c r="KOT44" s="1004"/>
      <c r="KOU44" s="1004"/>
      <c r="KOV44" s="1004"/>
      <c r="KOW44" s="1004"/>
      <c r="KOX44" s="1004"/>
      <c r="KOY44" s="1004"/>
      <c r="KOZ44" s="1004"/>
      <c r="KPA44" s="1004"/>
      <c r="KPB44" s="1004"/>
      <c r="KPC44" s="1004"/>
      <c r="KPD44" s="1004"/>
      <c r="KPE44" s="1004"/>
      <c r="KPF44" s="1004"/>
      <c r="KPG44" s="1004"/>
      <c r="KPH44" s="1004"/>
      <c r="KPI44" s="1004"/>
      <c r="KPJ44" s="1004"/>
      <c r="KPK44" s="1004"/>
      <c r="KPL44" s="1004"/>
      <c r="KPM44" s="1004"/>
      <c r="KPN44" s="1004"/>
      <c r="KPO44" s="1004"/>
      <c r="KPP44" s="1004"/>
      <c r="KPQ44" s="1004"/>
      <c r="KPR44" s="1004"/>
      <c r="KPS44" s="1004"/>
      <c r="KPT44" s="1004"/>
      <c r="KPU44" s="1004"/>
      <c r="KPV44" s="1004"/>
      <c r="KPW44" s="1004"/>
      <c r="KPX44" s="1004"/>
      <c r="KPY44" s="1004"/>
      <c r="KPZ44" s="1004"/>
      <c r="KQA44" s="1004"/>
      <c r="KQB44" s="1004"/>
      <c r="KQC44" s="1004"/>
      <c r="KQD44" s="1004"/>
      <c r="KQE44" s="1004"/>
      <c r="KQF44" s="1004"/>
      <c r="KQG44" s="1004"/>
      <c r="KQH44" s="1004"/>
      <c r="KQI44" s="1004"/>
      <c r="KQJ44" s="1004"/>
      <c r="KQK44" s="1004"/>
      <c r="KQL44" s="1004"/>
      <c r="KQM44" s="1004"/>
      <c r="KQN44" s="1004"/>
      <c r="KQO44" s="1004"/>
      <c r="KQP44" s="1004"/>
      <c r="KQQ44" s="1004"/>
      <c r="KQR44" s="1004"/>
      <c r="KQS44" s="1004"/>
      <c r="KQT44" s="1004"/>
      <c r="KQU44" s="1004"/>
      <c r="KQV44" s="1004"/>
      <c r="KQW44" s="1004"/>
      <c r="KQX44" s="1004"/>
      <c r="KQY44" s="1004"/>
      <c r="KQZ44" s="1004"/>
      <c r="KRA44" s="1004"/>
      <c r="KRB44" s="1004"/>
      <c r="KRC44" s="1004"/>
      <c r="KRD44" s="1004"/>
      <c r="KRE44" s="1004"/>
      <c r="KRF44" s="1004"/>
      <c r="KRG44" s="1004"/>
      <c r="KRH44" s="1004"/>
      <c r="KRI44" s="1004"/>
      <c r="KRJ44" s="1004"/>
      <c r="KRK44" s="1004"/>
      <c r="KRL44" s="1004"/>
      <c r="KRM44" s="1004"/>
      <c r="KRN44" s="1004"/>
      <c r="KRO44" s="1004"/>
      <c r="KRP44" s="1004"/>
      <c r="KRQ44" s="1004"/>
      <c r="KRR44" s="1004"/>
      <c r="KRS44" s="1004"/>
      <c r="KRT44" s="1004"/>
      <c r="KRU44" s="1004"/>
      <c r="KRV44" s="1004"/>
      <c r="KRW44" s="1004"/>
      <c r="KRX44" s="1004"/>
      <c r="KRY44" s="1004"/>
      <c r="KRZ44" s="1004"/>
      <c r="KSA44" s="1004"/>
      <c r="KSB44" s="1004"/>
      <c r="KSC44" s="1004"/>
      <c r="KSD44" s="1004"/>
      <c r="KSE44" s="1004"/>
      <c r="KSF44" s="1004"/>
      <c r="KSG44" s="1004"/>
      <c r="KSH44" s="1004"/>
      <c r="KSI44" s="1004"/>
      <c r="KSJ44" s="1004"/>
      <c r="KSK44" s="1004"/>
      <c r="KSL44" s="1004"/>
      <c r="KSM44" s="1004"/>
      <c r="KSN44" s="1004"/>
      <c r="KSO44" s="1004"/>
      <c r="KSP44" s="1004"/>
      <c r="KSQ44" s="1004"/>
      <c r="KSR44" s="1004"/>
      <c r="KSS44" s="1004"/>
      <c r="KST44" s="1004"/>
      <c r="KSU44" s="1004"/>
      <c r="KSV44" s="1004"/>
      <c r="KSW44" s="1004"/>
      <c r="KSX44" s="1004"/>
      <c r="KSY44" s="1004"/>
      <c r="KSZ44" s="1004"/>
      <c r="KTA44" s="1004"/>
      <c r="KTB44" s="1004"/>
      <c r="KTC44" s="1004"/>
      <c r="KTD44" s="1004"/>
      <c r="KTE44" s="1004"/>
      <c r="KTF44" s="1004"/>
      <c r="KTG44" s="1004"/>
      <c r="KTH44" s="1004"/>
      <c r="KTI44" s="1004"/>
      <c r="KTJ44" s="1004"/>
      <c r="KTK44" s="1004"/>
      <c r="KTL44" s="1004"/>
      <c r="KTM44" s="1004"/>
      <c r="KTN44" s="1004"/>
      <c r="KTO44" s="1004"/>
      <c r="KTP44" s="1004"/>
      <c r="KTQ44" s="1004"/>
      <c r="KTR44" s="1004"/>
      <c r="KTS44" s="1004"/>
      <c r="KTT44" s="1004"/>
      <c r="KTU44" s="1004"/>
      <c r="KTV44" s="1004"/>
      <c r="KTW44" s="1004"/>
      <c r="KTX44" s="1004"/>
      <c r="KTY44" s="1004"/>
      <c r="KTZ44" s="1004"/>
      <c r="KUA44" s="1004"/>
      <c r="KUB44" s="1004"/>
      <c r="KUC44" s="1004"/>
      <c r="KUD44" s="1004"/>
      <c r="KUE44" s="1004"/>
      <c r="KUF44" s="1004"/>
      <c r="KUG44" s="1004"/>
      <c r="KUH44" s="1004"/>
      <c r="KUI44" s="1004"/>
      <c r="KUJ44" s="1004"/>
      <c r="KUK44" s="1004"/>
      <c r="KUL44" s="1004"/>
      <c r="KUM44" s="1004"/>
      <c r="KUN44" s="1004"/>
      <c r="KUO44" s="1004"/>
      <c r="KUP44" s="1004"/>
      <c r="KUQ44" s="1004"/>
      <c r="KUR44" s="1004"/>
      <c r="KUS44" s="1004"/>
      <c r="KUT44" s="1004"/>
      <c r="KUU44" s="1004"/>
      <c r="KUV44" s="1004"/>
      <c r="KUW44" s="1004"/>
      <c r="KUX44" s="1004"/>
      <c r="KUY44" s="1004"/>
      <c r="KUZ44" s="1004"/>
      <c r="KVA44" s="1004"/>
      <c r="KVB44" s="1004"/>
      <c r="KVC44" s="1004"/>
      <c r="KVD44" s="1004"/>
      <c r="KVE44" s="1004"/>
      <c r="KVF44" s="1004"/>
      <c r="KVG44" s="1004"/>
      <c r="KVH44" s="1004"/>
      <c r="KVI44" s="1004"/>
      <c r="KVJ44" s="1004"/>
      <c r="KVK44" s="1004"/>
      <c r="KVL44" s="1004"/>
      <c r="KVM44" s="1004"/>
      <c r="KVN44" s="1004"/>
      <c r="KVO44" s="1004"/>
      <c r="KVP44" s="1004"/>
      <c r="KVQ44" s="1004"/>
      <c r="KVR44" s="1004"/>
      <c r="KVS44" s="1004"/>
      <c r="KVT44" s="1004"/>
      <c r="KVU44" s="1004"/>
      <c r="KVV44" s="1004"/>
      <c r="KVW44" s="1004"/>
      <c r="KVX44" s="1004"/>
      <c r="KVY44" s="1004"/>
      <c r="KVZ44" s="1004"/>
      <c r="KWA44" s="1004"/>
      <c r="KWB44" s="1004"/>
      <c r="KWC44" s="1004"/>
      <c r="KWD44" s="1004"/>
      <c r="KWE44" s="1004"/>
      <c r="KWF44" s="1004"/>
      <c r="KWG44" s="1004"/>
      <c r="KWH44" s="1004"/>
      <c r="KWI44" s="1004"/>
      <c r="KWJ44" s="1004"/>
      <c r="KWK44" s="1004"/>
      <c r="KWL44" s="1004"/>
      <c r="KWM44" s="1004"/>
      <c r="KWN44" s="1004"/>
      <c r="KWO44" s="1004"/>
      <c r="KWP44" s="1004"/>
      <c r="KWQ44" s="1004"/>
      <c r="KWR44" s="1004"/>
      <c r="KWS44" s="1004"/>
      <c r="KWT44" s="1004"/>
      <c r="KWU44" s="1004"/>
      <c r="KWV44" s="1004"/>
      <c r="KWW44" s="1004"/>
      <c r="KWX44" s="1004"/>
      <c r="KWY44" s="1004"/>
      <c r="KWZ44" s="1004"/>
      <c r="KXA44" s="1004"/>
      <c r="KXB44" s="1004"/>
      <c r="KXC44" s="1004"/>
      <c r="KXD44" s="1004"/>
      <c r="KXE44" s="1004"/>
      <c r="KXF44" s="1004"/>
      <c r="KXG44" s="1004"/>
      <c r="KXH44" s="1004"/>
      <c r="KXI44" s="1004"/>
      <c r="KXJ44" s="1004"/>
      <c r="KXK44" s="1004"/>
      <c r="KXL44" s="1004"/>
      <c r="KXM44" s="1004"/>
      <c r="KXN44" s="1004"/>
      <c r="KXO44" s="1004"/>
      <c r="KXP44" s="1004"/>
      <c r="KXQ44" s="1004"/>
      <c r="KXR44" s="1004"/>
      <c r="KXS44" s="1004"/>
      <c r="KXT44" s="1004"/>
      <c r="KXU44" s="1004"/>
      <c r="KXV44" s="1004"/>
      <c r="KXW44" s="1004"/>
      <c r="KXX44" s="1004"/>
      <c r="KXY44" s="1004"/>
      <c r="KXZ44" s="1004"/>
      <c r="KYA44" s="1004"/>
      <c r="KYB44" s="1004"/>
      <c r="KYC44" s="1004"/>
      <c r="KYD44" s="1004"/>
      <c r="KYE44" s="1004"/>
      <c r="KYF44" s="1004"/>
      <c r="KYG44" s="1004"/>
      <c r="KYH44" s="1004"/>
      <c r="KYI44" s="1004"/>
      <c r="KYJ44" s="1004"/>
      <c r="KYK44" s="1004"/>
      <c r="KYL44" s="1004"/>
      <c r="KYM44" s="1004"/>
      <c r="KYN44" s="1004"/>
      <c r="KYO44" s="1004"/>
      <c r="KYP44" s="1004"/>
      <c r="KYQ44" s="1004"/>
      <c r="KYR44" s="1004"/>
      <c r="KYS44" s="1004"/>
      <c r="KYT44" s="1004"/>
      <c r="KYU44" s="1004"/>
      <c r="KYV44" s="1004"/>
      <c r="KYW44" s="1004"/>
      <c r="KYX44" s="1004"/>
      <c r="KYY44" s="1004"/>
      <c r="KYZ44" s="1004"/>
      <c r="KZA44" s="1004"/>
      <c r="KZB44" s="1004"/>
      <c r="KZC44" s="1004"/>
      <c r="KZD44" s="1004"/>
      <c r="KZE44" s="1004"/>
      <c r="KZF44" s="1004"/>
      <c r="KZG44" s="1004"/>
      <c r="KZH44" s="1004"/>
      <c r="KZI44" s="1004"/>
      <c r="KZJ44" s="1004"/>
      <c r="KZK44" s="1004"/>
      <c r="KZL44" s="1004"/>
      <c r="KZM44" s="1004"/>
      <c r="KZN44" s="1004"/>
      <c r="KZO44" s="1004"/>
      <c r="KZP44" s="1004"/>
      <c r="KZQ44" s="1004"/>
      <c r="KZR44" s="1004"/>
      <c r="KZS44" s="1004"/>
      <c r="KZT44" s="1004"/>
      <c r="KZU44" s="1004"/>
      <c r="KZV44" s="1004"/>
      <c r="KZW44" s="1004"/>
      <c r="KZX44" s="1004"/>
      <c r="KZY44" s="1004"/>
      <c r="KZZ44" s="1004"/>
      <c r="LAA44" s="1004"/>
      <c r="LAB44" s="1004"/>
      <c r="LAC44" s="1004"/>
      <c r="LAD44" s="1004"/>
      <c r="LAE44" s="1004"/>
      <c r="LAF44" s="1004"/>
      <c r="LAG44" s="1004"/>
      <c r="LAH44" s="1004"/>
      <c r="LAI44" s="1004"/>
      <c r="LAJ44" s="1004"/>
      <c r="LAK44" s="1004"/>
      <c r="LAL44" s="1004"/>
      <c r="LAM44" s="1004"/>
      <c r="LAN44" s="1004"/>
      <c r="LAO44" s="1004"/>
      <c r="LAP44" s="1004"/>
      <c r="LAQ44" s="1004"/>
      <c r="LAR44" s="1004"/>
      <c r="LAS44" s="1004"/>
      <c r="LAT44" s="1004"/>
      <c r="LAU44" s="1004"/>
      <c r="LAV44" s="1004"/>
      <c r="LAW44" s="1004"/>
      <c r="LAX44" s="1004"/>
      <c r="LAY44" s="1004"/>
      <c r="LAZ44" s="1004"/>
      <c r="LBA44" s="1004"/>
      <c r="LBB44" s="1004"/>
      <c r="LBC44" s="1004"/>
      <c r="LBD44" s="1004"/>
      <c r="LBE44" s="1004"/>
      <c r="LBF44" s="1004"/>
      <c r="LBG44" s="1004"/>
      <c r="LBH44" s="1004"/>
      <c r="LBI44" s="1004"/>
      <c r="LBJ44" s="1004"/>
      <c r="LBK44" s="1004"/>
      <c r="LBL44" s="1004"/>
      <c r="LBM44" s="1004"/>
      <c r="LBN44" s="1004"/>
      <c r="LBO44" s="1004"/>
      <c r="LBP44" s="1004"/>
      <c r="LBQ44" s="1004"/>
      <c r="LBR44" s="1004"/>
      <c r="LBS44" s="1004"/>
      <c r="LBT44" s="1004"/>
      <c r="LBU44" s="1004"/>
      <c r="LBV44" s="1004"/>
      <c r="LBW44" s="1004"/>
      <c r="LBX44" s="1004"/>
      <c r="LBY44" s="1004"/>
      <c r="LBZ44" s="1004"/>
      <c r="LCA44" s="1004"/>
      <c r="LCB44" s="1004"/>
      <c r="LCC44" s="1004"/>
      <c r="LCD44" s="1004"/>
      <c r="LCE44" s="1004"/>
      <c r="LCF44" s="1004"/>
      <c r="LCG44" s="1004"/>
      <c r="LCH44" s="1004"/>
      <c r="LCI44" s="1004"/>
      <c r="LCJ44" s="1004"/>
      <c r="LCK44" s="1004"/>
      <c r="LCL44" s="1004"/>
      <c r="LCM44" s="1004"/>
      <c r="LCN44" s="1004"/>
      <c r="LCO44" s="1004"/>
      <c r="LCP44" s="1004"/>
      <c r="LCQ44" s="1004"/>
      <c r="LCR44" s="1004"/>
      <c r="LCS44" s="1004"/>
      <c r="LCT44" s="1004"/>
      <c r="LCU44" s="1004"/>
      <c r="LCV44" s="1004"/>
      <c r="LCW44" s="1004"/>
      <c r="LCX44" s="1004"/>
      <c r="LCY44" s="1004"/>
      <c r="LCZ44" s="1004"/>
      <c r="LDA44" s="1004"/>
      <c r="LDB44" s="1004"/>
      <c r="LDC44" s="1004"/>
      <c r="LDD44" s="1004"/>
      <c r="LDE44" s="1004"/>
      <c r="LDF44" s="1004"/>
      <c r="LDG44" s="1004"/>
      <c r="LDH44" s="1004"/>
      <c r="LDI44" s="1004"/>
      <c r="LDJ44" s="1004"/>
      <c r="LDK44" s="1004"/>
      <c r="LDL44" s="1004"/>
      <c r="LDM44" s="1004"/>
      <c r="LDN44" s="1004"/>
      <c r="LDO44" s="1004"/>
      <c r="LDP44" s="1004"/>
      <c r="LDQ44" s="1004"/>
      <c r="LDR44" s="1004"/>
      <c r="LDS44" s="1004"/>
      <c r="LDT44" s="1004"/>
      <c r="LDU44" s="1004"/>
      <c r="LDV44" s="1004"/>
      <c r="LDW44" s="1004"/>
      <c r="LDX44" s="1004"/>
      <c r="LDY44" s="1004"/>
      <c r="LDZ44" s="1004"/>
      <c r="LEA44" s="1004"/>
      <c r="LEB44" s="1004"/>
      <c r="LEC44" s="1004"/>
      <c r="LED44" s="1004"/>
      <c r="LEE44" s="1004"/>
      <c r="LEF44" s="1004"/>
      <c r="LEG44" s="1004"/>
      <c r="LEH44" s="1004"/>
      <c r="LEI44" s="1004"/>
      <c r="LEJ44" s="1004"/>
      <c r="LEK44" s="1004"/>
      <c r="LEL44" s="1004"/>
      <c r="LEM44" s="1004"/>
      <c r="LEN44" s="1004"/>
      <c r="LEO44" s="1004"/>
      <c r="LEP44" s="1004"/>
      <c r="LEQ44" s="1004"/>
      <c r="LER44" s="1004"/>
      <c r="LES44" s="1004"/>
      <c r="LET44" s="1004"/>
      <c r="LEU44" s="1004"/>
      <c r="LEV44" s="1004"/>
      <c r="LEW44" s="1004"/>
      <c r="LEX44" s="1004"/>
      <c r="LEY44" s="1004"/>
      <c r="LEZ44" s="1004"/>
      <c r="LFA44" s="1004"/>
      <c r="LFB44" s="1004"/>
      <c r="LFC44" s="1004"/>
      <c r="LFD44" s="1004"/>
      <c r="LFE44" s="1004"/>
      <c r="LFF44" s="1004"/>
      <c r="LFG44" s="1004"/>
      <c r="LFH44" s="1004"/>
      <c r="LFI44" s="1004"/>
      <c r="LFJ44" s="1004"/>
      <c r="LFK44" s="1004"/>
      <c r="LFL44" s="1004"/>
      <c r="LFM44" s="1004"/>
      <c r="LFN44" s="1004"/>
      <c r="LFO44" s="1004"/>
      <c r="LFP44" s="1004"/>
      <c r="LFQ44" s="1004"/>
      <c r="LFR44" s="1004"/>
      <c r="LFS44" s="1004"/>
      <c r="LFT44" s="1004"/>
      <c r="LFU44" s="1004"/>
      <c r="LFV44" s="1004"/>
      <c r="LFW44" s="1004"/>
      <c r="LFX44" s="1004"/>
      <c r="LFY44" s="1004"/>
      <c r="LFZ44" s="1004"/>
      <c r="LGA44" s="1004"/>
      <c r="LGB44" s="1004"/>
      <c r="LGC44" s="1004"/>
      <c r="LGD44" s="1004"/>
      <c r="LGE44" s="1004"/>
      <c r="LGF44" s="1004"/>
      <c r="LGG44" s="1004"/>
      <c r="LGH44" s="1004"/>
      <c r="LGI44" s="1004"/>
      <c r="LGJ44" s="1004"/>
      <c r="LGK44" s="1004"/>
      <c r="LGL44" s="1004"/>
      <c r="LGM44" s="1004"/>
      <c r="LGN44" s="1004"/>
      <c r="LGO44" s="1004"/>
      <c r="LGP44" s="1004"/>
      <c r="LGQ44" s="1004"/>
      <c r="LGR44" s="1004"/>
      <c r="LGS44" s="1004"/>
      <c r="LGT44" s="1004"/>
      <c r="LGU44" s="1004"/>
      <c r="LGV44" s="1004"/>
      <c r="LGW44" s="1004"/>
      <c r="LGX44" s="1004"/>
      <c r="LGY44" s="1004"/>
      <c r="LGZ44" s="1004"/>
      <c r="LHA44" s="1004"/>
      <c r="LHB44" s="1004"/>
      <c r="LHC44" s="1004"/>
      <c r="LHD44" s="1004"/>
      <c r="LHE44" s="1004"/>
      <c r="LHF44" s="1004"/>
      <c r="LHG44" s="1004"/>
      <c r="LHH44" s="1004"/>
      <c r="LHI44" s="1004"/>
      <c r="LHJ44" s="1004"/>
      <c r="LHK44" s="1004"/>
      <c r="LHL44" s="1004"/>
      <c r="LHM44" s="1004"/>
      <c r="LHN44" s="1004"/>
      <c r="LHO44" s="1004"/>
      <c r="LHP44" s="1004"/>
      <c r="LHQ44" s="1004"/>
      <c r="LHR44" s="1004"/>
      <c r="LHS44" s="1004"/>
      <c r="LHT44" s="1004"/>
      <c r="LHU44" s="1004"/>
      <c r="LHV44" s="1004"/>
      <c r="LHW44" s="1004"/>
      <c r="LHX44" s="1004"/>
      <c r="LHY44" s="1004"/>
      <c r="LHZ44" s="1004"/>
      <c r="LIA44" s="1004"/>
      <c r="LIB44" s="1004"/>
      <c r="LIC44" s="1004"/>
      <c r="LID44" s="1004"/>
      <c r="LIE44" s="1004"/>
      <c r="LIF44" s="1004"/>
      <c r="LIG44" s="1004"/>
      <c r="LIH44" s="1004"/>
      <c r="LII44" s="1004"/>
      <c r="LIJ44" s="1004"/>
      <c r="LIK44" s="1004"/>
      <c r="LIL44" s="1004"/>
      <c r="LIM44" s="1004"/>
      <c r="LIN44" s="1004"/>
      <c r="LIO44" s="1004"/>
      <c r="LIP44" s="1004"/>
      <c r="LIQ44" s="1004"/>
      <c r="LIR44" s="1004"/>
      <c r="LIS44" s="1004"/>
      <c r="LIT44" s="1004"/>
      <c r="LIU44" s="1004"/>
      <c r="LIV44" s="1004"/>
      <c r="LIW44" s="1004"/>
      <c r="LIX44" s="1004"/>
      <c r="LIY44" s="1004"/>
      <c r="LIZ44" s="1004"/>
      <c r="LJA44" s="1004"/>
      <c r="LJB44" s="1004"/>
      <c r="LJC44" s="1004"/>
      <c r="LJD44" s="1004"/>
      <c r="LJE44" s="1004"/>
      <c r="LJF44" s="1004"/>
      <c r="LJG44" s="1004"/>
      <c r="LJH44" s="1004"/>
      <c r="LJI44" s="1004"/>
      <c r="LJJ44" s="1004"/>
      <c r="LJK44" s="1004"/>
      <c r="LJL44" s="1004"/>
      <c r="LJM44" s="1004"/>
      <c r="LJN44" s="1004"/>
      <c r="LJO44" s="1004"/>
      <c r="LJP44" s="1004"/>
      <c r="LJQ44" s="1004"/>
      <c r="LJR44" s="1004"/>
      <c r="LJS44" s="1004"/>
      <c r="LJT44" s="1004"/>
      <c r="LJU44" s="1004"/>
      <c r="LJV44" s="1004"/>
      <c r="LJW44" s="1004"/>
      <c r="LJX44" s="1004"/>
      <c r="LJY44" s="1004"/>
      <c r="LJZ44" s="1004"/>
      <c r="LKA44" s="1004"/>
      <c r="LKB44" s="1004"/>
      <c r="LKC44" s="1004"/>
      <c r="LKD44" s="1004"/>
      <c r="LKE44" s="1004"/>
      <c r="LKF44" s="1004"/>
      <c r="LKG44" s="1004"/>
      <c r="LKH44" s="1004"/>
      <c r="LKI44" s="1004"/>
      <c r="LKJ44" s="1004"/>
      <c r="LKK44" s="1004"/>
      <c r="LKL44" s="1004"/>
      <c r="LKM44" s="1004"/>
      <c r="LKN44" s="1004"/>
      <c r="LKO44" s="1004"/>
      <c r="LKP44" s="1004"/>
      <c r="LKQ44" s="1004"/>
      <c r="LKR44" s="1004"/>
      <c r="LKS44" s="1004"/>
      <c r="LKT44" s="1004"/>
      <c r="LKU44" s="1004"/>
      <c r="LKV44" s="1004"/>
      <c r="LKW44" s="1004"/>
      <c r="LKX44" s="1004"/>
      <c r="LKY44" s="1004"/>
      <c r="LKZ44" s="1004"/>
      <c r="LLA44" s="1004"/>
      <c r="LLB44" s="1004"/>
      <c r="LLC44" s="1004"/>
      <c r="LLD44" s="1004"/>
      <c r="LLE44" s="1004"/>
      <c r="LLF44" s="1004"/>
      <c r="LLG44" s="1004"/>
      <c r="LLH44" s="1004"/>
      <c r="LLI44" s="1004"/>
      <c r="LLJ44" s="1004"/>
      <c r="LLK44" s="1004"/>
      <c r="LLL44" s="1004"/>
      <c r="LLM44" s="1004"/>
      <c r="LLN44" s="1004"/>
      <c r="LLO44" s="1004"/>
      <c r="LLP44" s="1004"/>
      <c r="LLQ44" s="1004"/>
      <c r="LLR44" s="1004"/>
      <c r="LLS44" s="1004"/>
      <c r="LLT44" s="1004"/>
      <c r="LLU44" s="1004"/>
      <c r="LLV44" s="1004"/>
      <c r="LLW44" s="1004"/>
      <c r="LLX44" s="1004"/>
      <c r="LLY44" s="1004"/>
      <c r="LLZ44" s="1004"/>
      <c r="LMA44" s="1004"/>
      <c r="LMB44" s="1004"/>
      <c r="LMC44" s="1004"/>
      <c r="LMD44" s="1004"/>
      <c r="LME44" s="1004"/>
      <c r="LMF44" s="1004"/>
      <c r="LMG44" s="1004"/>
      <c r="LMH44" s="1004"/>
      <c r="LMI44" s="1004"/>
      <c r="LMJ44" s="1004"/>
      <c r="LMK44" s="1004"/>
      <c r="LML44" s="1004"/>
      <c r="LMM44" s="1004"/>
      <c r="LMN44" s="1004"/>
      <c r="LMO44" s="1004"/>
      <c r="LMP44" s="1004"/>
      <c r="LMQ44" s="1004"/>
      <c r="LMR44" s="1004"/>
      <c r="LMS44" s="1004"/>
      <c r="LMT44" s="1004"/>
      <c r="LMU44" s="1004"/>
      <c r="LMV44" s="1004"/>
      <c r="LMW44" s="1004"/>
      <c r="LMX44" s="1004"/>
      <c r="LMY44" s="1004"/>
      <c r="LMZ44" s="1004"/>
      <c r="LNA44" s="1004"/>
      <c r="LNB44" s="1004"/>
      <c r="LNC44" s="1004"/>
      <c r="LND44" s="1004"/>
      <c r="LNE44" s="1004"/>
      <c r="LNF44" s="1004"/>
      <c r="LNG44" s="1004"/>
      <c r="LNH44" s="1004"/>
      <c r="LNI44" s="1004"/>
      <c r="LNJ44" s="1004"/>
      <c r="LNK44" s="1004"/>
      <c r="LNL44" s="1004"/>
      <c r="LNM44" s="1004"/>
      <c r="LNN44" s="1004"/>
      <c r="LNO44" s="1004"/>
      <c r="LNP44" s="1004"/>
      <c r="LNQ44" s="1004"/>
      <c r="LNR44" s="1004"/>
      <c r="LNS44" s="1004"/>
      <c r="LNT44" s="1004"/>
      <c r="LNU44" s="1004"/>
      <c r="LNV44" s="1004"/>
      <c r="LNW44" s="1004"/>
      <c r="LNX44" s="1004"/>
      <c r="LNY44" s="1004"/>
      <c r="LNZ44" s="1004"/>
      <c r="LOA44" s="1004"/>
      <c r="LOB44" s="1004"/>
      <c r="LOC44" s="1004"/>
      <c r="LOD44" s="1004"/>
      <c r="LOE44" s="1004"/>
      <c r="LOF44" s="1004"/>
      <c r="LOG44" s="1004"/>
      <c r="LOH44" s="1004"/>
      <c r="LOI44" s="1004"/>
      <c r="LOJ44" s="1004"/>
      <c r="LOK44" s="1004"/>
      <c r="LOL44" s="1004"/>
      <c r="LOM44" s="1004"/>
      <c r="LON44" s="1004"/>
      <c r="LOO44" s="1004"/>
      <c r="LOP44" s="1004"/>
      <c r="LOQ44" s="1004"/>
      <c r="LOR44" s="1004"/>
      <c r="LOS44" s="1004"/>
      <c r="LOT44" s="1004"/>
      <c r="LOU44" s="1004"/>
      <c r="LOV44" s="1004"/>
      <c r="LOW44" s="1004"/>
      <c r="LOX44" s="1004"/>
      <c r="LOY44" s="1004"/>
      <c r="LOZ44" s="1004"/>
      <c r="LPA44" s="1004"/>
      <c r="LPB44" s="1004"/>
      <c r="LPC44" s="1004"/>
      <c r="LPD44" s="1004"/>
      <c r="LPE44" s="1004"/>
      <c r="LPF44" s="1004"/>
      <c r="LPG44" s="1004"/>
      <c r="LPH44" s="1004"/>
      <c r="LPI44" s="1004"/>
      <c r="LPJ44" s="1004"/>
      <c r="LPK44" s="1004"/>
      <c r="LPL44" s="1004"/>
      <c r="LPM44" s="1004"/>
      <c r="LPN44" s="1004"/>
      <c r="LPO44" s="1004"/>
      <c r="LPP44" s="1004"/>
      <c r="LPQ44" s="1004"/>
      <c r="LPR44" s="1004"/>
      <c r="LPS44" s="1004"/>
      <c r="LPT44" s="1004"/>
      <c r="LPU44" s="1004"/>
      <c r="LPV44" s="1004"/>
      <c r="LPW44" s="1004"/>
      <c r="LPX44" s="1004"/>
      <c r="LPY44" s="1004"/>
      <c r="LPZ44" s="1004"/>
      <c r="LQA44" s="1004"/>
      <c r="LQB44" s="1004"/>
      <c r="LQC44" s="1004"/>
      <c r="LQD44" s="1004"/>
      <c r="LQE44" s="1004"/>
      <c r="LQF44" s="1004"/>
      <c r="LQG44" s="1004"/>
      <c r="LQH44" s="1004"/>
      <c r="LQI44" s="1004"/>
      <c r="LQJ44" s="1004"/>
      <c r="LQK44" s="1004"/>
      <c r="LQL44" s="1004"/>
      <c r="LQM44" s="1004"/>
      <c r="LQN44" s="1004"/>
      <c r="LQO44" s="1004"/>
      <c r="LQP44" s="1004"/>
      <c r="LQQ44" s="1004"/>
      <c r="LQR44" s="1004"/>
      <c r="LQS44" s="1004"/>
      <c r="LQT44" s="1004"/>
      <c r="LQU44" s="1004"/>
      <c r="LQV44" s="1004"/>
      <c r="LQW44" s="1004"/>
      <c r="LQX44" s="1004"/>
      <c r="LQY44" s="1004"/>
      <c r="LQZ44" s="1004"/>
      <c r="LRA44" s="1004"/>
      <c r="LRB44" s="1004"/>
      <c r="LRC44" s="1004"/>
      <c r="LRD44" s="1004"/>
      <c r="LRE44" s="1004"/>
      <c r="LRF44" s="1004"/>
      <c r="LRG44" s="1004"/>
      <c r="LRH44" s="1004"/>
      <c r="LRI44" s="1004"/>
      <c r="LRJ44" s="1004"/>
      <c r="LRK44" s="1004"/>
      <c r="LRL44" s="1004"/>
      <c r="LRM44" s="1004"/>
      <c r="LRN44" s="1004"/>
      <c r="LRO44" s="1004"/>
      <c r="LRP44" s="1004"/>
      <c r="LRQ44" s="1004"/>
      <c r="LRR44" s="1004"/>
      <c r="LRS44" s="1004"/>
      <c r="LRT44" s="1004"/>
      <c r="LRU44" s="1004"/>
      <c r="LRV44" s="1004"/>
      <c r="LRW44" s="1004"/>
      <c r="LRX44" s="1004"/>
      <c r="LRY44" s="1004"/>
      <c r="LRZ44" s="1004"/>
      <c r="LSA44" s="1004"/>
      <c r="LSB44" s="1004"/>
      <c r="LSC44" s="1004"/>
      <c r="LSD44" s="1004"/>
      <c r="LSE44" s="1004"/>
      <c r="LSF44" s="1004"/>
      <c r="LSG44" s="1004"/>
      <c r="LSH44" s="1004"/>
      <c r="LSI44" s="1004"/>
      <c r="LSJ44" s="1004"/>
      <c r="LSK44" s="1004"/>
      <c r="LSL44" s="1004"/>
      <c r="LSM44" s="1004"/>
      <c r="LSN44" s="1004"/>
      <c r="LSO44" s="1004"/>
      <c r="LSP44" s="1004"/>
      <c r="LSQ44" s="1004"/>
      <c r="LSR44" s="1004"/>
      <c r="LSS44" s="1004"/>
      <c r="LST44" s="1004"/>
      <c r="LSU44" s="1004"/>
      <c r="LSV44" s="1004"/>
      <c r="LSW44" s="1004"/>
      <c r="LSX44" s="1004"/>
      <c r="LSY44" s="1004"/>
      <c r="LSZ44" s="1004"/>
      <c r="LTA44" s="1004"/>
      <c r="LTB44" s="1004"/>
      <c r="LTC44" s="1004"/>
      <c r="LTD44" s="1004"/>
      <c r="LTE44" s="1004"/>
      <c r="LTF44" s="1004"/>
      <c r="LTG44" s="1004"/>
      <c r="LTH44" s="1004"/>
      <c r="LTI44" s="1004"/>
      <c r="LTJ44" s="1004"/>
      <c r="LTK44" s="1004"/>
      <c r="LTL44" s="1004"/>
      <c r="LTM44" s="1004"/>
      <c r="LTN44" s="1004"/>
      <c r="LTO44" s="1004"/>
      <c r="LTP44" s="1004"/>
      <c r="LTQ44" s="1004"/>
      <c r="LTR44" s="1004"/>
      <c r="LTS44" s="1004"/>
      <c r="LTT44" s="1004"/>
      <c r="LTU44" s="1004"/>
      <c r="LTV44" s="1004"/>
      <c r="LTW44" s="1004"/>
      <c r="LTX44" s="1004"/>
      <c r="LTY44" s="1004"/>
      <c r="LTZ44" s="1004"/>
      <c r="LUA44" s="1004"/>
      <c r="LUB44" s="1004"/>
      <c r="LUC44" s="1004"/>
      <c r="LUD44" s="1004"/>
      <c r="LUE44" s="1004"/>
      <c r="LUF44" s="1004"/>
      <c r="LUG44" s="1004"/>
      <c r="LUH44" s="1004"/>
      <c r="LUI44" s="1004"/>
      <c r="LUJ44" s="1004"/>
      <c r="LUK44" s="1004"/>
      <c r="LUL44" s="1004"/>
      <c r="LUM44" s="1004"/>
      <c r="LUN44" s="1004"/>
      <c r="LUO44" s="1004"/>
      <c r="LUP44" s="1004"/>
      <c r="LUQ44" s="1004"/>
      <c r="LUR44" s="1004"/>
      <c r="LUS44" s="1004"/>
      <c r="LUT44" s="1004"/>
      <c r="LUU44" s="1004"/>
      <c r="LUV44" s="1004"/>
      <c r="LUW44" s="1004"/>
      <c r="LUX44" s="1004"/>
      <c r="LUY44" s="1004"/>
      <c r="LUZ44" s="1004"/>
      <c r="LVA44" s="1004"/>
      <c r="LVB44" s="1004"/>
      <c r="LVC44" s="1004"/>
      <c r="LVD44" s="1004"/>
      <c r="LVE44" s="1004"/>
      <c r="LVF44" s="1004"/>
      <c r="LVG44" s="1004"/>
      <c r="LVH44" s="1004"/>
      <c r="LVI44" s="1004"/>
      <c r="LVJ44" s="1004"/>
      <c r="LVK44" s="1004"/>
      <c r="LVL44" s="1004"/>
      <c r="LVM44" s="1004"/>
      <c r="LVN44" s="1004"/>
      <c r="LVO44" s="1004"/>
      <c r="LVP44" s="1004"/>
      <c r="LVQ44" s="1004"/>
      <c r="LVR44" s="1004"/>
      <c r="LVS44" s="1004"/>
      <c r="LVT44" s="1004"/>
      <c r="LVU44" s="1004"/>
      <c r="LVV44" s="1004"/>
      <c r="LVW44" s="1004"/>
      <c r="LVX44" s="1004"/>
      <c r="LVY44" s="1004"/>
      <c r="LVZ44" s="1004"/>
      <c r="LWA44" s="1004"/>
      <c r="LWB44" s="1004"/>
      <c r="LWC44" s="1004"/>
      <c r="LWD44" s="1004"/>
      <c r="LWE44" s="1004"/>
      <c r="LWF44" s="1004"/>
      <c r="LWG44" s="1004"/>
      <c r="LWH44" s="1004"/>
      <c r="LWI44" s="1004"/>
      <c r="LWJ44" s="1004"/>
      <c r="LWK44" s="1004"/>
      <c r="LWL44" s="1004"/>
      <c r="LWM44" s="1004"/>
      <c r="LWN44" s="1004"/>
      <c r="LWO44" s="1004"/>
      <c r="LWP44" s="1004"/>
      <c r="LWQ44" s="1004"/>
      <c r="LWR44" s="1004"/>
      <c r="LWS44" s="1004"/>
      <c r="LWT44" s="1004"/>
      <c r="LWU44" s="1004"/>
      <c r="LWV44" s="1004"/>
      <c r="LWW44" s="1004"/>
      <c r="LWX44" s="1004"/>
      <c r="LWY44" s="1004"/>
      <c r="LWZ44" s="1004"/>
      <c r="LXA44" s="1004"/>
      <c r="LXB44" s="1004"/>
      <c r="LXC44" s="1004"/>
      <c r="LXD44" s="1004"/>
      <c r="LXE44" s="1004"/>
      <c r="LXF44" s="1004"/>
      <c r="LXG44" s="1004"/>
      <c r="LXH44" s="1004"/>
      <c r="LXI44" s="1004"/>
      <c r="LXJ44" s="1004"/>
      <c r="LXK44" s="1004"/>
      <c r="LXL44" s="1004"/>
      <c r="LXM44" s="1004"/>
      <c r="LXN44" s="1004"/>
      <c r="LXO44" s="1004"/>
      <c r="LXP44" s="1004"/>
      <c r="LXQ44" s="1004"/>
      <c r="LXR44" s="1004"/>
      <c r="LXS44" s="1004"/>
      <c r="LXT44" s="1004"/>
      <c r="LXU44" s="1004"/>
      <c r="LXV44" s="1004"/>
      <c r="LXW44" s="1004"/>
      <c r="LXX44" s="1004"/>
      <c r="LXY44" s="1004"/>
      <c r="LXZ44" s="1004"/>
      <c r="LYA44" s="1004"/>
      <c r="LYB44" s="1004"/>
      <c r="LYC44" s="1004"/>
      <c r="LYD44" s="1004"/>
      <c r="LYE44" s="1004"/>
      <c r="LYF44" s="1004"/>
      <c r="LYG44" s="1004"/>
      <c r="LYH44" s="1004"/>
      <c r="LYI44" s="1004"/>
      <c r="LYJ44" s="1004"/>
      <c r="LYK44" s="1004"/>
      <c r="LYL44" s="1004"/>
      <c r="LYM44" s="1004"/>
      <c r="LYN44" s="1004"/>
      <c r="LYO44" s="1004"/>
      <c r="LYP44" s="1004"/>
      <c r="LYQ44" s="1004"/>
      <c r="LYR44" s="1004"/>
      <c r="LYS44" s="1004"/>
      <c r="LYT44" s="1004"/>
      <c r="LYU44" s="1004"/>
      <c r="LYV44" s="1004"/>
      <c r="LYW44" s="1004"/>
      <c r="LYX44" s="1004"/>
      <c r="LYY44" s="1004"/>
      <c r="LYZ44" s="1004"/>
      <c r="LZA44" s="1004"/>
      <c r="LZB44" s="1004"/>
      <c r="LZC44" s="1004"/>
      <c r="LZD44" s="1004"/>
      <c r="LZE44" s="1004"/>
      <c r="LZF44" s="1004"/>
      <c r="LZG44" s="1004"/>
      <c r="LZH44" s="1004"/>
      <c r="LZI44" s="1004"/>
      <c r="LZJ44" s="1004"/>
      <c r="LZK44" s="1004"/>
      <c r="LZL44" s="1004"/>
      <c r="LZM44" s="1004"/>
      <c r="LZN44" s="1004"/>
      <c r="LZO44" s="1004"/>
      <c r="LZP44" s="1004"/>
      <c r="LZQ44" s="1004"/>
      <c r="LZR44" s="1004"/>
      <c r="LZS44" s="1004"/>
      <c r="LZT44" s="1004"/>
      <c r="LZU44" s="1004"/>
      <c r="LZV44" s="1004"/>
      <c r="LZW44" s="1004"/>
      <c r="LZX44" s="1004"/>
      <c r="LZY44" s="1004"/>
      <c r="LZZ44" s="1004"/>
      <c r="MAA44" s="1004"/>
      <c r="MAB44" s="1004"/>
      <c r="MAC44" s="1004"/>
      <c r="MAD44" s="1004"/>
      <c r="MAE44" s="1004"/>
      <c r="MAF44" s="1004"/>
      <c r="MAG44" s="1004"/>
      <c r="MAH44" s="1004"/>
      <c r="MAI44" s="1004"/>
      <c r="MAJ44" s="1004"/>
      <c r="MAK44" s="1004"/>
      <c r="MAL44" s="1004"/>
      <c r="MAM44" s="1004"/>
      <c r="MAN44" s="1004"/>
      <c r="MAO44" s="1004"/>
      <c r="MAP44" s="1004"/>
      <c r="MAQ44" s="1004"/>
      <c r="MAR44" s="1004"/>
      <c r="MAS44" s="1004"/>
      <c r="MAT44" s="1004"/>
      <c r="MAU44" s="1004"/>
      <c r="MAV44" s="1004"/>
      <c r="MAW44" s="1004"/>
      <c r="MAX44" s="1004"/>
      <c r="MAY44" s="1004"/>
      <c r="MAZ44" s="1004"/>
      <c r="MBA44" s="1004"/>
      <c r="MBB44" s="1004"/>
      <c r="MBC44" s="1004"/>
      <c r="MBD44" s="1004"/>
      <c r="MBE44" s="1004"/>
      <c r="MBF44" s="1004"/>
      <c r="MBG44" s="1004"/>
      <c r="MBH44" s="1004"/>
      <c r="MBI44" s="1004"/>
      <c r="MBJ44" s="1004"/>
      <c r="MBK44" s="1004"/>
      <c r="MBL44" s="1004"/>
      <c r="MBM44" s="1004"/>
      <c r="MBN44" s="1004"/>
      <c r="MBO44" s="1004"/>
      <c r="MBP44" s="1004"/>
      <c r="MBQ44" s="1004"/>
      <c r="MBR44" s="1004"/>
      <c r="MBS44" s="1004"/>
      <c r="MBT44" s="1004"/>
      <c r="MBU44" s="1004"/>
      <c r="MBV44" s="1004"/>
      <c r="MBW44" s="1004"/>
      <c r="MBX44" s="1004"/>
      <c r="MBY44" s="1004"/>
      <c r="MBZ44" s="1004"/>
      <c r="MCA44" s="1004"/>
      <c r="MCB44" s="1004"/>
      <c r="MCC44" s="1004"/>
      <c r="MCD44" s="1004"/>
      <c r="MCE44" s="1004"/>
      <c r="MCF44" s="1004"/>
      <c r="MCG44" s="1004"/>
      <c r="MCH44" s="1004"/>
      <c r="MCI44" s="1004"/>
      <c r="MCJ44" s="1004"/>
      <c r="MCK44" s="1004"/>
      <c r="MCL44" s="1004"/>
      <c r="MCM44" s="1004"/>
      <c r="MCN44" s="1004"/>
      <c r="MCO44" s="1004"/>
      <c r="MCP44" s="1004"/>
      <c r="MCQ44" s="1004"/>
      <c r="MCR44" s="1004"/>
      <c r="MCS44" s="1004"/>
      <c r="MCT44" s="1004"/>
      <c r="MCU44" s="1004"/>
      <c r="MCV44" s="1004"/>
      <c r="MCW44" s="1004"/>
      <c r="MCX44" s="1004"/>
      <c r="MCY44" s="1004"/>
      <c r="MCZ44" s="1004"/>
      <c r="MDA44" s="1004"/>
      <c r="MDB44" s="1004"/>
      <c r="MDC44" s="1004"/>
      <c r="MDD44" s="1004"/>
      <c r="MDE44" s="1004"/>
      <c r="MDF44" s="1004"/>
      <c r="MDG44" s="1004"/>
      <c r="MDH44" s="1004"/>
      <c r="MDI44" s="1004"/>
      <c r="MDJ44" s="1004"/>
      <c r="MDK44" s="1004"/>
      <c r="MDL44" s="1004"/>
      <c r="MDM44" s="1004"/>
      <c r="MDN44" s="1004"/>
      <c r="MDO44" s="1004"/>
      <c r="MDP44" s="1004"/>
      <c r="MDQ44" s="1004"/>
      <c r="MDR44" s="1004"/>
      <c r="MDS44" s="1004"/>
      <c r="MDT44" s="1004"/>
      <c r="MDU44" s="1004"/>
      <c r="MDV44" s="1004"/>
      <c r="MDW44" s="1004"/>
      <c r="MDX44" s="1004"/>
      <c r="MDY44" s="1004"/>
      <c r="MDZ44" s="1004"/>
      <c r="MEA44" s="1004"/>
      <c r="MEB44" s="1004"/>
      <c r="MEC44" s="1004"/>
      <c r="MED44" s="1004"/>
      <c r="MEE44" s="1004"/>
      <c r="MEF44" s="1004"/>
      <c r="MEG44" s="1004"/>
      <c r="MEH44" s="1004"/>
      <c r="MEI44" s="1004"/>
      <c r="MEJ44" s="1004"/>
      <c r="MEK44" s="1004"/>
      <c r="MEL44" s="1004"/>
      <c r="MEM44" s="1004"/>
      <c r="MEN44" s="1004"/>
      <c r="MEO44" s="1004"/>
      <c r="MEP44" s="1004"/>
      <c r="MEQ44" s="1004"/>
      <c r="MER44" s="1004"/>
      <c r="MES44" s="1004"/>
      <c r="MET44" s="1004"/>
      <c r="MEU44" s="1004"/>
      <c r="MEV44" s="1004"/>
      <c r="MEW44" s="1004"/>
      <c r="MEX44" s="1004"/>
      <c r="MEY44" s="1004"/>
      <c r="MEZ44" s="1004"/>
      <c r="MFA44" s="1004"/>
      <c r="MFB44" s="1004"/>
      <c r="MFC44" s="1004"/>
      <c r="MFD44" s="1004"/>
      <c r="MFE44" s="1004"/>
      <c r="MFF44" s="1004"/>
      <c r="MFG44" s="1004"/>
      <c r="MFH44" s="1004"/>
      <c r="MFI44" s="1004"/>
      <c r="MFJ44" s="1004"/>
      <c r="MFK44" s="1004"/>
      <c r="MFL44" s="1004"/>
      <c r="MFM44" s="1004"/>
      <c r="MFN44" s="1004"/>
      <c r="MFO44" s="1004"/>
      <c r="MFP44" s="1004"/>
      <c r="MFQ44" s="1004"/>
      <c r="MFR44" s="1004"/>
      <c r="MFS44" s="1004"/>
      <c r="MFT44" s="1004"/>
      <c r="MFU44" s="1004"/>
      <c r="MFV44" s="1004"/>
      <c r="MFW44" s="1004"/>
      <c r="MFX44" s="1004"/>
      <c r="MFY44" s="1004"/>
      <c r="MFZ44" s="1004"/>
      <c r="MGA44" s="1004"/>
      <c r="MGB44" s="1004"/>
      <c r="MGC44" s="1004"/>
      <c r="MGD44" s="1004"/>
      <c r="MGE44" s="1004"/>
      <c r="MGF44" s="1004"/>
      <c r="MGG44" s="1004"/>
      <c r="MGH44" s="1004"/>
      <c r="MGI44" s="1004"/>
      <c r="MGJ44" s="1004"/>
      <c r="MGK44" s="1004"/>
      <c r="MGL44" s="1004"/>
      <c r="MGM44" s="1004"/>
      <c r="MGN44" s="1004"/>
      <c r="MGO44" s="1004"/>
      <c r="MGP44" s="1004"/>
      <c r="MGQ44" s="1004"/>
      <c r="MGR44" s="1004"/>
      <c r="MGS44" s="1004"/>
      <c r="MGT44" s="1004"/>
      <c r="MGU44" s="1004"/>
      <c r="MGV44" s="1004"/>
      <c r="MGW44" s="1004"/>
      <c r="MGX44" s="1004"/>
      <c r="MGY44" s="1004"/>
      <c r="MGZ44" s="1004"/>
      <c r="MHA44" s="1004"/>
      <c r="MHB44" s="1004"/>
      <c r="MHC44" s="1004"/>
      <c r="MHD44" s="1004"/>
      <c r="MHE44" s="1004"/>
      <c r="MHF44" s="1004"/>
      <c r="MHG44" s="1004"/>
      <c r="MHH44" s="1004"/>
      <c r="MHI44" s="1004"/>
      <c r="MHJ44" s="1004"/>
      <c r="MHK44" s="1004"/>
      <c r="MHL44" s="1004"/>
      <c r="MHM44" s="1004"/>
      <c r="MHN44" s="1004"/>
      <c r="MHO44" s="1004"/>
      <c r="MHP44" s="1004"/>
      <c r="MHQ44" s="1004"/>
      <c r="MHR44" s="1004"/>
      <c r="MHS44" s="1004"/>
      <c r="MHT44" s="1004"/>
      <c r="MHU44" s="1004"/>
      <c r="MHV44" s="1004"/>
      <c r="MHW44" s="1004"/>
      <c r="MHX44" s="1004"/>
      <c r="MHY44" s="1004"/>
      <c r="MHZ44" s="1004"/>
      <c r="MIA44" s="1004"/>
      <c r="MIB44" s="1004"/>
      <c r="MIC44" s="1004"/>
      <c r="MID44" s="1004"/>
      <c r="MIE44" s="1004"/>
      <c r="MIF44" s="1004"/>
      <c r="MIG44" s="1004"/>
      <c r="MIH44" s="1004"/>
      <c r="MII44" s="1004"/>
      <c r="MIJ44" s="1004"/>
      <c r="MIK44" s="1004"/>
      <c r="MIL44" s="1004"/>
      <c r="MIM44" s="1004"/>
      <c r="MIN44" s="1004"/>
      <c r="MIO44" s="1004"/>
      <c r="MIP44" s="1004"/>
      <c r="MIQ44" s="1004"/>
      <c r="MIR44" s="1004"/>
      <c r="MIS44" s="1004"/>
      <c r="MIT44" s="1004"/>
      <c r="MIU44" s="1004"/>
      <c r="MIV44" s="1004"/>
      <c r="MIW44" s="1004"/>
      <c r="MIX44" s="1004"/>
      <c r="MIY44" s="1004"/>
      <c r="MIZ44" s="1004"/>
      <c r="MJA44" s="1004"/>
      <c r="MJB44" s="1004"/>
      <c r="MJC44" s="1004"/>
      <c r="MJD44" s="1004"/>
      <c r="MJE44" s="1004"/>
      <c r="MJF44" s="1004"/>
      <c r="MJG44" s="1004"/>
      <c r="MJH44" s="1004"/>
      <c r="MJI44" s="1004"/>
      <c r="MJJ44" s="1004"/>
      <c r="MJK44" s="1004"/>
      <c r="MJL44" s="1004"/>
      <c r="MJM44" s="1004"/>
      <c r="MJN44" s="1004"/>
      <c r="MJO44" s="1004"/>
      <c r="MJP44" s="1004"/>
      <c r="MJQ44" s="1004"/>
      <c r="MJR44" s="1004"/>
      <c r="MJS44" s="1004"/>
      <c r="MJT44" s="1004"/>
      <c r="MJU44" s="1004"/>
      <c r="MJV44" s="1004"/>
      <c r="MJW44" s="1004"/>
      <c r="MJX44" s="1004"/>
      <c r="MJY44" s="1004"/>
      <c r="MJZ44" s="1004"/>
      <c r="MKA44" s="1004"/>
      <c r="MKB44" s="1004"/>
      <c r="MKC44" s="1004"/>
      <c r="MKD44" s="1004"/>
      <c r="MKE44" s="1004"/>
      <c r="MKF44" s="1004"/>
      <c r="MKG44" s="1004"/>
      <c r="MKH44" s="1004"/>
      <c r="MKI44" s="1004"/>
      <c r="MKJ44" s="1004"/>
      <c r="MKK44" s="1004"/>
      <c r="MKL44" s="1004"/>
      <c r="MKM44" s="1004"/>
      <c r="MKN44" s="1004"/>
      <c r="MKO44" s="1004"/>
      <c r="MKP44" s="1004"/>
      <c r="MKQ44" s="1004"/>
      <c r="MKR44" s="1004"/>
      <c r="MKS44" s="1004"/>
      <c r="MKT44" s="1004"/>
      <c r="MKU44" s="1004"/>
      <c r="MKV44" s="1004"/>
      <c r="MKW44" s="1004"/>
      <c r="MKX44" s="1004"/>
      <c r="MKY44" s="1004"/>
      <c r="MKZ44" s="1004"/>
      <c r="MLA44" s="1004"/>
      <c r="MLB44" s="1004"/>
      <c r="MLC44" s="1004"/>
      <c r="MLD44" s="1004"/>
      <c r="MLE44" s="1004"/>
      <c r="MLF44" s="1004"/>
      <c r="MLG44" s="1004"/>
      <c r="MLH44" s="1004"/>
      <c r="MLI44" s="1004"/>
      <c r="MLJ44" s="1004"/>
      <c r="MLK44" s="1004"/>
      <c r="MLL44" s="1004"/>
      <c r="MLM44" s="1004"/>
      <c r="MLN44" s="1004"/>
      <c r="MLO44" s="1004"/>
      <c r="MLP44" s="1004"/>
      <c r="MLQ44" s="1004"/>
      <c r="MLR44" s="1004"/>
      <c r="MLS44" s="1004"/>
      <c r="MLT44" s="1004"/>
      <c r="MLU44" s="1004"/>
      <c r="MLV44" s="1004"/>
      <c r="MLW44" s="1004"/>
      <c r="MLX44" s="1004"/>
      <c r="MLY44" s="1004"/>
      <c r="MLZ44" s="1004"/>
      <c r="MMA44" s="1004"/>
      <c r="MMB44" s="1004"/>
      <c r="MMC44" s="1004"/>
      <c r="MMD44" s="1004"/>
      <c r="MME44" s="1004"/>
      <c r="MMF44" s="1004"/>
      <c r="MMG44" s="1004"/>
      <c r="MMH44" s="1004"/>
      <c r="MMI44" s="1004"/>
      <c r="MMJ44" s="1004"/>
      <c r="MMK44" s="1004"/>
      <c r="MML44" s="1004"/>
      <c r="MMM44" s="1004"/>
      <c r="MMN44" s="1004"/>
      <c r="MMO44" s="1004"/>
      <c r="MMP44" s="1004"/>
      <c r="MMQ44" s="1004"/>
      <c r="MMR44" s="1004"/>
      <c r="MMS44" s="1004"/>
      <c r="MMT44" s="1004"/>
      <c r="MMU44" s="1004"/>
      <c r="MMV44" s="1004"/>
      <c r="MMW44" s="1004"/>
      <c r="MMX44" s="1004"/>
      <c r="MMY44" s="1004"/>
      <c r="MMZ44" s="1004"/>
      <c r="MNA44" s="1004"/>
      <c r="MNB44" s="1004"/>
      <c r="MNC44" s="1004"/>
      <c r="MND44" s="1004"/>
      <c r="MNE44" s="1004"/>
      <c r="MNF44" s="1004"/>
      <c r="MNG44" s="1004"/>
      <c r="MNH44" s="1004"/>
      <c r="MNI44" s="1004"/>
      <c r="MNJ44" s="1004"/>
      <c r="MNK44" s="1004"/>
      <c r="MNL44" s="1004"/>
      <c r="MNM44" s="1004"/>
      <c r="MNN44" s="1004"/>
      <c r="MNO44" s="1004"/>
      <c r="MNP44" s="1004"/>
      <c r="MNQ44" s="1004"/>
      <c r="MNR44" s="1004"/>
      <c r="MNS44" s="1004"/>
      <c r="MNT44" s="1004"/>
      <c r="MNU44" s="1004"/>
      <c r="MNV44" s="1004"/>
      <c r="MNW44" s="1004"/>
      <c r="MNX44" s="1004"/>
      <c r="MNY44" s="1004"/>
      <c r="MNZ44" s="1004"/>
      <c r="MOA44" s="1004"/>
      <c r="MOB44" s="1004"/>
      <c r="MOC44" s="1004"/>
      <c r="MOD44" s="1004"/>
      <c r="MOE44" s="1004"/>
      <c r="MOF44" s="1004"/>
      <c r="MOG44" s="1004"/>
      <c r="MOH44" s="1004"/>
      <c r="MOI44" s="1004"/>
      <c r="MOJ44" s="1004"/>
      <c r="MOK44" s="1004"/>
      <c r="MOL44" s="1004"/>
      <c r="MOM44" s="1004"/>
      <c r="MON44" s="1004"/>
      <c r="MOO44" s="1004"/>
      <c r="MOP44" s="1004"/>
      <c r="MOQ44" s="1004"/>
      <c r="MOR44" s="1004"/>
      <c r="MOS44" s="1004"/>
      <c r="MOT44" s="1004"/>
      <c r="MOU44" s="1004"/>
      <c r="MOV44" s="1004"/>
      <c r="MOW44" s="1004"/>
      <c r="MOX44" s="1004"/>
      <c r="MOY44" s="1004"/>
      <c r="MOZ44" s="1004"/>
      <c r="MPA44" s="1004"/>
      <c r="MPB44" s="1004"/>
      <c r="MPC44" s="1004"/>
      <c r="MPD44" s="1004"/>
      <c r="MPE44" s="1004"/>
      <c r="MPF44" s="1004"/>
      <c r="MPG44" s="1004"/>
      <c r="MPH44" s="1004"/>
      <c r="MPI44" s="1004"/>
      <c r="MPJ44" s="1004"/>
      <c r="MPK44" s="1004"/>
      <c r="MPL44" s="1004"/>
      <c r="MPM44" s="1004"/>
      <c r="MPN44" s="1004"/>
      <c r="MPO44" s="1004"/>
      <c r="MPP44" s="1004"/>
      <c r="MPQ44" s="1004"/>
      <c r="MPR44" s="1004"/>
      <c r="MPS44" s="1004"/>
      <c r="MPT44" s="1004"/>
      <c r="MPU44" s="1004"/>
      <c r="MPV44" s="1004"/>
      <c r="MPW44" s="1004"/>
      <c r="MPX44" s="1004"/>
      <c r="MPY44" s="1004"/>
      <c r="MPZ44" s="1004"/>
      <c r="MQA44" s="1004"/>
      <c r="MQB44" s="1004"/>
      <c r="MQC44" s="1004"/>
      <c r="MQD44" s="1004"/>
      <c r="MQE44" s="1004"/>
      <c r="MQF44" s="1004"/>
      <c r="MQG44" s="1004"/>
      <c r="MQH44" s="1004"/>
      <c r="MQI44" s="1004"/>
      <c r="MQJ44" s="1004"/>
      <c r="MQK44" s="1004"/>
      <c r="MQL44" s="1004"/>
      <c r="MQM44" s="1004"/>
      <c r="MQN44" s="1004"/>
      <c r="MQO44" s="1004"/>
      <c r="MQP44" s="1004"/>
      <c r="MQQ44" s="1004"/>
      <c r="MQR44" s="1004"/>
      <c r="MQS44" s="1004"/>
      <c r="MQT44" s="1004"/>
      <c r="MQU44" s="1004"/>
      <c r="MQV44" s="1004"/>
      <c r="MQW44" s="1004"/>
      <c r="MQX44" s="1004"/>
      <c r="MQY44" s="1004"/>
      <c r="MQZ44" s="1004"/>
      <c r="MRA44" s="1004"/>
      <c r="MRB44" s="1004"/>
      <c r="MRC44" s="1004"/>
      <c r="MRD44" s="1004"/>
      <c r="MRE44" s="1004"/>
      <c r="MRF44" s="1004"/>
      <c r="MRG44" s="1004"/>
      <c r="MRH44" s="1004"/>
      <c r="MRI44" s="1004"/>
      <c r="MRJ44" s="1004"/>
      <c r="MRK44" s="1004"/>
      <c r="MRL44" s="1004"/>
      <c r="MRM44" s="1004"/>
      <c r="MRN44" s="1004"/>
      <c r="MRO44" s="1004"/>
      <c r="MRP44" s="1004"/>
      <c r="MRQ44" s="1004"/>
      <c r="MRR44" s="1004"/>
      <c r="MRS44" s="1004"/>
      <c r="MRT44" s="1004"/>
      <c r="MRU44" s="1004"/>
      <c r="MRV44" s="1004"/>
      <c r="MRW44" s="1004"/>
      <c r="MRX44" s="1004"/>
      <c r="MRY44" s="1004"/>
      <c r="MRZ44" s="1004"/>
      <c r="MSA44" s="1004"/>
      <c r="MSB44" s="1004"/>
      <c r="MSC44" s="1004"/>
      <c r="MSD44" s="1004"/>
      <c r="MSE44" s="1004"/>
      <c r="MSF44" s="1004"/>
      <c r="MSG44" s="1004"/>
      <c r="MSH44" s="1004"/>
      <c r="MSI44" s="1004"/>
      <c r="MSJ44" s="1004"/>
      <c r="MSK44" s="1004"/>
      <c r="MSL44" s="1004"/>
      <c r="MSM44" s="1004"/>
      <c r="MSN44" s="1004"/>
      <c r="MSO44" s="1004"/>
      <c r="MSP44" s="1004"/>
      <c r="MSQ44" s="1004"/>
      <c r="MSR44" s="1004"/>
      <c r="MSS44" s="1004"/>
      <c r="MST44" s="1004"/>
      <c r="MSU44" s="1004"/>
      <c r="MSV44" s="1004"/>
      <c r="MSW44" s="1004"/>
      <c r="MSX44" s="1004"/>
      <c r="MSY44" s="1004"/>
      <c r="MSZ44" s="1004"/>
      <c r="MTA44" s="1004"/>
      <c r="MTB44" s="1004"/>
      <c r="MTC44" s="1004"/>
      <c r="MTD44" s="1004"/>
      <c r="MTE44" s="1004"/>
      <c r="MTF44" s="1004"/>
      <c r="MTG44" s="1004"/>
      <c r="MTH44" s="1004"/>
      <c r="MTI44" s="1004"/>
      <c r="MTJ44" s="1004"/>
      <c r="MTK44" s="1004"/>
      <c r="MTL44" s="1004"/>
      <c r="MTM44" s="1004"/>
      <c r="MTN44" s="1004"/>
      <c r="MTO44" s="1004"/>
      <c r="MTP44" s="1004"/>
      <c r="MTQ44" s="1004"/>
      <c r="MTR44" s="1004"/>
      <c r="MTS44" s="1004"/>
      <c r="MTT44" s="1004"/>
      <c r="MTU44" s="1004"/>
      <c r="MTV44" s="1004"/>
      <c r="MTW44" s="1004"/>
      <c r="MTX44" s="1004"/>
      <c r="MTY44" s="1004"/>
      <c r="MTZ44" s="1004"/>
      <c r="MUA44" s="1004"/>
      <c r="MUB44" s="1004"/>
      <c r="MUC44" s="1004"/>
      <c r="MUD44" s="1004"/>
      <c r="MUE44" s="1004"/>
      <c r="MUF44" s="1004"/>
      <c r="MUG44" s="1004"/>
      <c r="MUH44" s="1004"/>
      <c r="MUI44" s="1004"/>
      <c r="MUJ44" s="1004"/>
      <c r="MUK44" s="1004"/>
      <c r="MUL44" s="1004"/>
      <c r="MUM44" s="1004"/>
      <c r="MUN44" s="1004"/>
      <c r="MUO44" s="1004"/>
      <c r="MUP44" s="1004"/>
      <c r="MUQ44" s="1004"/>
      <c r="MUR44" s="1004"/>
      <c r="MUS44" s="1004"/>
      <c r="MUT44" s="1004"/>
      <c r="MUU44" s="1004"/>
      <c r="MUV44" s="1004"/>
      <c r="MUW44" s="1004"/>
      <c r="MUX44" s="1004"/>
      <c r="MUY44" s="1004"/>
      <c r="MUZ44" s="1004"/>
      <c r="MVA44" s="1004"/>
      <c r="MVB44" s="1004"/>
      <c r="MVC44" s="1004"/>
      <c r="MVD44" s="1004"/>
      <c r="MVE44" s="1004"/>
      <c r="MVF44" s="1004"/>
      <c r="MVG44" s="1004"/>
      <c r="MVH44" s="1004"/>
      <c r="MVI44" s="1004"/>
      <c r="MVJ44" s="1004"/>
      <c r="MVK44" s="1004"/>
      <c r="MVL44" s="1004"/>
      <c r="MVM44" s="1004"/>
      <c r="MVN44" s="1004"/>
      <c r="MVO44" s="1004"/>
      <c r="MVP44" s="1004"/>
      <c r="MVQ44" s="1004"/>
      <c r="MVR44" s="1004"/>
      <c r="MVS44" s="1004"/>
      <c r="MVT44" s="1004"/>
      <c r="MVU44" s="1004"/>
      <c r="MVV44" s="1004"/>
      <c r="MVW44" s="1004"/>
      <c r="MVX44" s="1004"/>
      <c r="MVY44" s="1004"/>
      <c r="MVZ44" s="1004"/>
      <c r="MWA44" s="1004"/>
      <c r="MWB44" s="1004"/>
      <c r="MWC44" s="1004"/>
      <c r="MWD44" s="1004"/>
      <c r="MWE44" s="1004"/>
      <c r="MWF44" s="1004"/>
      <c r="MWG44" s="1004"/>
      <c r="MWH44" s="1004"/>
      <c r="MWI44" s="1004"/>
      <c r="MWJ44" s="1004"/>
      <c r="MWK44" s="1004"/>
      <c r="MWL44" s="1004"/>
      <c r="MWM44" s="1004"/>
      <c r="MWN44" s="1004"/>
      <c r="MWO44" s="1004"/>
      <c r="MWP44" s="1004"/>
      <c r="MWQ44" s="1004"/>
      <c r="MWR44" s="1004"/>
      <c r="MWS44" s="1004"/>
      <c r="MWT44" s="1004"/>
      <c r="MWU44" s="1004"/>
      <c r="MWV44" s="1004"/>
      <c r="MWW44" s="1004"/>
      <c r="MWX44" s="1004"/>
      <c r="MWY44" s="1004"/>
      <c r="MWZ44" s="1004"/>
      <c r="MXA44" s="1004"/>
      <c r="MXB44" s="1004"/>
      <c r="MXC44" s="1004"/>
      <c r="MXD44" s="1004"/>
      <c r="MXE44" s="1004"/>
      <c r="MXF44" s="1004"/>
      <c r="MXG44" s="1004"/>
      <c r="MXH44" s="1004"/>
      <c r="MXI44" s="1004"/>
      <c r="MXJ44" s="1004"/>
      <c r="MXK44" s="1004"/>
      <c r="MXL44" s="1004"/>
      <c r="MXM44" s="1004"/>
      <c r="MXN44" s="1004"/>
      <c r="MXO44" s="1004"/>
      <c r="MXP44" s="1004"/>
      <c r="MXQ44" s="1004"/>
      <c r="MXR44" s="1004"/>
      <c r="MXS44" s="1004"/>
      <c r="MXT44" s="1004"/>
      <c r="MXU44" s="1004"/>
      <c r="MXV44" s="1004"/>
      <c r="MXW44" s="1004"/>
      <c r="MXX44" s="1004"/>
      <c r="MXY44" s="1004"/>
      <c r="MXZ44" s="1004"/>
      <c r="MYA44" s="1004"/>
      <c r="MYB44" s="1004"/>
      <c r="MYC44" s="1004"/>
      <c r="MYD44" s="1004"/>
      <c r="MYE44" s="1004"/>
      <c r="MYF44" s="1004"/>
      <c r="MYG44" s="1004"/>
      <c r="MYH44" s="1004"/>
      <c r="MYI44" s="1004"/>
      <c r="MYJ44" s="1004"/>
      <c r="MYK44" s="1004"/>
      <c r="MYL44" s="1004"/>
      <c r="MYM44" s="1004"/>
      <c r="MYN44" s="1004"/>
      <c r="MYO44" s="1004"/>
      <c r="MYP44" s="1004"/>
      <c r="MYQ44" s="1004"/>
      <c r="MYR44" s="1004"/>
      <c r="MYS44" s="1004"/>
      <c r="MYT44" s="1004"/>
      <c r="MYU44" s="1004"/>
      <c r="MYV44" s="1004"/>
      <c r="MYW44" s="1004"/>
      <c r="MYX44" s="1004"/>
      <c r="MYY44" s="1004"/>
      <c r="MYZ44" s="1004"/>
      <c r="MZA44" s="1004"/>
      <c r="MZB44" s="1004"/>
      <c r="MZC44" s="1004"/>
      <c r="MZD44" s="1004"/>
      <c r="MZE44" s="1004"/>
      <c r="MZF44" s="1004"/>
      <c r="MZG44" s="1004"/>
      <c r="MZH44" s="1004"/>
      <c r="MZI44" s="1004"/>
      <c r="MZJ44" s="1004"/>
      <c r="MZK44" s="1004"/>
      <c r="MZL44" s="1004"/>
      <c r="MZM44" s="1004"/>
      <c r="MZN44" s="1004"/>
      <c r="MZO44" s="1004"/>
      <c r="MZP44" s="1004"/>
      <c r="MZQ44" s="1004"/>
      <c r="MZR44" s="1004"/>
      <c r="MZS44" s="1004"/>
      <c r="MZT44" s="1004"/>
      <c r="MZU44" s="1004"/>
      <c r="MZV44" s="1004"/>
      <c r="MZW44" s="1004"/>
      <c r="MZX44" s="1004"/>
      <c r="MZY44" s="1004"/>
      <c r="MZZ44" s="1004"/>
      <c r="NAA44" s="1004"/>
      <c r="NAB44" s="1004"/>
      <c r="NAC44" s="1004"/>
      <c r="NAD44" s="1004"/>
      <c r="NAE44" s="1004"/>
      <c r="NAF44" s="1004"/>
      <c r="NAG44" s="1004"/>
      <c r="NAH44" s="1004"/>
      <c r="NAI44" s="1004"/>
      <c r="NAJ44" s="1004"/>
      <c r="NAK44" s="1004"/>
      <c r="NAL44" s="1004"/>
      <c r="NAM44" s="1004"/>
      <c r="NAN44" s="1004"/>
      <c r="NAO44" s="1004"/>
      <c r="NAP44" s="1004"/>
      <c r="NAQ44" s="1004"/>
      <c r="NAR44" s="1004"/>
      <c r="NAS44" s="1004"/>
      <c r="NAT44" s="1004"/>
      <c r="NAU44" s="1004"/>
      <c r="NAV44" s="1004"/>
      <c r="NAW44" s="1004"/>
      <c r="NAX44" s="1004"/>
      <c r="NAY44" s="1004"/>
      <c r="NAZ44" s="1004"/>
      <c r="NBA44" s="1004"/>
      <c r="NBB44" s="1004"/>
      <c r="NBC44" s="1004"/>
      <c r="NBD44" s="1004"/>
      <c r="NBE44" s="1004"/>
      <c r="NBF44" s="1004"/>
      <c r="NBG44" s="1004"/>
      <c r="NBH44" s="1004"/>
      <c r="NBI44" s="1004"/>
      <c r="NBJ44" s="1004"/>
      <c r="NBK44" s="1004"/>
      <c r="NBL44" s="1004"/>
      <c r="NBM44" s="1004"/>
      <c r="NBN44" s="1004"/>
      <c r="NBO44" s="1004"/>
      <c r="NBP44" s="1004"/>
      <c r="NBQ44" s="1004"/>
      <c r="NBR44" s="1004"/>
      <c r="NBS44" s="1004"/>
      <c r="NBT44" s="1004"/>
      <c r="NBU44" s="1004"/>
      <c r="NBV44" s="1004"/>
      <c r="NBW44" s="1004"/>
      <c r="NBX44" s="1004"/>
      <c r="NBY44" s="1004"/>
      <c r="NBZ44" s="1004"/>
      <c r="NCA44" s="1004"/>
      <c r="NCB44" s="1004"/>
      <c r="NCC44" s="1004"/>
      <c r="NCD44" s="1004"/>
      <c r="NCE44" s="1004"/>
      <c r="NCF44" s="1004"/>
      <c r="NCG44" s="1004"/>
      <c r="NCH44" s="1004"/>
      <c r="NCI44" s="1004"/>
      <c r="NCJ44" s="1004"/>
      <c r="NCK44" s="1004"/>
      <c r="NCL44" s="1004"/>
      <c r="NCM44" s="1004"/>
      <c r="NCN44" s="1004"/>
      <c r="NCO44" s="1004"/>
      <c r="NCP44" s="1004"/>
      <c r="NCQ44" s="1004"/>
      <c r="NCR44" s="1004"/>
      <c r="NCS44" s="1004"/>
      <c r="NCT44" s="1004"/>
      <c r="NCU44" s="1004"/>
      <c r="NCV44" s="1004"/>
      <c r="NCW44" s="1004"/>
      <c r="NCX44" s="1004"/>
      <c r="NCY44" s="1004"/>
      <c r="NCZ44" s="1004"/>
      <c r="NDA44" s="1004"/>
      <c r="NDB44" s="1004"/>
      <c r="NDC44" s="1004"/>
      <c r="NDD44" s="1004"/>
      <c r="NDE44" s="1004"/>
      <c r="NDF44" s="1004"/>
      <c r="NDG44" s="1004"/>
      <c r="NDH44" s="1004"/>
      <c r="NDI44" s="1004"/>
      <c r="NDJ44" s="1004"/>
      <c r="NDK44" s="1004"/>
      <c r="NDL44" s="1004"/>
      <c r="NDM44" s="1004"/>
      <c r="NDN44" s="1004"/>
      <c r="NDO44" s="1004"/>
      <c r="NDP44" s="1004"/>
      <c r="NDQ44" s="1004"/>
      <c r="NDR44" s="1004"/>
      <c r="NDS44" s="1004"/>
      <c r="NDT44" s="1004"/>
      <c r="NDU44" s="1004"/>
      <c r="NDV44" s="1004"/>
      <c r="NDW44" s="1004"/>
      <c r="NDX44" s="1004"/>
      <c r="NDY44" s="1004"/>
      <c r="NDZ44" s="1004"/>
      <c r="NEA44" s="1004"/>
      <c r="NEB44" s="1004"/>
      <c r="NEC44" s="1004"/>
      <c r="NED44" s="1004"/>
      <c r="NEE44" s="1004"/>
      <c r="NEF44" s="1004"/>
      <c r="NEG44" s="1004"/>
      <c r="NEH44" s="1004"/>
      <c r="NEI44" s="1004"/>
      <c r="NEJ44" s="1004"/>
      <c r="NEK44" s="1004"/>
      <c r="NEL44" s="1004"/>
      <c r="NEM44" s="1004"/>
      <c r="NEN44" s="1004"/>
      <c r="NEO44" s="1004"/>
      <c r="NEP44" s="1004"/>
      <c r="NEQ44" s="1004"/>
      <c r="NER44" s="1004"/>
      <c r="NES44" s="1004"/>
      <c r="NET44" s="1004"/>
      <c r="NEU44" s="1004"/>
      <c r="NEV44" s="1004"/>
      <c r="NEW44" s="1004"/>
      <c r="NEX44" s="1004"/>
      <c r="NEY44" s="1004"/>
      <c r="NEZ44" s="1004"/>
      <c r="NFA44" s="1004"/>
      <c r="NFB44" s="1004"/>
      <c r="NFC44" s="1004"/>
      <c r="NFD44" s="1004"/>
      <c r="NFE44" s="1004"/>
      <c r="NFF44" s="1004"/>
      <c r="NFG44" s="1004"/>
      <c r="NFH44" s="1004"/>
      <c r="NFI44" s="1004"/>
      <c r="NFJ44" s="1004"/>
      <c r="NFK44" s="1004"/>
      <c r="NFL44" s="1004"/>
      <c r="NFM44" s="1004"/>
      <c r="NFN44" s="1004"/>
      <c r="NFO44" s="1004"/>
      <c r="NFP44" s="1004"/>
      <c r="NFQ44" s="1004"/>
      <c r="NFR44" s="1004"/>
      <c r="NFS44" s="1004"/>
      <c r="NFT44" s="1004"/>
      <c r="NFU44" s="1004"/>
      <c r="NFV44" s="1004"/>
      <c r="NFW44" s="1004"/>
      <c r="NFX44" s="1004"/>
      <c r="NFY44" s="1004"/>
      <c r="NFZ44" s="1004"/>
      <c r="NGA44" s="1004"/>
      <c r="NGB44" s="1004"/>
      <c r="NGC44" s="1004"/>
      <c r="NGD44" s="1004"/>
      <c r="NGE44" s="1004"/>
      <c r="NGF44" s="1004"/>
      <c r="NGG44" s="1004"/>
      <c r="NGH44" s="1004"/>
      <c r="NGI44" s="1004"/>
      <c r="NGJ44" s="1004"/>
      <c r="NGK44" s="1004"/>
      <c r="NGL44" s="1004"/>
      <c r="NGM44" s="1004"/>
      <c r="NGN44" s="1004"/>
      <c r="NGO44" s="1004"/>
      <c r="NGP44" s="1004"/>
      <c r="NGQ44" s="1004"/>
      <c r="NGR44" s="1004"/>
      <c r="NGS44" s="1004"/>
      <c r="NGT44" s="1004"/>
      <c r="NGU44" s="1004"/>
      <c r="NGV44" s="1004"/>
      <c r="NGW44" s="1004"/>
      <c r="NGX44" s="1004"/>
      <c r="NGY44" s="1004"/>
      <c r="NGZ44" s="1004"/>
      <c r="NHA44" s="1004"/>
      <c r="NHB44" s="1004"/>
      <c r="NHC44" s="1004"/>
      <c r="NHD44" s="1004"/>
      <c r="NHE44" s="1004"/>
      <c r="NHF44" s="1004"/>
      <c r="NHG44" s="1004"/>
      <c r="NHH44" s="1004"/>
      <c r="NHI44" s="1004"/>
      <c r="NHJ44" s="1004"/>
      <c r="NHK44" s="1004"/>
      <c r="NHL44" s="1004"/>
      <c r="NHM44" s="1004"/>
      <c r="NHN44" s="1004"/>
      <c r="NHO44" s="1004"/>
      <c r="NHP44" s="1004"/>
      <c r="NHQ44" s="1004"/>
      <c r="NHR44" s="1004"/>
      <c r="NHS44" s="1004"/>
      <c r="NHT44" s="1004"/>
      <c r="NHU44" s="1004"/>
      <c r="NHV44" s="1004"/>
      <c r="NHW44" s="1004"/>
      <c r="NHX44" s="1004"/>
      <c r="NHY44" s="1004"/>
      <c r="NHZ44" s="1004"/>
      <c r="NIA44" s="1004"/>
      <c r="NIB44" s="1004"/>
      <c r="NIC44" s="1004"/>
      <c r="NID44" s="1004"/>
      <c r="NIE44" s="1004"/>
      <c r="NIF44" s="1004"/>
      <c r="NIG44" s="1004"/>
      <c r="NIH44" s="1004"/>
      <c r="NII44" s="1004"/>
      <c r="NIJ44" s="1004"/>
      <c r="NIK44" s="1004"/>
      <c r="NIL44" s="1004"/>
      <c r="NIM44" s="1004"/>
      <c r="NIN44" s="1004"/>
      <c r="NIO44" s="1004"/>
      <c r="NIP44" s="1004"/>
      <c r="NIQ44" s="1004"/>
      <c r="NIR44" s="1004"/>
      <c r="NIS44" s="1004"/>
      <c r="NIT44" s="1004"/>
      <c r="NIU44" s="1004"/>
      <c r="NIV44" s="1004"/>
      <c r="NIW44" s="1004"/>
      <c r="NIX44" s="1004"/>
      <c r="NIY44" s="1004"/>
      <c r="NIZ44" s="1004"/>
      <c r="NJA44" s="1004"/>
      <c r="NJB44" s="1004"/>
      <c r="NJC44" s="1004"/>
      <c r="NJD44" s="1004"/>
      <c r="NJE44" s="1004"/>
      <c r="NJF44" s="1004"/>
      <c r="NJG44" s="1004"/>
      <c r="NJH44" s="1004"/>
      <c r="NJI44" s="1004"/>
      <c r="NJJ44" s="1004"/>
      <c r="NJK44" s="1004"/>
      <c r="NJL44" s="1004"/>
      <c r="NJM44" s="1004"/>
      <c r="NJN44" s="1004"/>
      <c r="NJO44" s="1004"/>
      <c r="NJP44" s="1004"/>
      <c r="NJQ44" s="1004"/>
      <c r="NJR44" s="1004"/>
      <c r="NJS44" s="1004"/>
      <c r="NJT44" s="1004"/>
      <c r="NJU44" s="1004"/>
      <c r="NJV44" s="1004"/>
      <c r="NJW44" s="1004"/>
      <c r="NJX44" s="1004"/>
      <c r="NJY44" s="1004"/>
      <c r="NJZ44" s="1004"/>
      <c r="NKA44" s="1004"/>
      <c r="NKB44" s="1004"/>
      <c r="NKC44" s="1004"/>
      <c r="NKD44" s="1004"/>
      <c r="NKE44" s="1004"/>
      <c r="NKF44" s="1004"/>
      <c r="NKG44" s="1004"/>
      <c r="NKH44" s="1004"/>
      <c r="NKI44" s="1004"/>
      <c r="NKJ44" s="1004"/>
      <c r="NKK44" s="1004"/>
      <c r="NKL44" s="1004"/>
      <c r="NKM44" s="1004"/>
      <c r="NKN44" s="1004"/>
      <c r="NKO44" s="1004"/>
      <c r="NKP44" s="1004"/>
      <c r="NKQ44" s="1004"/>
      <c r="NKR44" s="1004"/>
      <c r="NKS44" s="1004"/>
      <c r="NKT44" s="1004"/>
      <c r="NKU44" s="1004"/>
      <c r="NKV44" s="1004"/>
      <c r="NKW44" s="1004"/>
      <c r="NKX44" s="1004"/>
      <c r="NKY44" s="1004"/>
      <c r="NKZ44" s="1004"/>
      <c r="NLA44" s="1004"/>
      <c r="NLB44" s="1004"/>
      <c r="NLC44" s="1004"/>
      <c r="NLD44" s="1004"/>
      <c r="NLE44" s="1004"/>
      <c r="NLF44" s="1004"/>
      <c r="NLG44" s="1004"/>
      <c r="NLH44" s="1004"/>
      <c r="NLI44" s="1004"/>
      <c r="NLJ44" s="1004"/>
      <c r="NLK44" s="1004"/>
      <c r="NLL44" s="1004"/>
      <c r="NLM44" s="1004"/>
      <c r="NLN44" s="1004"/>
      <c r="NLO44" s="1004"/>
      <c r="NLP44" s="1004"/>
      <c r="NLQ44" s="1004"/>
      <c r="NLR44" s="1004"/>
      <c r="NLS44" s="1004"/>
      <c r="NLT44" s="1004"/>
      <c r="NLU44" s="1004"/>
      <c r="NLV44" s="1004"/>
      <c r="NLW44" s="1004"/>
      <c r="NLX44" s="1004"/>
      <c r="NLY44" s="1004"/>
      <c r="NLZ44" s="1004"/>
      <c r="NMA44" s="1004"/>
      <c r="NMB44" s="1004"/>
      <c r="NMC44" s="1004"/>
      <c r="NMD44" s="1004"/>
      <c r="NME44" s="1004"/>
      <c r="NMF44" s="1004"/>
      <c r="NMG44" s="1004"/>
      <c r="NMH44" s="1004"/>
      <c r="NMI44" s="1004"/>
      <c r="NMJ44" s="1004"/>
      <c r="NMK44" s="1004"/>
      <c r="NML44" s="1004"/>
      <c r="NMM44" s="1004"/>
      <c r="NMN44" s="1004"/>
      <c r="NMO44" s="1004"/>
      <c r="NMP44" s="1004"/>
      <c r="NMQ44" s="1004"/>
      <c r="NMR44" s="1004"/>
      <c r="NMS44" s="1004"/>
      <c r="NMT44" s="1004"/>
      <c r="NMU44" s="1004"/>
      <c r="NMV44" s="1004"/>
      <c r="NMW44" s="1004"/>
      <c r="NMX44" s="1004"/>
      <c r="NMY44" s="1004"/>
      <c r="NMZ44" s="1004"/>
      <c r="NNA44" s="1004"/>
      <c r="NNB44" s="1004"/>
      <c r="NNC44" s="1004"/>
      <c r="NND44" s="1004"/>
      <c r="NNE44" s="1004"/>
      <c r="NNF44" s="1004"/>
      <c r="NNG44" s="1004"/>
      <c r="NNH44" s="1004"/>
      <c r="NNI44" s="1004"/>
      <c r="NNJ44" s="1004"/>
      <c r="NNK44" s="1004"/>
      <c r="NNL44" s="1004"/>
      <c r="NNM44" s="1004"/>
      <c r="NNN44" s="1004"/>
      <c r="NNO44" s="1004"/>
      <c r="NNP44" s="1004"/>
      <c r="NNQ44" s="1004"/>
      <c r="NNR44" s="1004"/>
      <c r="NNS44" s="1004"/>
      <c r="NNT44" s="1004"/>
      <c r="NNU44" s="1004"/>
      <c r="NNV44" s="1004"/>
      <c r="NNW44" s="1004"/>
      <c r="NNX44" s="1004"/>
      <c r="NNY44" s="1004"/>
      <c r="NNZ44" s="1004"/>
      <c r="NOA44" s="1004"/>
      <c r="NOB44" s="1004"/>
      <c r="NOC44" s="1004"/>
      <c r="NOD44" s="1004"/>
      <c r="NOE44" s="1004"/>
      <c r="NOF44" s="1004"/>
      <c r="NOG44" s="1004"/>
      <c r="NOH44" s="1004"/>
      <c r="NOI44" s="1004"/>
      <c r="NOJ44" s="1004"/>
      <c r="NOK44" s="1004"/>
      <c r="NOL44" s="1004"/>
      <c r="NOM44" s="1004"/>
      <c r="NON44" s="1004"/>
      <c r="NOO44" s="1004"/>
      <c r="NOP44" s="1004"/>
      <c r="NOQ44" s="1004"/>
      <c r="NOR44" s="1004"/>
      <c r="NOS44" s="1004"/>
      <c r="NOT44" s="1004"/>
      <c r="NOU44" s="1004"/>
      <c r="NOV44" s="1004"/>
      <c r="NOW44" s="1004"/>
      <c r="NOX44" s="1004"/>
      <c r="NOY44" s="1004"/>
      <c r="NOZ44" s="1004"/>
      <c r="NPA44" s="1004"/>
      <c r="NPB44" s="1004"/>
      <c r="NPC44" s="1004"/>
      <c r="NPD44" s="1004"/>
      <c r="NPE44" s="1004"/>
      <c r="NPF44" s="1004"/>
      <c r="NPG44" s="1004"/>
      <c r="NPH44" s="1004"/>
      <c r="NPI44" s="1004"/>
      <c r="NPJ44" s="1004"/>
      <c r="NPK44" s="1004"/>
      <c r="NPL44" s="1004"/>
      <c r="NPM44" s="1004"/>
      <c r="NPN44" s="1004"/>
      <c r="NPO44" s="1004"/>
      <c r="NPP44" s="1004"/>
      <c r="NPQ44" s="1004"/>
      <c r="NPR44" s="1004"/>
      <c r="NPS44" s="1004"/>
      <c r="NPT44" s="1004"/>
      <c r="NPU44" s="1004"/>
      <c r="NPV44" s="1004"/>
      <c r="NPW44" s="1004"/>
      <c r="NPX44" s="1004"/>
      <c r="NPY44" s="1004"/>
      <c r="NPZ44" s="1004"/>
      <c r="NQA44" s="1004"/>
      <c r="NQB44" s="1004"/>
      <c r="NQC44" s="1004"/>
      <c r="NQD44" s="1004"/>
      <c r="NQE44" s="1004"/>
      <c r="NQF44" s="1004"/>
      <c r="NQG44" s="1004"/>
      <c r="NQH44" s="1004"/>
      <c r="NQI44" s="1004"/>
      <c r="NQJ44" s="1004"/>
      <c r="NQK44" s="1004"/>
      <c r="NQL44" s="1004"/>
      <c r="NQM44" s="1004"/>
      <c r="NQN44" s="1004"/>
      <c r="NQO44" s="1004"/>
      <c r="NQP44" s="1004"/>
      <c r="NQQ44" s="1004"/>
      <c r="NQR44" s="1004"/>
      <c r="NQS44" s="1004"/>
      <c r="NQT44" s="1004"/>
      <c r="NQU44" s="1004"/>
      <c r="NQV44" s="1004"/>
      <c r="NQW44" s="1004"/>
      <c r="NQX44" s="1004"/>
      <c r="NQY44" s="1004"/>
      <c r="NQZ44" s="1004"/>
      <c r="NRA44" s="1004"/>
      <c r="NRB44" s="1004"/>
      <c r="NRC44" s="1004"/>
      <c r="NRD44" s="1004"/>
      <c r="NRE44" s="1004"/>
      <c r="NRF44" s="1004"/>
      <c r="NRG44" s="1004"/>
      <c r="NRH44" s="1004"/>
      <c r="NRI44" s="1004"/>
      <c r="NRJ44" s="1004"/>
      <c r="NRK44" s="1004"/>
      <c r="NRL44" s="1004"/>
      <c r="NRM44" s="1004"/>
      <c r="NRN44" s="1004"/>
      <c r="NRO44" s="1004"/>
      <c r="NRP44" s="1004"/>
      <c r="NRQ44" s="1004"/>
      <c r="NRR44" s="1004"/>
      <c r="NRS44" s="1004"/>
      <c r="NRT44" s="1004"/>
      <c r="NRU44" s="1004"/>
      <c r="NRV44" s="1004"/>
      <c r="NRW44" s="1004"/>
      <c r="NRX44" s="1004"/>
      <c r="NRY44" s="1004"/>
      <c r="NRZ44" s="1004"/>
      <c r="NSA44" s="1004"/>
      <c r="NSB44" s="1004"/>
      <c r="NSC44" s="1004"/>
      <c r="NSD44" s="1004"/>
      <c r="NSE44" s="1004"/>
      <c r="NSF44" s="1004"/>
      <c r="NSG44" s="1004"/>
      <c r="NSH44" s="1004"/>
      <c r="NSI44" s="1004"/>
      <c r="NSJ44" s="1004"/>
      <c r="NSK44" s="1004"/>
      <c r="NSL44" s="1004"/>
      <c r="NSM44" s="1004"/>
      <c r="NSN44" s="1004"/>
      <c r="NSO44" s="1004"/>
      <c r="NSP44" s="1004"/>
      <c r="NSQ44" s="1004"/>
      <c r="NSR44" s="1004"/>
      <c r="NSS44" s="1004"/>
      <c r="NST44" s="1004"/>
      <c r="NSU44" s="1004"/>
      <c r="NSV44" s="1004"/>
      <c r="NSW44" s="1004"/>
      <c r="NSX44" s="1004"/>
      <c r="NSY44" s="1004"/>
      <c r="NSZ44" s="1004"/>
      <c r="NTA44" s="1004"/>
      <c r="NTB44" s="1004"/>
      <c r="NTC44" s="1004"/>
      <c r="NTD44" s="1004"/>
      <c r="NTE44" s="1004"/>
      <c r="NTF44" s="1004"/>
      <c r="NTG44" s="1004"/>
      <c r="NTH44" s="1004"/>
      <c r="NTI44" s="1004"/>
      <c r="NTJ44" s="1004"/>
      <c r="NTK44" s="1004"/>
      <c r="NTL44" s="1004"/>
      <c r="NTM44" s="1004"/>
      <c r="NTN44" s="1004"/>
      <c r="NTO44" s="1004"/>
      <c r="NTP44" s="1004"/>
      <c r="NTQ44" s="1004"/>
      <c r="NTR44" s="1004"/>
      <c r="NTS44" s="1004"/>
      <c r="NTT44" s="1004"/>
      <c r="NTU44" s="1004"/>
      <c r="NTV44" s="1004"/>
      <c r="NTW44" s="1004"/>
      <c r="NTX44" s="1004"/>
      <c r="NTY44" s="1004"/>
      <c r="NTZ44" s="1004"/>
      <c r="NUA44" s="1004"/>
      <c r="NUB44" s="1004"/>
      <c r="NUC44" s="1004"/>
      <c r="NUD44" s="1004"/>
      <c r="NUE44" s="1004"/>
      <c r="NUF44" s="1004"/>
      <c r="NUG44" s="1004"/>
      <c r="NUH44" s="1004"/>
      <c r="NUI44" s="1004"/>
      <c r="NUJ44" s="1004"/>
      <c r="NUK44" s="1004"/>
      <c r="NUL44" s="1004"/>
      <c r="NUM44" s="1004"/>
      <c r="NUN44" s="1004"/>
      <c r="NUO44" s="1004"/>
      <c r="NUP44" s="1004"/>
      <c r="NUQ44" s="1004"/>
      <c r="NUR44" s="1004"/>
      <c r="NUS44" s="1004"/>
      <c r="NUT44" s="1004"/>
      <c r="NUU44" s="1004"/>
      <c r="NUV44" s="1004"/>
      <c r="NUW44" s="1004"/>
      <c r="NUX44" s="1004"/>
      <c r="NUY44" s="1004"/>
      <c r="NUZ44" s="1004"/>
      <c r="NVA44" s="1004"/>
      <c r="NVB44" s="1004"/>
      <c r="NVC44" s="1004"/>
      <c r="NVD44" s="1004"/>
      <c r="NVE44" s="1004"/>
      <c r="NVF44" s="1004"/>
      <c r="NVG44" s="1004"/>
      <c r="NVH44" s="1004"/>
      <c r="NVI44" s="1004"/>
      <c r="NVJ44" s="1004"/>
      <c r="NVK44" s="1004"/>
      <c r="NVL44" s="1004"/>
      <c r="NVM44" s="1004"/>
      <c r="NVN44" s="1004"/>
      <c r="NVO44" s="1004"/>
      <c r="NVP44" s="1004"/>
      <c r="NVQ44" s="1004"/>
      <c r="NVR44" s="1004"/>
      <c r="NVS44" s="1004"/>
      <c r="NVT44" s="1004"/>
      <c r="NVU44" s="1004"/>
      <c r="NVV44" s="1004"/>
      <c r="NVW44" s="1004"/>
      <c r="NVX44" s="1004"/>
      <c r="NVY44" s="1004"/>
      <c r="NVZ44" s="1004"/>
      <c r="NWA44" s="1004"/>
      <c r="NWB44" s="1004"/>
      <c r="NWC44" s="1004"/>
      <c r="NWD44" s="1004"/>
      <c r="NWE44" s="1004"/>
      <c r="NWF44" s="1004"/>
      <c r="NWG44" s="1004"/>
      <c r="NWH44" s="1004"/>
      <c r="NWI44" s="1004"/>
      <c r="NWJ44" s="1004"/>
      <c r="NWK44" s="1004"/>
      <c r="NWL44" s="1004"/>
      <c r="NWM44" s="1004"/>
      <c r="NWN44" s="1004"/>
      <c r="NWO44" s="1004"/>
      <c r="NWP44" s="1004"/>
      <c r="NWQ44" s="1004"/>
      <c r="NWR44" s="1004"/>
      <c r="NWS44" s="1004"/>
      <c r="NWT44" s="1004"/>
      <c r="NWU44" s="1004"/>
      <c r="NWV44" s="1004"/>
      <c r="NWW44" s="1004"/>
      <c r="NWX44" s="1004"/>
      <c r="NWY44" s="1004"/>
      <c r="NWZ44" s="1004"/>
      <c r="NXA44" s="1004"/>
      <c r="NXB44" s="1004"/>
      <c r="NXC44" s="1004"/>
      <c r="NXD44" s="1004"/>
      <c r="NXE44" s="1004"/>
      <c r="NXF44" s="1004"/>
      <c r="NXG44" s="1004"/>
      <c r="NXH44" s="1004"/>
      <c r="NXI44" s="1004"/>
      <c r="NXJ44" s="1004"/>
      <c r="NXK44" s="1004"/>
      <c r="NXL44" s="1004"/>
      <c r="NXM44" s="1004"/>
      <c r="NXN44" s="1004"/>
      <c r="NXO44" s="1004"/>
      <c r="NXP44" s="1004"/>
      <c r="NXQ44" s="1004"/>
      <c r="NXR44" s="1004"/>
      <c r="NXS44" s="1004"/>
      <c r="NXT44" s="1004"/>
      <c r="NXU44" s="1004"/>
      <c r="NXV44" s="1004"/>
      <c r="NXW44" s="1004"/>
      <c r="NXX44" s="1004"/>
      <c r="NXY44" s="1004"/>
      <c r="NXZ44" s="1004"/>
      <c r="NYA44" s="1004"/>
      <c r="NYB44" s="1004"/>
      <c r="NYC44" s="1004"/>
      <c r="NYD44" s="1004"/>
      <c r="NYE44" s="1004"/>
      <c r="NYF44" s="1004"/>
      <c r="NYG44" s="1004"/>
      <c r="NYH44" s="1004"/>
      <c r="NYI44" s="1004"/>
      <c r="NYJ44" s="1004"/>
      <c r="NYK44" s="1004"/>
      <c r="NYL44" s="1004"/>
      <c r="NYM44" s="1004"/>
      <c r="NYN44" s="1004"/>
      <c r="NYO44" s="1004"/>
      <c r="NYP44" s="1004"/>
      <c r="NYQ44" s="1004"/>
      <c r="NYR44" s="1004"/>
      <c r="NYS44" s="1004"/>
      <c r="NYT44" s="1004"/>
      <c r="NYU44" s="1004"/>
      <c r="NYV44" s="1004"/>
      <c r="NYW44" s="1004"/>
      <c r="NYX44" s="1004"/>
      <c r="NYY44" s="1004"/>
      <c r="NYZ44" s="1004"/>
      <c r="NZA44" s="1004"/>
      <c r="NZB44" s="1004"/>
      <c r="NZC44" s="1004"/>
      <c r="NZD44" s="1004"/>
      <c r="NZE44" s="1004"/>
      <c r="NZF44" s="1004"/>
      <c r="NZG44" s="1004"/>
      <c r="NZH44" s="1004"/>
      <c r="NZI44" s="1004"/>
      <c r="NZJ44" s="1004"/>
      <c r="NZK44" s="1004"/>
      <c r="NZL44" s="1004"/>
      <c r="NZM44" s="1004"/>
      <c r="NZN44" s="1004"/>
      <c r="NZO44" s="1004"/>
      <c r="NZP44" s="1004"/>
      <c r="NZQ44" s="1004"/>
      <c r="NZR44" s="1004"/>
      <c r="NZS44" s="1004"/>
      <c r="NZT44" s="1004"/>
      <c r="NZU44" s="1004"/>
      <c r="NZV44" s="1004"/>
      <c r="NZW44" s="1004"/>
      <c r="NZX44" s="1004"/>
      <c r="NZY44" s="1004"/>
      <c r="NZZ44" s="1004"/>
      <c r="OAA44" s="1004"/>
      <c r="OAB44" s="1004"/>
      <c r="OAC44" s="1004"/>
      <c r="OAD44" s="1004"/>
      <c r="OAE44" s="1004"/>
      <c r="OAF44" s="1004"/>
      <c r="OAG44" s="1004"/>
      <c r="OAH44" s="1004"/>
      <c r="OAI44" s="1004"/>
      <c r="OAJ44" s="1004"/>
      <c r="OAK44" s="1004"/>
      <c r="OAL44" s="1004"/>
      <c r="OAM44" s="1004"/>
      <c r="OAN44" s="1004"/>
      <c r="OAO44" s="1004"/>
      <c r="OAP44" s="1004"/>
      <c r="OAQ44" s="1004"/>
      <c r="OAR44" s="1004"/>
      <c r="OAS44" s="1004"/>
      <c r="OAT44" s="1004"/>
      <c r="OAU44" s="1004"/>
      <c r="OAV44" s="1004"/>
      <c r="OAW44" s="1004"/>
      <c r="OAX44" s="1004"/>
      <c r="OAY44" s="1004"/>
      <c r="OAZ44" s="1004"/>
      <c r="OBA44" s="1004"/>
      <c r="OBB44" s="1004"/>
      <c r="OBC44" s="1004"/>
      <c r="OBD44" s="1004"/>
      <c r="OBE44" s="1004"/>
      <c r="OBF44" s="1004"/>
      <c r="OBG44" s="1004"/>
      <c r="OBH44" s="1004"/>
      <c r="OBI44" s="1004"/>
      <c r="OBJ44" s="1004"/>
      <c r="OBK44" s="1004"/>
      <c r="OBL44" s="1004"/>
      <c r="OBM44" s="1004"/>
      <c r="OBN44" s="1004"/>
      <c r="OBO44" s="1004"/>
      <c r="OBP44" s="1004"/>
      <c r="OBQ44" s="1004"/>
      <c r="OBR44" s="1004"/>
      <c r="OBS44" s="1004"/>
      <c r="OBT44" s="1004"/>
      <c r="OBU44" s="1004"/>
      <c r="OBV44" s="1004"/>
      <c r="OBW44" s="1004"/>
      <c r="OBX44" s="1004"/>
      <c r="OBY44" s="1004"/>
      <c r="OBZ44" s="1004"/>
      <c r="OCA44" s="1004"/>
      <c r="OCB44" s="1004"/>
      <c r="OCC44" s="1004"/>
      <c r="OCD44" s="1004"/>
      <c r="OCE44" s="1004"/>
      <c r="OCF44" s="1004"/>
      <c r="OCG44" s="1004"/>
      <c r="OCH44" s="1004"/>
      <c r="OCI44" s="1004"/>
      <c r="OCJ44" s="1004"/>
      <c r="OCK44" s="1004"/>
      <c r="OCL44" s="1004"/>
      <c r="OCM44" s="1004"/>
      <c r="OCN44" s="1004"/>
      <c r="OCO44" s="1004"/>
      <c r="OCP44" s="1004"/>
      <c r="OCQ44" s="1004"/>
      <c r="OCR44" s="1004"/>
      <c r="OCS44" s="1004"/>
      <c r="OCT44" s="1004"/>
      <c r="OCU44" s="1004"/>
      <c r="OCV44" s="1004"/>
      <c r="OCW44" s="1004"/>
      <c r="OCX44" s="1004"/>
      <c r="OCY44" s="1004"/>
      <c r="OCZ44" s="1004"/>
      <c r="ODA44" s="1004"/>
      <c r="ODB44" s="1004"/>
      <c r="ODC44" s="1004"/>
      <c r="ODD44" s="1004"/>
      <c r="ODE44" s="1004"/>
      <c r="ODF44" s="1004"/>
      <c r="ODG44" s="1004"/>
      <c r="ODH44" s="1004"/>
      <c r="ODI44" s="1004"/>
      <c r="ODJ44" s="1004"/>
      <c r="ODK44" s="1004"/>
      <c r="ODL44" s="1004"/>
      <c r="ODM44" s="1004"/>
      <c r="ODN44" s="1004"/>
      <c r="ODO44" s="1004"/>
      <c r="ODP44" s="1004"/>
      <c r="ODQ44" s="1004"/>
      <c r="ODR44" s="1004"/>
      <c r="ODS44" s="1004"/>
      <c r="ODT44" s="1004"/>
      <c r="ODU44" s="1004"/>
      <c r="ODV44" s="1004"/>
      <c r="ODW44" s="1004"/>
      <c r="ODX44" s="1004"/>
      <c r="ODY44" s="1004"/>
      <c r="ODZ44" s="1004"/>
      <c r="OEA44" s="1004"/>
      <c r="OEB44" s="1004"/>
      <c r="OEC44" s="1004"/>
      <c r="OED44" s="1004"/>
      <c r="OEE44" s="1004"/>
      <c r="OEF44" s="1004"/>
      <c r="OEG44" s="1004"/>
      <c r="OEH44" s="1004"/>
      <c r="OEI44" s="1004"/>
      <c r="OEJ44" s="1004"/>
      <c r="OEK44" s="1004"/>
      <c r="OEL44" s="1004"/>
      <c r="OEM44" s="1004"/>
      <c r="OEN44" s="1004"/>
      <c r="OEO44" s="1004"/>
      <c r="OEP44" s="1004"/>
      <c r="OEQ44" s="1004"/>
      <c r="OER44" s="1004"/>
      <c r="OES44" s="1004"/>
      <c r="OET44" s="1004"/>
      <c r="OEU44" s="1004"/>
      <c r="OEV44" s="1004"/>
      <c r="OEW44" s="1004"/>
      <c r="OEX44" s="1004"/>
      <c r="OEY44" s="1004"/>
      <c r="OEZ44" s="1004"/>
      <c r="OFA44" s="1004"/>
      <c r="OFB44" s="1004"/>
      <c r="OFC44" s="1004"/>
      <c r="OFD44" s="1004"/>
      <c r="OFE44" s="1004"/>
      <c r="OFF44" s="1004"/>
      <c r="OFG44" s="1004"/>
      <c r="OFH44" s="1004"/>
      <c r="OFI44" s="1004"/>
      <c r="OFJ44" s="1004"/>
      <c r="OFK44" s="1004"/>
      <c r="OFL44" s="1004"/>
      <c r="OFM44" s="1004"/>
      <c r="OFN44" s="1004"/>
      <c r="OFO44" s="1004"/>
      <c r="OFP44" s="1004"/>
      <c r="OFQ44" s="1004"/>
      <c r="OFR44" s="1004"/>
      <c r="OFS44" s="1004"/>
      <c r="OFT44" s="1004"/>
      <c r="OFU44" s="1004"/>
      <c r="OFV44" s="1004"/>
      <c r="OFW44" s="1004"/>
      <c r="OFX44" s="1004"/>
      <c r="OFY44" s="1004"/>
      <c r="OFZ44" s="1004"/>
      <c r="OGA44" s="1004"/>
      <c r="OGB44" s="1004"/>
      <c r="OGC44" s="1004"/>
      <c r="OGD44" s="1004"/>
      <c r="OGE44" s="1004"/>
      <c r="OGF44" s="1004"/>
      <c r="OGG44" s="1004"/>
      <c r="OGH44" s="1004"/>
      <c r="OGI44" s="1004"/>
      <c r="OGJ44" s="1004"/>
      <c r="OGK44" s="1004"/>
      <c r="OGL44" s="1004"/>
      <c r="OGM44" s="1004"/>
      <c r="OGN44" s="1004"/>
      <c r="OGO44" s="1004"/>
      <c r="OGP44" s="1004"/>
      <c r="OGQ44" s="1004"/>
      <c r="OGR44" s="1004"/>
      <c r="OGS44" s="1004"/>
      <c r="OGT44" s="1004"/>
      <c r="OGU44" s="1004"/>
      <c r="OGV44" s="1004"/>
      <c r="OGW44" s="1004"/>
      <c r="OGX44" s="1004"/>
      <c r="OGY44" s="1004"/>
      <c r="OGZ44" s="1004"/>
      <c r="OHA44" s="1004"/>
      <c r="OHB44" s="1004"/>
      <c r="OHC44" s="1004"/>
      <c r="OHD44" s="1004"/>
      <c r="OHE44" s="1004"/>
      <c r="OHF44" s="1004"/>
      <c r="OHG44" s="1004"/>
      <c r="OHH44" s="1004"/>
      <c r="OHI44" s="1004"/>
      <c r="OHJ44" s="1004"/>
      <c r="OHK44" s="1004"/>
      <c r="OHL44" s="1004"/>
      <c r="OHM44" s="1004"/>
      <c r="OHN44" s="1004"/>
      <c r="OHO44" s="1004"/>
      <c r="OHP44" s="1004"/>
      <c r="OHQ44" s="1004"/>
      <c r="OHR44" s="1004"/>
      <c r="OHS44" s="1004"/>
      <c r="OHT44" s="1004"/>
      <c r="OHU44" s="1004"/>
      <c r="OHV44" s="1004"/>
      <c r="OHW44" s="1004"/>
      <c r="OHX44" s="1004"/>
      <c r="OHY44" s="1004"/>
      <c r="OHZ44" s="1004"/>
      <c r="OIA44" s="1004"/>
      <c r="OIB44" s="1004"/>
      <c r="OIC44" s="1004"/>
      <c r="OID44" s="1004"/>
      <c r="OIE44" s="1004"/>
      <c r="OIF44" s="1004"/>
      <c r="OIG44" s="1004"/>
      <c r="OIH44" s="1004"/>
      <c r="OII44" s="1004"/>
      <c r="OIJ44" s="1004"/>
      <c r="OIK44" s="1004"/>
      <c r="OIL44" s="1004"/>
      <c r="OIM44" s="1004"/>
      <c r="OIN44" s="1004"/>
      <c r="OIO44" s="1004"/>
      <c r="OIP44" s="1004"/>
      <c r="OIQ44" s="1004"/>
      <c r="OIR44" s="1004"/>
      <c r="OIS44" s="1004"/>
      <c r="OIT44" s="1004"/>
      <c r="OIU44" s="1004"/>
      <c r="OIV44" s="1004"/>
      <c r="OIW44" s="1004"/>
      <c r="OIX44" s="1004"/>
      <c r="OIY44" s="1004"/>
      <c r="OIZ44" s="1004"/>
      <c r="OJA44" s="1004"/>
      <c r="OJB44" s="1004"/>
      <c r="OJC44" s="1004"/>
      <c r="OJD44" s="1004"/>
      <c r="OJE44" s="1004"/>
      <c r="OJF44" s="1004"/>
      <c r="OJG44" s="1004"/>
      <c r="OJH44" s="1004"/>
      <c r="OJI44" s="1004"/>
      <c r="OJJ44" s="1004"/>
      <c r="OJK44" s="1004"/>
      <c r="OJL44" s="1004"/>
      <c r="OJM44" s="1004"/>
      <c r="OJN44" s="1004"/>
      <c r="OJO44" s="1004"/>
      <c r="OJP44" s="1004"/>
      <c r="OJQ44" s="1004"/>
      <c r="OJR44" s="1004"/>
      <c r="OJS44" s="1004"/>
      <c r="OJT44" s="1004"/>
      <c r="OJU44" s="1004"/>
      <c r="OJV44" s="1004"/>
      <c r="OJW44" s="1004"/>
      <c r="OJX44" s="1004"/>
      <c r="OJY44" s="1004"/>
      <c r="OJZ44" s="1004"/>
      <c r="OKA44" s="1004"/>
      <c r="OKB44" s="1004"/>
      <c r="OKC44" s="1004"/>
      <c r="OKD44" s="1004"/>
      <c r="OKE44" s="1004"/>
      <c r="OKF44" s="1004"/>
      <c r="OKG44" s="1004"/>
      <c r="OKH44" s="1004"/>
      <c r="OKI44" s="1004"/>
      <c r="OKJ44" s="1004"/>
      <c r="OKK44" s="1004"/>
      <c r="OKL44" s="1004"/>
      <c r="OKM44" s="1004"/>
      <c r="OKN44" s="1004"/>
      <c r="OKO44" s="1004"/>
      <c r="OKP44" s="1004"/>
      <c r="OKQ44" s="1004"/>
      <c r="OKR44" s="1004"/>
      <c r="OKS44" s="1004"/>
      <c r="OKT44" s="1004"/>
      <c r="OKU44" s="1004"/>
      <c r="OKV44" s="1004"/>
      <c r="OKW44" s="1004"/>
      <c r="OKX44" s="1004"/>
      <c r="OKY44" s="1004"/>
      <c r="OKZ44" s="1004"/>
      <c r="OLA44" s="1004"/>
      <c r="OLB44" s="1004"/>
      <c r="OLC44" s="1004"/>
      <c r="OLD44" s="1004"/>
      <c r="OLE44" s="1004"/>
      <c r="OLF44" s="1004"/>
      <c r="OLG44" s="1004"/>
      <c r="OLH44" s="1004"/>
      <c r="OLI44" s="1004"/>
      <c r="OLJ44" s="1004"/>
      <c r="OLK44" s="1004"/>
      <c r="OLL44" s="1004"/>
      <c r="OLM44" s="1004"/>
      <c r="OLN44" s="1004"/>
      <c r="OLO44" s="1004"/>
      <c r="OLP44" s="1004"/>
      <c r="OLQ44" s="1004"/>
      <c r="OLR44" s="1004"/>
      <c r="OLS44" s="1004"/>
      <c r="OLT44" s="1004"/>
      <c r="OLU44" s="1004"/>
      <c r="OLV44" s="1004"/>
      <c r="OLW44" s="1004"/>
      <c r="OLX44" s="1004"/>
      <c r="OLY44" s="1004"/>
      <c r="OLZ44" s="1004"/>
      <c r="OMA44" s="1004"/>
      <c r="OMB44" s="1004"/>
      <c r="OMC44" s="1004"/>
      <c r="OMD44" s="1004"/>
      <c r="OME44" s="1004"/>
      <c r="OMF44" s="1004"/>
      <c r="OMG44" s="1004"/>
      <c r="OMH44" s="1004"/>
      <c r="OMI44" s="1004"/>
      <c r="OMJ44" s="1004"/>
      <c r="OMK44" s="1004"/>
      <c r="OML44" s="1004"/>
      <c r="OMM44" s="1004"/>
      <c r="OMN44" s="1004"/>
      <c r="OMO44" s="1004"/>
      <c r="OMP44" s="1004"/>
      <c r="OMQ44" s="1004"/>
      <c r="OMR44" s="1004"/>
      <c r="OMS44" s="1004"/>
      <c r="OMT44" s="1004"/>
      <c r="OMU44" s="1004"/>
      <c r="OMV44" s="1004"/>
      <c r="OMW44" s="1004"/>
      <c r="OMX44" s="1004"/>
      <c r="OMY44" s="1004"/>
      <c r="OMZ44" s="1004"/>
      <c r="ONA44" s="1004"/>
      <c r="ONB44" s="1004"/>
      <c r="ONC44" s="1004"/>
      <c r="OND44" s="1004"/>
      <c r="ONE44" s="1004"/>
      <c r="ONF44" s="1004"/>
      <c r="ONG44" s="1004"/>
      <c r="ONH44" s="1004"/>
      <c r="ONI44" s="1004"/>
      <c r="ONJ44" s="1004"/>
      <c r="ONK44" s="1004"/>
      <c r="ONL44" s="1004"/>
      <c r="ONM44" s="1004"/>
      <c r="ONN44" s="1004"/>
      <c r="ONO44" s="1004"/>
      <c r="ONP44" s="1004"/>
      <c r="ONQ44" s="1004"/>
      <c r="ONR44" s="1004"/>
      <c r="ONS44" s="1004"/>
      <c r="ONT44" s="1004"/>
      <c r="ONU44" s="1004"/>
      <c r="ONV44" s="1004"/>
      <c r="ONW44" s="1004"/>
      <c r="ONX44" s="1004"/>
      <c r="ONY44" s="1004"/>
      <c r="ONZ44" s="1004"/>
      <c r="OOA44" s="1004"/>
      <c r="OOB44" s="1004"/>
      <c r="OOC44" s="1004"/>
      <c r="OOD44" s="1004"/>
      <c r="OOE44" s="1004"/>
      <c r="OOF44" s="1004"/>
      <c r="OOG44" s="1004"/>
      <c r="OOH44" s="1004"/>
      <c r="OOI44" s="1004"/>
      <c r="OOJ44" s="1004"/>
      <c r="OOK44" s="1004"/>
      <c r="OOL44" s="1004"/>
      <c r="OOM44" s="1004"/>
      <c r="OON44" s="1004"/>
      <c r="OOO44" s="1004"/>
      <c r="OOP44" s="1004"/>
      <c r="OOQ44" s="1004"/>
      <c r="OOR44" s="1004"/>
      <c r="OOS44" s="1004"/>
      <c r="OOT44" s="1004"/>
      <c r="OOU44" s="1004"/>
      <c r="OOV44" s="1004"/>
      <c r="OOW44" s="1004"/>
      <c r="OOX44" s="1004"/>
      <c r="OOY44" s="1004"/>
      <c r="OOZ44" s="1004"/>
      <c r="OPA44" s="1004"/>
      <c r="OPB44" s="1004"/>
      <c r="OPC44" s="1004"/>
      <c r="OPD44" s="1004"/>
      <c r="OPE44" s="1004"/>
      <c r="OPF44" s="1004"/>
      <c r="OPG44" s="1004"/>
      <c r="OPH44" s="1004"/>
      <c r="OPI44" s="1004"/>
      <c r="OPJ44" s="1004"/>
      <c r="OPK44" s="1004"/>
      <c r="OPL44" s="1004"/>
      <c r="OPM44" s="1004"/>
      <c r="OPN44" s="1004"/>
      <c r="OPO44" s="1004"/>
      <c r="OPP44" s="1004"/>
      <c r="OPQ44" s="1004"/>
      <c r="OPR44" s="1004"/>
      <c r="OPS44" s="1004"/>
      <c r="OPT44" s="1004"/>
      <c r="OPU44" s="1004"/>
      <c r="OPV44" s="1004"/>
      <c r="OPW44" s="1004"/>
      <c r="OPX44" s="1004"/>
      <c r="OPY44" s="1004"/>
      <c r="OPZ44" s="1004"/>
      <c r="OQA44" s="1004"/>
      <c r="OQB44" s="1004"/>
      <c r="OQC44" s="1004"/>
      <c r="OQD44" s="1004"/>
      <c r="OQE44" s="1004"/>
      <c r="OQF44" s="1004"/>
      <c r="OQG44" s="1004"/>
      <c r="OQH44" s="1004"/>
      <c r="OQI44" s="1004"/>
      <c r="OQJ44" s="1004"/>
      <c r="OQK44" s="1004"/>
      <c r="OQL44" s="1004"/>
      <c r="OQM44" s="1004"/>
      <c r="OQN44" s="1004"/>
      <c r="OQO44" s="1004"/>
      <c r="OQP44" s="1004"/>
      <c r="OQQ44" s="1004"/>
      <c r="OQR44" s="1004"/>
      <c r="OQS44" s="1004"/>
      <c r="OQT44" s="1004"/>
      <c r="OQU44" s="1004"/>
      <c r="OQV44" s="1004"/>
      <c r="OQW44" s="1004"/>
      <c r="OQX44" s="1004"/>
      <c r="OQY44" s="1004"/>
      <c r="OQZ44" s="1004"/>
      <c r="ORA44" s="1004"/>
      <c r="ORB44" s="1004"/>
      <c r="ORC44" s="1004"/>
      <c r="ORD44" s="1004"/>
      <c r="ORE44" s="1004"/>
      <c r="ORF44" s="1004"/>
      <c r="ORG44" s="1004"/>
      <c r="ORH44" s="1004"/>
      <c r="ORI44" s="1004"/>
      <c r="ORJ44" s="1004"/>
      <c r="ORK44" s="1004"/>
      <c r="ORL44" s="1004"/>
      <c r="ORM44" s="1004"/>
      <c r="ORN44" s="1004"/>
      <c r="ORO44" s="1004"/>
      <c r="ORP44" s="1004"/>
      <c r="ORQ44" s="1004"/>
      <c r="ORR44" s="1004"/>
      <c r="ORS44" s="1004"/>
      <c r="ORT44" s="1004"/>
      <c r="ORU44" s="1004"/>
      <c r="ORV44" s="1004"/>
      <c r="ORW44" s="1004"/>
      <c r="ORX44" s="1004"/>
      <c r="ORY44" s="1004"/>
      <c r="ORZ44" s="1004"/>
      <c r="OSA44" s="1004"/>
      <c r="OSB44" s="1004"/>
      <c r="OSC44" s="1004"/>
      <c r="OSD44" s="1004"/>
      <c r="OSE44" s="1004"/>
      <c r="OSF44" s="1004"/>
      <c r="OSG44" s="1004"/>
      <c r="OSH44" s="1004"/>
      <c r="OSI44" s="1004"/>
      <c r="OSJ44" s="1004"/>
      <c r="OSK44" s="1004"/>
      <c r="OSL44" s="1004"/>
      <c r="OSM44" s="1004"/>
      <c r="OSN44" s="1004"/>
      <c r="OSO44" s="1004"/>
      <c r="OSP44" s="1004"/>
      <c r="OSQ44" s="1004"/>
      <c r="OSR44" s="1004"/>
      <c r="OSS44" s="1004"/>
      <c r="OST44" s="1004"/>
      <c r="OSU44" s="1004"/>
      <c r="OSV44" s="1004"/>
      <c r="OSW44" s="1004"/>
      <c r="OSX44" s="1004"/>
      <c r="OSY44" s="1004"/>
      <c r="OSZ44" s="1004"/>
      <c r="OTA44" s="1004"/>
      <c r="OTB44" s="1004"/>
      <c r="OTC44" s="1004"/>
      <c r="OTD44" s="1004"/>
      <c r="OTE44" s="1004"/>
      <c r="OTF44" s="1004"/>
      <c r="OTG44" s="1004"/>
      <c r="OTH44" s="1004"/>
      <c r="OTI44" s="1004"/>
      <c r="OTJ44" s="1004"/>
      <c r="OTK44" s="1004"/>
      <c r="OTL44" s="1004"/>
      <c r="OTM44" s="1004"/>
      <c r="OTN44" s="1004"/>
      <c r="OTO44" s="1004"/>
      <c r="OTP44" s="1004"/>
      <c r="OTQ44" s="1004"/>
      <c r="OTR44" s="1004"/>
      <c r="OTS44" s="1004"/>
      <c r="OTT44" s="1004"/>
      <c r="OTU44" s="1004"/>
      <c r="OTV44" s="1004"/>
      <c r="OTW44" s="1004"/>
      <c r="OTX44" s="1004"/>
      <c r="OTY44" s="1004"/>
      <c r="OTZ44" s="1004"/>
      <c r="OUA44" s="1004"/>
      <c r="OUB44" s="1004"/>
      <c r="OUC44" s="1004"/>
      <c r="OUD44" s="1004"/>
      <c r="OUE44" s="1004"/>
      <c r="OUF44" s="1004"/>
      <c r="OUG44" s="1004"/>
      <c r="OUH44" s="1004"/>
      <c r="OUI44" s="1004"/>
      <c r="OUJ44" s="1004"/>
      <c r="OUK44" s="1004"/>
      <c r="OUL44" s="1004"/>
      <c r="OUM44" s="1004"/>
      <c r="OUN44" s="1004"/>
      <c r="OUO44" s="1004"/>
      <c r="OUP44" s="1004"/>
      <c r="OUQ44" s="1004"/>
      <c r="OUR44" s="1004"/>
      <c r="OUS44" s="1004"/>
      <c r="OUT44" s="1004"/>
      <c r="OUU44" s="1004"/>
      <c r="OUV44" s="1004"/>
      <c r="OUW44" s="1004"/>
      <c r="OUX44" s="1004"/>
      <c r="OUY44" s="1004"/>
      <c r="OUZ44" s="1004"/>
      <c r="OVA44" s="1004"/>
      <c r="OVB44" s="1004"/>
      <c r="OVC44" s="1004"/>
      <c r="OVD44" s="1004"/>
      <c r="OVE44" s="1004"/>
      <c r="OVF44" s="1004"/>
      <c r="OVG44" s="1004"/>
      <c r="OVH44" s="1004"/>
      <c r="OVI44" s="1004"/>
      <c r="OVJ44" s="1004"/>
      <c r="OVK44" s="1004"/>
      <c r="OVL44" s="1004"/>
      <c r="OVM44" s="1004"/>
      <c r="OVN44" s="1004"/>
      <c r="OVO44" s="1004"/>
      <c r="OVP44" s="1004"/>
      <c r="OVQ44" s="1004"/>
      <c r="OVR44" s="1004"/>
      <c r="OVS44" s="1004"/>
      <c r="OVT44" s="1004"/>
      <c r="OVU44" s="1004"/>
      <c r="OVV44" s="1004"/>
      <c r="OVW44" s="1004"/>
      <c r="OVX44" s="1004"/>
      <c r="OVY44" s="1004"/>
      <c r="OVZ44" s="1004"/>
      <c r="OWA44" s="1004"/>
      <c r="OWB44" s="1004"/>
      <c r="OWC44" s="1004"/>
      <c r="OWD44" s="1004"/>
      <c r="OWE44" s="1004"/>
      <c r="OWF44" s="1004"/>
      <c r="OWG44" s="1004"/>
      <c r="OWH44" s="1004"/>
      <c r="OWI44" s="1004"/>
      <c r="OWJ44" s="1004"/>
      <c r="OWK44" s="1004"/>
      <c r="OWL44" s="1004"/>
      <c r="OWM44" s="1004"/>
      <c r="OWN44" s="1004"/>
      <c r="OWO44" s="1004"/>
      <c r="OWP44" s="1004"/>
      <c r="OWQ44" s="1004"/>
      <c r="OWR44" s="1004"/>
      <c r="OWS44" s="1004"/>
      <c r="OWT44" s="1004"/>
      <c r="OWU44" s="1004"/>
      <c r="OWV44" s="1004"/>
      <c r="OWW44" s="1004"/>
      <c r="OWX44" s="1004"/>
      <c r="OWY44" s="1004"/>
      <c r="OWZ44" s="1004"/>
      <c r="OXA44" s="1004"/>
      <c r="OXB44" s="1004"/>
      <c r="OXC44" s="1004"/>
      <c r="OXD44" s="1004"/>
      <c r="OXE44" s="1004"/>
      <c r="OXF44" s="1004"/>
      <c r="OXG44" s="1004"/>
      <c r="OXH44" s="1004"/>
      <c r="OXI44" s="1004"/>
      <c r="OXJ44" s="1004"/>
      <c r="OXK44" s="1004"/>
      <c r="OXL44" s="1004"/>
      <c r="OXM44" s="1004"/>
      <c r="OXN44" s="1004"/>
      <c r="OXO44" s="1004"/>
      <c r="OXP44" s="1004"/>
      <c r="OXQ44" s="1004"/>
      <c r="OXR44" s="1004"/>
      <c r="OXS44" s="1004"/>
      <c r="OXT44" s="1004"/>
      <c r="OXU44" s="1004"/>
      <c r="OXV44" s="1004"/>
      <c r="OXW44" s="1004"/>
      <c r="OXX44" s="1004"/>
      <c r="OXY44" s="1004"/>
      <c r="OXZ44" s="1004"/>
      <c r="OYA44" s="1004"/>
      <c r="OYB44" s="1004"/>
      <c r="OYC44" s="1004"/>
      <c r="OYD44" s="1004"/>
      <c r="OYE44" s="1004"/>
      <c r="OYF44" s="1004"/>
      <c r="OYG44" s="1004"/>
      <c r="OYH44" s="1004"/>
      <c r="OYI44" s="1004"/>
      <c r="OYJ44" s="1004"/>
      <c r="OYK44" s="1004"/>
      <c r="OYL44" s="1004"/>
      <c r="OYM44" s="1004"/>
      <c r="OYN44" s="1004"/>
      <c r="OYO44" s="1004"/>
      <c r="OYP44" s="1004"/>
      <c r="OYQ44" s="1004"/>
      <c r="OYR44" s="1004"/>
      <c r="OYS44" s="1004"/>
      <c r="OYT44" s="1004"/>
      <c r="OYU44" s="1004"/>
      <c r="OYV44" s="1004"/>
      <c r="OYW44" s="1004"/>
      <c r="OYX44" s="1004"/>
      <c r="OYY44" s="1004"/>
      <c r="OYZ44" s="1004"/>
      <c r="OZA44" s="1004"/>
      <c r="OZB44" s="1004"/>
      <c r="OZC44" s="1004"/>
      <c r="OZD44" s="1004"/>
      <c r="OZE44" s="1004"/>
      <c r="OZF44" s="1004"/>
      <c r="OZG44" s="1004"/>
      <c r="OZH44" s="1004"/>
      <c r="OZI44" s="1004"/>
      <c r="OZJ44" s="1004"/>
      <c r="OZK44" s="1004"/>
      <c r="OZL44" s="1004"/>
      <c r="OZM44" s="1004"/>
      <c r="OZN44" s="1004"/>
      <c r="OZO44" s="1004"/>
      <c r="OZP44" s="1004"/>
      <c r="OZQ44" s="1004"/>
      <c r="OZR44" s="1004"/>
      <c r="OZS44" s="1004"/>
      <c r="OZT44" s="1004"/>
      <c r="OZU44" s="1004"/>
      <c r="OZV44" s="1004"/>
      <c r="OZW44" s="1004"/>
      <c r="OZX44" s="1004"/>
      <c r="OZY44" s="1004"/>
      <c r="OZZ44" s="1004"/>
      <c r="PAA44" s="1004"/>
      <c r="PAB44" s="1004"/>
      <c r="PAC44" s="1004"/>
      <c r="PAD44" s="1004"/>
      <c r="PAE44" s="1004"/>
      <c r="PAF44" s="1004"/>
      <c r="PAG44" s="1004"/>
      <c r="PAH44" s="1004"/>
      <c r="PAI44" s="1004"/>
      <c r="PAJ44" s="1004"/>
      <c r="PAK44" s="1004"/>
      <c r="PAL44" s="1004"/>
      <c r="PAM44" s="1004"/>
      <c r="PAN44" s="1004"/>
      <c r="PAO44" s="1004"/>
      <c r="PAP44" s="1004"/>
      <c r="PAQ44" s="1004"/>
      <c r="PAR44" s="1004"/>
      <c r="PAS44" s="1004"/>
      <c r="PAT44" s="1004"/>
      <c r="PAU44" s="1004"/>
      <c r="PAV44" s="1004"/>
      <c r="PAW44" s="1004"/>
      <c r="PAX44" s="1004"/>
      <c r="PAY44" s="1004"/>
      <c r="PAZ44" s="1004"/>
      <c r="PBA44" s="1004"/>
      <c r="PBB44" s="1004"/>
      <c r="PBC44" s="1004"/>
      <c r="PBD44" s="1004"/>
      <c r="PBE44" s="1004"/>
      <c r="PBF44" s="1004"/>
      <c r="PBG44" s="1004"/>
      <c r="PBH44" s="1004"/>
      <c r="PBI44" s="1004"/>
      <c r="PBJ44" s="1004"/>
      <c r="PBK44" s="1004"/>
      <c r="PBL44" s="1004"/>
      <c r="PBM44" s="1004"/>
      <c r="PBN44" s="1004"/>
      <c r="PBO44" s="1004"/>
      <c r="PBP44" s="1004"/>
      <c r="PBQ44" s="1004"/>
      <c r="PBR44" s="1004"/>
      <c r="PBS44" s="1004"/>
      <c r="PBT44" s="1004"/>
      <c r="PBU44" s="1004"/>
      <c r="PBV44" s="1004"/>
      <c r="PBW44" s="1004"/>
      <c r="PBX44" s="1004"/>
      <c r="PBY44" s="1004"/>
      <c r="PBZ44" s="1004"/>
      <c r="PCA44" s="1004"/>
      <c r="PCB44" s="1004"/>
      <c r="PCC44" s="1004"/>
      <c r="PCD44" s="1004"/>
      <c r="PCE44" s="1004"/>
      <c r="PCF44" s="1004"/>
      <c r="PCG44" s="1004"/>
      <c r="PCH44" s="1004"/>
      <c r="PCI44" s="1004"/>
      <c r="PCJ44" s="1004"/>
      <c r="PCK44" s="1004"/>
      <c r="PCL44" s="1004"/>
      <c r="PCM44" s="1004"/>
      <c r="PCN44" s="1004"/>
      <c r="PCO44" s="1004"/>
      <c r="PCP44" s="1004"/>
      <c r="PCQ44" s="1004"/>
      <c r="PCR44" s="1004"/>
      <c r="PCS44" s="1004"/>
      <c r="PCT44" s="1004"/>
      <c r="PCU44" s="1004"/>
      <c r="PCV44" s="1004"/>
      <c r="PCW44" s="1004"/>
      <c r="PCX44" s="1004"/>
      <c r="PCY44" s="1004"/>
      <c r="PCZ44" s="1004"/>
      <c r="PDA44" s="1004"/>
      <c r="PDB44" s="1004"/>
      <c r="PDC44" s="1004"/>
      <c r="PDD44" s="1004"/>
      <c r="PDE44" s="1004"/>
      <c r="PDF44" s="1004"/>
      <c r="PDG44" s="1004"/>
      <c r="PDH44" s="1004"/>
      <c r="PDI44" s="1004"/>
      <c r="PDJ44" s="1004"/>
      <c r="PDK44" s="1004"/>
      <c r="PDL44" s="1004"/>
      <c r="PDM44" s="1004"/>
      <c r="PDN44" s="1004"/>
      <c r="PDO44" s="1004"/>
      <c r="PDP44" s="1004"/>
      <c r="PDQ44" s="1004"/>
      <c r="PDR44" s="1004"/>
      <c r="PDS44" s="1004"/>
      <c r="PDT44" s="1004"/>
      <c r="PDU44" s="1004"/>
      <c r="PDV44" s="1004"/>
      <c r="PDW44" s="1004"/>
      <c r="PDX44" s="1004"/>
      <c r="PDY44" s="1004"/>
      <c r="PDZ44" s="1004"/>
      <c r="PEA44" s="1004"/>
      <c r="PEB44" s="1004"/>
      <c r="PEC44" s="1004"/>
      <c r="PED44" s="1004"/>
      <c r="PEE44" s="1004"/>
      <c r="PEF44" s="1004"/>
      <c r="PEG44" s="1004"/>
      <c r="PEH44" s="1004"/>
      <c r="PEI44" s="1004"/>
      <c r="PEJ44" s="1004"/>
      <c r="PEK44" s="1004"/>
      <c r="PEL44" s="1004"/>
      <c r="PEM44" s="1004"/>
      <c r="PEN44" s="1004"/>
      <c r="PEO44" s="1004"/>
      <c r="PEP44" s="1004"/>
      <c r="PEQ44" s="1004"/>
      <c r="PER44" s="1004"/>
      <c r="PES44" s="1004"/>
      <c r="PET44" s="1004"/>
      <c r="PEU44" s="1004"/>
      <c r="PEV44" s="1004"/>
      <c r="PEW44" s="1004"/>
      <c r="PEX44" s="1004"/>
      <c r="PEY44" s="1004"/>
      <c r="PEZ44" s="1004"/>
      <c r="PFA44" s="1004"/>
      <c r="PFB44" s="1004"/>
      <c r="PFC44" s="1004"/>
      <c r="PFD44" s="1004"/>
      <c r="PFE44" s="1004"/>
      <c r="PFF44" s="1004"/>
      <c r="PFG44" s="1004"/>
      <c r="PFH44" s="1004"/>
      <c r="PFI44" s="1004"/>
      <c r="PFJ44" s="1004"/>
      <c r="PFK44" s="1004"/>
      <c r="PFL44" s="1004"/>
      <c r="PFM44" s="1004"/>
      <c r="PFN44" s="1004"/>
      <c r="PFO44" s="1004"/>
      <c r="PFP44" s="1004"/>
      <c r="PFQ44" s="1004"/>
      <c r="PFR44" s="1004"/>
      <c r="PFS44" s="1004"/>
      <c r="PFT44" s="1004"/>
      <c r="PFU44" s="1004"/>
      <c r="PFV44" s="1004"/>
      <c r="PFW44" s="1004"/>
      <c r="PFX44" s="1004"/>
      <c r="PFY44" s="1004"/>
      <c r="PFZ44" s="1004"/>
      <c r="PGA44" s="1004"/>
      <c r="PGB44" s="1004"/>
      <c r="PGC44" s="1004"/>
      <c r="PGD44" s="1004"/>
      <c r="PGE44" s="1004"/>
      <c r="PGF44" s="1004"/>
      <c r="PGG44" s="1004"/>
      <c r="PGH44" s="1004"/>
      <c r="PGI44" s="1004"/>
      <c r="PGJ44" s="1004"/>
      <c r="PGK44" s="1004"/>
      <c r="PGL44" s="1004"/>
      <c r="PGM44" s="1004"/>
      <c r="PGN44" s="1004"/>
      <c r="PGO44" s="1004"/>
      <c r="PGP44" s="1004"/>
      <c r="PGQ44" s="1004"/>
      <c r="PGR44" s="1004"/>
      <c r="PGS44" s="1004"/>
      <c r="PGT44" s="1004"/>
      <c r="PGU44" s="1004"/>
      <c r="PGV44" s="1004"/>
      <c r="PGW44" s="1004"/>
      <c r="PGX44" s="1004"/>
      <c r="PGY44" s="1004"/>
      <c r="PGZ44" s="1004"/>
      <c r="PHA44" s="1004"/>
      <c r="PHB44" s="1004"/>
      <c r="PHC44" s="1004"/>
      <c r="PHD44" s="1004"/>
      <c r="PHE44" s="1004"/>
      <c r="PHF44" s="1004"/>
      <c r="PHG44" s="1004"/>
      <c r="PHH44" s="1004"/>
      <c r="PHI44" s="1004"/>
      <c r="PHJ44" s="1004"/>
      <c r="PHK44" s="1004"/>
      <c r="PHL44" s="1004"/>
      <c r="PHM44" s="1004"/>
      <c r="PHN44" s="1004"/>
      <c r="PHO44" s="1004"/>
      <c r="PHP44" s="1004"/>
      <c r="PHQ44" s="1004"/>
      <c r="PHR44" s="1004"/>
      <c r="PHS44" s="1004"/>
      <c r="PHT44" s="1004"/>
      <c r="PHU44" s="1004"/>
      <c r="PHV44" s="1004"/>
      <c r="PHW44" s="1004"/>
      <c r="PHX44" s="1004"/>
      <c r="PHY44" s="1004"/>
      <c r="PHZ44" s="1004"/>
      <c r="PIA44" s="1004"/>
      <c r="PIB44" s="1004"/>
      <c r="PIC44" s="1004"/>
      <c r="PID44" s="1004"/>
      <c r="PIE44" s="1004"/>
      <c r="PIF44" s="1004"/>
      <c r="PIG44" s="1004"/>
      <c r="PIH44" s="1004"/>
      <c r="PII44" s="1004"/>
      <c r="PIJ44" s="1004"/>
      <c r="PIK44" s="1004"/>
      <c r="PIL44" s="1004"/>
      <c r="PIM44" s="1004"/>
      <c r="PIN44" s="1004"/>
      <c r="PIO44" s="1004"/>
      <c r="PIP44" s="1004"/>
      <c r="PIQ44" s="1004"/>
      <c r="PIR44" s="1004"/>
      <c r="PIS44" s="1004"/>
      <c r="PIT44" s="1004"/>
      <c r="PIU44" s="1004"/>
      <c r="PIV44" s="1004"/>
      <c r="PIW44" s="1004"/>
      <c r="PIX44" s="1004"/>
      <c r="PIY44" s="1004"/>
      <c r="PIZ44" s="1004"/>
      <c r="PJA44" s="1004"/>
      <c r="PJB44" s="1004"/>
      <c r="PJC44" s="1004"/>
      <c r="PJD44" s="1004"/>
      <c r="PJE44" s="1004"/>
      <c r="PJF44" s="1004"/>
      <c r="PJG44" s="1004"/>
      <c r="PJH44" s="1004"/>
      <c r="PJI44" s="1004"/>
      <c r="PJJ44" s="1004"/>
      <c r="PJK44" s="1004"/>
      <c r="PJL44" s="1004"/>
      <c r="PJM44" s="1004"/>
      <c r="PJN44" s="1004"/>
      <c r="PJO44" s="1004"/>
      <c r="PJP44" s="1004"/>
      <c r="PJQ44" s="1004"/>
      <c r="PJR44" s="1004"/>
      <c r="PJS44" s="1004"/>
      <c r="PJT44" s="1004"/>
      <c r="PJU44" s="1004"/>
      <c r="PJV44" s="1004"/>
      <c r="PJW44" s="1004"/>
      <c r="PJX44" s="1004"/>
      <c r="PJY44" s="1004"/>
      <c r="PJZ44" s="1004"/>
      <c r="PKA44" s="1004"/>
      <c r="PKB44" s="1004"/>
      <c r="PKC44" s="1004"/>
      <c r="PKD44" s="1004"/>
      <c r="PKE44" s="1004"/>
      <c r="PKF44" s="1004"/>
      <c r="PKG44" s="1004"/>
      <c r="PKH44" s="1004"/>
      <c r="PKI44" s="1004"/>
      <c r="PKJ44" s="1004"/>
      <c r="PKK44" s="1004"/>
      <c r="PKL44" s="1004"/>
      <c r="PKM44" s="1004"/>
      <c r="PKN44" s="1004"/>
      <c r="PKO44" s="1004"/>
      <c r="PKP44" s="1004"/>
      <c r="PKQ44" s="1004"/>
      <c r="PKR44" s="1004"/>
      <c r="PKS44" s="1004"/>
      <c r="PKT44" s="1004"/>
      <c r="PKU44" s="1004"/>
      <c r="PKV44" s="1004"/>
      <c r="PKW44" s="1004"/>
      <c r="PKX44" s="1004"/>
      <c r="PKY44" s="1004"/>
      <c r="PKZ44" s="1004"/>
      <c r="PLA44" s="1004"/>
      <c r="PLB44" s="1004"/>
      <c r="PLC44" s="1004"/>
      <c r="PLD44" s="1004"/>
      <c r="PLE44" s="1004"/>
      <c r="PLF44" s="1004"/>
      <c r="PLG44" s="1004"/>
      <c r="PLH44" s="1004"/>
      <c r="PLI44" s="1004"/>
      <c r="PLJ44" s="1004"/>
      <c r="PLK44" s="1004"/>
      <c r="PLL44" s="1004"/>
      <c r="PLM44" s="1004"/>
      <c r="PLN44" s="1004"/>
      <c r="PLO44" s="1004"/>
      <c r="PLP44" s="1004"/>
      <c r="PLQ44" s="1004"/>
      <c r="PLR44" s="1004"/>
      <c r="PLS44" s="1004"/>
      <c r="PLT44" s="1004"/>
      <c r="PLU44" s="1004"/>
      <c r="PLV44" s="1004"/>
      <c r="PLW44" s="1004"/>
      <c r="PLX44" s="1004"/>
      <c r="PLY44" s="1004"/>
      <c r="PLZ44" s="1004"/>
      <c r="PMA44" s="1004"/>
      <c r="PMB44" s="1004"/>
      <c r="PMC44" s="1004"/>
      <c r="PMD44" s="1004"/>
      <c r="PME44" s="1004"/>
      <c r="PMF44" s="1004"/>
      <c r="PMG44" s="1004"/>
      <c r="PMH44" s="1004"/>
      <c r="PMI44" s="1004"/>
      <c r="PMJ44" s="1004"/>
      <c r="PMK44" s="1004"/>
      <c r="PML44" s="1004"/>
      <c r="PMM44" s="1004"/>
      <c r="PMN44" s="1004"/>
      <c r="PMO44" s="1004"/>
      <c r="PMP44" s="1004"/>
      <c r="PMQ44" s="1004"/>
      <c r="PMR44" s="1004"/>
      <c r="PMS44" s="1004"/>
      <c r="PMT44" s="1004"/>
      <c r="PMU44" s="1004"/>
      <c r="PMV44" s="1004"/>
      <c r="PMW44" s="1004"/>
      <c r="PMX44" s="1004"/>
      <c r="PMY44" s="1004"/>
      <c r="PMZ44" s="1004"/>
      <c r="PNA44" s="1004"/>
      <c r="PNB44" s="1004"/>
      <c r="PNC44" s="1004"/>
      <c r="PND44" s="1004"/>
      <c r="PNE44" s="1004"/>
      <c r="PNF44" s="1004"/>
      <c r="PNG44" s="1004"/>
      <c r="PNH44" s="1004"/>
      <c r="PNI44" s="1004"/>
      <c r="PNJ44" s="1004"/>
      <c r="PNK44" s="1004"/>
      <c r="PNL44" s="1004"/>
      <c r="PNM44" s="1004"/>
      <c r="PNN44" s="1004"/>
      <c r="PNO44" s="1004"/>
      <c r="PNP44" s="1004"/>
      <c r="PNQ44" s="1004"/>
      <c r="PNR44" s="1004"/>
      <c r="PNS44" s="1004"/>
      <c r="PNT44" s="1004"/>
      <c r="PNU44" s="1004"/>
      <c r="PNV44" s="1004"/>
      <c r="PNW44" s="1004"/>
      <c r="PNX44" s="1004"/>
      <c r="PNY44" s="1004"/>
      <c r="PNZ44" s="1004"/>
      <c r="POA44" s="1004"/>
      <c r="POB44" s="1004"/>
      <c r="POC44" s="1004"/>
      <c r="POD44" s="1004"/>
      <c r="POE44" s="1004"/>
      <c r="POF44" s="1004"/>
      <c r="POG44" s="1004"/>
      <c r="POH44" s="1004"/>
      <c r="POI44" s="1004"/>
      <c r="POJ44" s="1004"/>
      <c r="POK44" s="1004"/>
      <c r="POL44" s="1004"/>
      <c r="POM44" s="1004"/>
      <c r="PON44" s="1004"/>
      <c r="POO44" s="1004"/>
      <c r="POP44" s="1004"/>
      <c r="POQ44" s="1004"/>
      <c r="POR44" s="1004"/>
      <c r="POS44" s="1004"/>
      <c r="POT44" s="1004"/>
      <c r="POU44" s="1004"/>
      <c r="POV44" s="1004"/>
      <c r="POW44" s="1004"/>
      <c r="POX44" s="1004"/>
      <c r="POY44" s="1004"/>
      <c r="POZ44" s="1004"/>
      <c r="PPA44" s="1004"/>
      <c r="PPB44" s="1004"/>
      <c r="PPC44" s="1004"/>
      <c r="PPD44" s="1004"/>
      <c r="PPE44" s="1004"/>
      <c r="PPF44" s="1004"/>
      <c r="PPG44" s="1004"/>
      <c r="PPH44" s="1004"/>
      <c r="PPI44" s="1004"/>
      <c r="PPJ44" s="1004"/>
      <c r="PPK44" s="1004"/>
      <c r="PPL44" s="1004"/>
      <c r="PPM44" s="1004"/>
      <c r="PPN44" s="1004"/>
      <c r="PPO44" s="1004"/>
      <c r="PPP44" s="1004"/>
      <c r="PPQ44" s="1004"/>
      <c r="PPR44" s="1004"/>
      <c r="PPS44" s="1004"/>
      <c r="PPT44" s="1004"/>
      <c r="PPU44" s="1004"/>
      <c r="PPV44" s="1004"/>
      <c r="PPW44" s="1004"/>
      <c r="PPX44" s="1004"/>
      <c r="PPY44" s="1004"/>
      <c r="PPZ44" s="1004"/>
      <c r="PQA44" s="1004"/>
      <c r="PQB44" s="1004"/>
      <c r="PQC44" s="1004"/>
      <c r="PQD44" s="1004"/>
      <c r="PQE44" s="1004"/>
      <c r="PQF44" s="1004"/>
      <c r="PQG44" s="1004"/>
      <c r="PQH44" s="1004"/>
      <c r="PQI44" s="1004"/>
      <c r="PQJ44" s="1004"/>
      <c r="PQK44" s="1004"/>
      <c r="PQL44" s="1004"/>
      <c r="PQM44" s="1004"/>
      <c r="PQN44" s="1004"/>
      <c r="PQO44" s="1004"/>
      <c r="PQP44" s="1004"/>
      <c r="PQQ44" s="1004"/>
      <c r="PQR44" s="1004"/>
      <c r="PQS44" s="1004"/>
      <c r="PQT44" s="1004"/>
      <c r="PQU44" s="1004"/>
      <c r="PQV44" s="1004"/>
      <c r="PQW44" s="1004"/>
      <c r="PQX44" s="1004"/>
      <c r="PQY44" s="1004"/>
      <c r="PQZ44" s="1004"/>
      <c r="PRA44" s="1004"/>
      <c r="PRB44" s="1004"/>
      <c r="PRC44" s="1004"/>
      <c r="PRD44" s="1004"/>
      <c r="PRE44" s="1004"/>
      <c r="PRF44" s="1004"/>
      <c r="PRG44" s="1004"/>
      <c r="PRH44" s="1004"/>
      <c r="PRI44" s="1004"/>
      <c r="PRJ44" s="1004"/>
      <c r="PRK44" s="1004"/>
      <c r="PRL44" s="1004"/>
      <c r="PRM44" s="1004"/>
      <c r="PRN44" s="1004"/>
      <c r="PRO44" s="1004"/>
      <c r="PRP44" s="1004"/>
      <c r="PRQ44" s="1004"/>
      <c r="PRR44" s="1004"/>
      <c r="PRS44" s="1004"/>
      <c r="PRT44" s="1004"/>
      <c r="PRU44" s="1004"/>
      <c r="PRV44" s="1004"/>
      <c r="PRW44" s="1004"/>
      <c r="PRX44" s="1004"/>
      <c r="PRY44" s="1004"/>
      <c r="PRZ44" s="1004"/>
      <c r="PSA44" s="1004"/>
      <c r="PSB44" s="1004"/>
      <c r="PSC44" s="1004"/>
      <c r="PSD44" s="1004"/>
      <c r="PSE44" s="1004"/>
      <c r="PSF44" s="1004"/>
      <c r="PSG44" s="1004"/>
      <c r="PSH44" s="1004"/>
      <c r="PSI44" s="1004"/>
      <c r="PSJ44" s="1004"/>
      <c r="PSK44" s="1004"/>
      <c r="PSL44" s="1004"/>
      <c r="PSM44" s="1004"/>
      <c r="PSN44" s="1004"/>
      <c r="PSO44" s="1004"/>
      <c r="PSP44" s="1004"/>
      <c r="PSQ44" s="1004"/>
      <c r="PSR44" s="1004"/>
      <c r="PSS44" s="1004"/>
      <c r="PST44" s="1004"/>
      <c r="PSU44" s="1004"/>
      <c r="PSV44" s="1004"/>
      <c r="PSW44" s="1004"/>
      <c r="PSX44" s="1004"/>
      <c r="PSY44" s="1004"/>
      <c r="PSZ44" s="1004"/>
      <c r="PTA44" s="1004"/>
      <c r="PTB44" s="1004"/>
      <c r="PTC44" s="1004"/>
      <c r="PTD44" s="1004"/>
      <c r="PTE44" s="1004"/>
      <c r="PTF44" s="1004"/>
      <c r="PTG44" s="1004"/>
      <c r="PTH44" s="1004"/>
      <c r="PTI44" s="1004"/>
      <c r="PTJ44" s="1004"/>
      <c r="PTK44" s="1004"/>
      <c r="PTL44" s="1004"/>
      <c r="PTM44" s="1004"/>
      <c r="PTN44" s="1004"/>
      <c r="PTO44" s="1004"/>
      <c r="PTP44" s="1004"/>
      <c r="PTQ44" s="1004"/>
      <c r="PTR44" s="1004"/>
      <c r="PTS44" s="1004"/>
      <c r="PTT44" s="1004"/>
      <c r="PTU44" s="1004"/>
      <c r="PTV44" s="1004"/>
      <c r="PTW44" s="1004"/>
      <c r="PTX44" s="1004"/>
      <c r="PTY44" s="1004"/>
      <c r="PTZ44" s="1004"/>
      <c r="PUA44" s="1004"/>
      <c r="PUB44" s="1004"/>
      <c r="PUC44" s="1004"/>
      <c r="PUD44" s="1004"/>
      <c r="PUE44" s="1004"/>
      <c r="PUF44" s="1004"/>
      <c r="PUG44" s="1004"/>
      <c r="PUH44" s="1004"/>
      <c r="PUI44" s="1004"/>
      <c r="PUJ44" s="1004"/>
      <c r="PUK44" s="1004"/>
      <c r="PUL44" s="1004"/>
      <c r="PUM44" s="1004"/>
      <c r="PUN44" s="1004"/>
      <c r="PUO44" s="1004"/>
      <c r="PUP44" s="1004"/>
      <c r="PUQ44" s="1004"/>
      <c r="PUR44" s="1004"/>
      <c r="PUS44" s="1004"/>
      <c r="PUT44" s="1004"/>
      <c r="PUU44" s="1004"/>
      <c r="PUV44" s="1004"/>
      <c r="PUW44" s="1004"/>
      <c r="PUX44" s="1004"/>
      <c r="PUY44" s="1004"/>
      <c r="PUZ44" s="1004"/>
      <c r="PVA44" s="1004"/>
      <c r="PVB44" s="1004"/>
      <c r="PVC44" s="1004"/>
      <c r="PVD44" s="1004"/>
      <c r="PVE44" s="1004"/>
      <c r="PVF44" s="1004"/>
      <c r="PVG44" s="1004"/>
      <c r="PVH44" s="1004"/>
      <c r="PVI44" s="1004"/>
      <c r="PVJ44" s="1004"/>
      <c r="PVK44" s="1004"/>
      <c r="PVL44" s="1004"/>
      <c r="PVM44" s="1004"/>
      <c r="PVN44" s="1004"/>
      <c r="PVO44" s="1004"/>
      <c r="PVP44" s="1004"/>
      <c r="PVQ44" s="1004"/>
      <c r="PVR44" s="1004"/>
      <c r="PVS44" s="1004"/>
      <c r="PVT44" s="1004"/>
      <c r="PVU44" s="1004"/>
      <c r="PVV44" s="1004"/>
      <c r="PVW44" s="1004"/>
      <c r="PVX44" s="1004"/>
      <c r="PVY44" s="1004"/>
      <c r="PVZ44" s="1004"/>
      <c r="PWA44" s="1004"/>
      <c r="PWB44" s="1004"/>
      <c r="PWC44" s="1004"/>
      <c r="PWD44" s="1004"/>
      <c r="PWE44" s="1004"/>
      <c r="PWF44" s="1004"/>
      <c r="PWG44" s="1004"/>
      <c r="PWH44" s="1004"/>
      <c r="PWI44" s="1004"/>
      <c r="PWJ44" s="1004"/>
      <c r="PWK44" s="1004"/>
      <c r="PWL44" s="1004"/>
      <c r="PWM44" s="1004"/>
      <c r="PWN44" s="1004"/>
      <c r="PWO44" s="1004"/>
      <c r="PWP44" s="1004"/>
      <c r="PWQ44" s="1004"/>
      <c r="PWR44" s="1004"/>
      <c r="PWS44" s="1004"/>
      <c r="PWT44" s="1004"/>
      <c r="PWU44" s="1004"/>
      <c r="PWV44" s="1004"/>
      <c r="PWW44" s="1004"/>
      <c r="PWX44" s="1004"/>
      <c r="PWY44" s="1004"/>
      <c r="PWZ44" s="1004"/>
      <c r="PXA44" s="1004"/>
      <c r="PXB44" s="1004"/>
      <c r="PXC44" s="1004"/>
      <c r="PXD44" s="1004"/>
      <c r="PXE44" s="1004"/>
      <c r="PXF44" s="1004"/>
      <c r="PXG44" s="1004"/>
      <c r="PXH44" s="1004"/>
      <c r="PXI44" s="1004"/>
      <c r="PXJ44" s="1004"/>
      <c r="PXK44" s="1004"/>
      <c r="PXL44" s="1004"/>
      <c r="PXM44" s="1004"/>
      <c r="PXN44" s="1004"/>
      <c r="PXO44" s="1004"/>
      <c r="PXP44" s="1004"/>
      <c r="PXQ44" s="1004"/>
      <c r="PXR44" s="1004"/>
      <c r="PXS44" s="1004"/>
      <c r="PXT44" s="1004"/>
      <c r="PXU44" s="1004"/>
      <c r="PXV44" s="1004"/>
      <c r="PXW44" s="1004"/>
      <c r="PXX44" s="1004"/>
      <c r="PXY44" s="1004"/>
      <c r="PXZ44" s="1004"/>
      <c r="PYA44" s="1004"/>
      <c r="PYB44" s="1004"/>
      <c r="PYC44" s="1004"/>
      <c r="PYD44" s="1004"/>
      <c r="PYE44" s="1004"/>
      <c r="PYF44" s="1004"/>
      <c r="PYG44" s="1004"/>
      <c r="PYH44" s="1004"/>
      <c r="PYI44" s="1004"/>
      <c r="PYJ44" s="1004"/>
      <c r="PYK44" s="1004"/>
      <c r="PYL44" s="1004"/>
      <c r="PYM44" s="1004"/>
      <c r="PYN44" s="1004"/>
      <c r="PYO44" s="1004"/>
      <c r="PYP44" s="1004"/>
      <c r="PYQ44" s="1004"/>
      <c r="PYR44" s="1004"/>
      <c r="PYS44" s="1004"/>
      <c r="PYT44" s="1004"/>
      <c r="PYU44" s="1004"/>
      <c r="PYV44" s="1004"/>
      <c r="PYW44" s="1004"/>
      <c r="PYX44" s="1004"/>
      <c r="PYY44" s="1004"/>
      <c r="PYZ44" s="1004"/>
      <c r="PZA44" s="1004"/>
      <c r="PZB44" s="1004"/>
      <c r="PZC44" s="1004"/>
      <c r="PZD44" s="1004"/>
      <c r="PZE44" s="1004"/>
      <c r="PZF44" s="1004"/>
      <c r="PZG44" s="1004"/>
      <c r="PZH44" s="1004"/>
      <c r="PZI44" s="1004"/>
      <c r="PZJ44" s="1004"/>
      <c r="PZK44" s="1004"/>
      <c r="PZL44" s="1004"/>
      <c r="PZM44" s="1004"/>
      <c r="PZN44" s="1004"/>
      <c r="PZO44" s="1004"/>
      <c r="PZP44" s="1004"/>
      <c r="PZQ44" s="1004"/>
      <c r="PZR44" s="1004"/>
      <c r="PZS44" s="1004"/>
      <c r="PZT44" s="1004"/>
      <c r="PZU44" s="1004"/>
      <c r="PZV44" s="1004"/>
      <c r="PZW44" s="1004"/>
      <c r="PZX44" s="1004"/>
      <c r="PZY44" s="1004"/>
      <c r="PZZ44" s="1004"/>
      <c r="QAA44" s="1004"/>
      <c r="QAB44" s="1004"/>
      <c r="QAC44" s="1004"/>
      <c r="QAD44" s="1004"/>
      <c r="QAE44" s="1004"/>
      <c r="QAF44" s="1004"/>
      <c r="QAG44" s="1004"/>
      <c r="QAH44" s="1004"/>
      <c r="QAI44" s="1004"/>
      <c r="QAJ44" s="1004"/>
      <c r="QAK44" s="1004"/>
      <c r="QAL44" s="1004"/>
      <c r="QAM44" s="1004"/>
      <c r="QAN44" s="1004"/>
      <c r="QAO44" s="1004"/>
      <c r="QAP44" s="1004"/>
      <c r="QAQ44" s="1004"/>
      <c r="QAR44" s="1004"/>
      <c r="QAS44" s="1004"/>
      <c r="QAT44" s="1004"/>
      <c r="QAU44" s="1004"/>
      <c r="QAV44" s="1004"/>
      <c r="QAW44" s="1004"/>
      <c r="QAX44" s="1004"/>
      <c r="QAY44" s="1004"/>
      <c r="QAZ44" s="1004"/>
      <c r="QBA44" s="1004"/>
      <c r="QBB44" s="1004"/>
      <c r="QBC44" s="1004"/>
      <c r="QBD44" s="1004"/>
      <c r="QBE44" s="1004"/>
      <c r="QBF44" s="1004"/>
      <c r="QBG44" s="1004"/>
      <c r="QBH44" s="1004"/>
      <c r="QBI44" s="1004"/>
      <c r="QBJ44" s="1004"/>
      <c r="QBK44" s="1004"/>
      <c r="QBL44" s="1004"/>
      <c r="QBM44" s="1004"/>
      <c r="QBN44" s="1004"/>
      <c r="QBO44" s="1004"/>
      <c r="QBP44" s="1004"/>
      <c r="QBQ44" s="1004"/>
      <c r="QBR44" s="1004"/>
      <c r="QBS44" s="1004"/>
      <c r="QBT44" s="1004"/>
      <c r="QBU44" s="1004"/>
      <c r="QBV44" s="1004"/>
      <c r="QBW44" s="1004"/>
      <c r="QBX44" s="1004"/>
      <c r="QBY44" s="1004"/>
      <c r="QBZ44" s="1004"/>
      <c r="QCA44" s="1004"/>
      <c r="QCB44" s="1004"/>
      <c r="QCC44" s="1004"/>
      <c r="QCD44" s="1004"/>
      <c r="QCE44" s="1004"/>
      <c r="QCF44" s="1004"/>
      <c r="QCG44" s="1004"/>
      <c r="QCH44" s="1004"/>
      <c r="QCI44" s="1004"/>
      <c r="QCJ44" s="1004"/>
      <c r="QCK44" s="1004"/>
      <c r="QCL44" s="1004"/>
      <c r="QCM44" s="1004"/>
      <c r="QCN44" s="1004"/>
      <c r="QCO44" s="1004"/>
      <c r="QCP44" s="1004"/>
      <c r="QCQ44" s="1004"/>
      <c r="QCR44" s="1004"/>
      <c r="QCS44" s="1004"/>
      <c r="QCT44" s="1004"/>
      <c r="QCU44" s="1004"/>
      <c r="QCV44" s="1004"/>
      <c r="QCW44" s="1004"/>
      <c r="QCX44" s="1004"/>
      <c r="QCY44" s="1004"/>
      <c r="QCZ44" s="1004"/>
      <c r="QDA44" s="1004"/>
      <c r="QDB44" s="1004"/>
      <c r="QDC44" s="1004"/>
      <c r="QDD44" s="1004"/>
      <c r="QDE44" s="1004"/>
      <c r="QDF44" s="1004"/>
      <c r="QDG44" s="1004"/>
      <c r="QDH44" s="1004"/>
      <c r="QDI44" s="1004"/>
      <c r="QDJ44" s="1004"/>
      <c r="QDK44" s="1004"/>
      <c r="QDL44" s="1004"/>
      <c r="QDM44" s="1004"/>
      <c r="QDN44" s="1004"/>
      <c r="QDO44" s="1004"/>
      <c r="QDP44" s="1004"/>
      <c r="QDQ44" s="1004"/>
      <c r="QDR44" s="1004"/>
      <c r="QDS44" s="1004"/>
      <c r="QDT44" s="1004"/>
      <c r="QDU44" s="1004"/>
      <c r="QDV44" s="1004"/>
      <c r="QDW44" s="1004"/>
      <c r="QDX44" s="1004"/>
      <c r="QDY44" s="1004"/>
      <c r="QDZ44" s="1004"/>
      <c r="QEA44" s="1004"/>
      <c r="QEB44" s="1004"/>
      <c r="QEC44" s="1004"/>
      <c r="QED44" s="1004"/>
      <c r="QEE44" s="1004"/>
      <c r="QEF44" s="1004"/>
      <c r="QEG44" s="1004"/>
      <c r="QEH44" s="1004"/>
      <c r="QEI44" s="1004"/>
      <c r="QEJ44" s="1004"/>
      <c r="QEK44" s="1004"/>
      <c r="QEL44" s="1004"/>
      <c r="QEM44" s="1004"/>
      <c r="QEN44" s="1004"/>
      <c r="QEO44" s="1004"/>
      <c r="QEP44" s="1004"/>
      <c r="QEQ44" s="1004"/>
      <c r="QER44" s="1004"/>
      <c r="QES44" s="1004"/>
      <c r="QET44" s="1004"/>
      <c r="QEU44" s="1004"/>
      <c r="QEV44" s="1004"/>
      <c r="QEW44" s="1004"/>
      <c r="QEX44" s="1004"/>
      <c r="QEY44" s="1004"/>
      <c r="QEZ44" s="1004"/>
      <c r="QFA44" s="1004"/>
      <c r="QFB44" s="1004"/>
      <c r="QFC44" s="1004"/>
      <c r="QFD44" s="1004"/>
      <c r="QFE44" s="1004"/>
      <c r="QFF44" s="1004"/>
      <c r="QFG44" s="1004"/>
      <c r="QFH44" s="1004"/>
      <c r="QFI44" s="1004"/>
      <c r="QFJ44" s="1004"/>
      <c r="QFK44" s="1004"/>
      <c r="QFL44" s="1004"/>
      <c r="QFM44" s="1004"/>
      <c r="QFN44" s="1004"/>
      <c r="QFO44" s="1004"/>
      <c r="QFP44" s="1004"/>
      <c r="QFQ44" s="1004"/>
      <c r="QFR44" s="1004"/>
      <c r="QFS44" s="1004"/>
      <c r="QFT44" s="1004"/>
      <c r="QFU44" s="1004"/>
      <c r="QFV44" s="1004"/>
      <c r="QFW44" s="1004"/>
      <c r="QFX44" s="1004"/>
      <c r="QFY44" s="1004"/>
      <c r="QFZ44" s="1004"/>
      <c r="QGA44" s="1004"/>
      <c r="QGB44" s="1004"/>
      <c r="QGC44" s="1004"/>
      <c r="QGD44" s="1004"/>
      <c r="QGE44" s="1004"/>
      <c r="QGF44" s="1004"/>
      <c r="QGG44" s="1004"/>
      <c r="QGH44" s="1004"/>
      <c r="QGI44" s="1004"/>
      <c r="QGJ44" s="1004"/>
      <c r="QGK44" s="1004"/>
      <c r="QGL44" s="1004"/>
      <c r="QGM44" s="1004"/>
      <c r="QGN44" s="1004"/>
      <c r="QGO44" s="1004"/>
      <c r="QGP44" s="1004"/>
      <c r="QGQ44" s="1004"/>
      <c r="QGR44" s="1004"/>
      <c r="QGS44" s="1004"/>
      <c r="QGT44" s="1004"/>
      <c r="QGU44" s="1004"/>
      <c r="QGV44" s="1004"/>
      <c r="QGW44" s="1004"/>
      <c r="QGX44" s="1004"/>
      <c r="QGY44" s="1004"/>
      <c r="QGZ44" s="1004"/>
      <c r="QHA44" s="1004"/>
      <c r="QHB44" s="1004"/>
      <c r="QHC44" s="1004"/>
      <c r="QHD44" s="1004"/>
      <c r="QHE44" s="1004"/>
      <c r="QHF44" s="1004"/>
      <c r="QHG44" s="1004"/>
      <c r="QHH44" s="1004"/>
      <c r="QHI44" s="1004"/>
      <c r="QHJ44" s="1004"/>
      <c r="QHK44" s="1004"/>
      <c r="QHL44" s="1004"/>
      <c r="QHM44" s="1004"/>
      <c r="QHN44" s="1004"/>
      <c r="QHO44" s="1004"/>
      <c r="QHP44" s="1004"/>
      <c r="QHQ44" s="1004"/>
      <c r="QHR44" s="1004"/>
      <c r="QHS44" s="1004"/>
      <c r="QHT44" s="1004"/>
      <c r="QHU44" s="1004"/>
      <c r="QHV44" s="1004"/>
      <c r="QHW44" s="1004"/>
      <c r="QHX44" s="1004"/>
      <c r="QHY44" s="1004"/>
      <c r="QHZ44" s="1004"/>
      <c r="QIA44" s="1004"/>
      <c r="QIB44" s="1004"/>
      <c r="QIC44" s="1004"/>
      <c r="QID44" s="1004"/>
      <c r="QIE44" s="1004"/>
      <c r="QIF44" s="1004"/>
      <c r="QIG44" s="1004"/>
      <c r="QIH44" s="1004"/>
      <c r="QII44" s="1004"/>
      <c r="QIJ44" s="1004"/>
      <c r="QIK44" s="1004"/>
      <c r="QIL44" s="1004"/>
      <c r="QIM44" s="1004"/>
      <c r="QIN44" s="1004"/>
      <c r="QIO44" s="1004"/>
      <c r="QIP44" s="1004"/>
      <c r="QIQ44" s="1004"/>
      <c r="QIR44" s="1004"/>
      <c r="QIS44" s="1004"/>
      <c r="QIT44" s="1004"/>
      <c r="QIU44" s="1004"/>
      <c r="QIV44" s="1004"/>
      <c r="QIW44" s="1004"/>
      <c r="QIX44" s="1004"/>
      <c r="QIY44" s="1004"/>
      <c r="QIZ44" s="1004"/>
      <c r="QJA44" s="1004"/>
      <c r="QJB44" s="1004"/>
      <c r="QJC44" s="1004"/>
      <c r="QJD44" s="1004"/>
      <c r="QJE44" s="1004"/>
      <c r="QJF44" s="1004"/>
      <c r="QJG44" s="1004"/>
      <c r="QJH44" s="1004"/>
      <c r="QJI44" s="1004"/>
      <c r="QJJ44" s="1004"/>
      <c r="QJK44" s="1004"/>
      <c r="QJL44" s="1004"/>
      <c r="QJM44" s="1004"/>
      <c r="QJN44" s="1004"/>
      <c r="QJO44" s="1004"/>
      <c r="QJP44" s="1004"/>
      <c r="QJQ44" s="1004"/>
      <c r="QJR44" s="1004"/>
      <c r="QJS44" s="1004"/>
      <c r="QJT44" s="1004"/>
      <c r="QJU44" s="1004"/>
      <c r="QJV44" s="1004"/>
      <c r="QJW44" s="1004"/>
      <c r="QJX44" s="1004"/>
      <c r="QJY44" s="1004"/>
      <c r="QJZ44" s="1004"/>
      <c r="QKA44" s="1004"/>
      <c r="QKB44" s="1004"/>
      <c r="QKC44" s="1004"/>
      <c r="QKD44" s="1004"/>
      <c r="QKE44" s="1004"/>
      <c r="QKF44" s="1004"/>
      <c r="QKG44" s="1004"/>
      <c r="QKH44" s="1004"/>
      <c r="QKI44" s="1004"/>
      <c r="QKJ44" s="1004"/>
      <c r="QKK44" s="1004"/>
      <c r="QKL44" s="1004"/>
      <c r="QKM44" s="1004"/>
      <c r="QKN44" s="1004"/>
      <c r="QKO44" s="1004"/>
      <c r="QKP44" s="1004"/>
      <c r="QKQ44" s="1004"/>
      <c r="QKR44" s="1004"/>
      <c r="QKS44" s="1004"/>
      <c r="QKT44" s="1004"/>
      <c r="QKU44" s="1004"/>
      <c r="QKV44" s="1004"/>
      <c r="QKW44" s="1004"/>
      <c r="QKX44" s="1004"/>
      <c r="QKY44" s="1004"/>
      <c r="QKZ44" s="1004"/>
      <c r="QLA44" s="1004"/>
      <c r="QLB44" s="1004"/>
      <c r="QLC44" s="1004"/>
      <c r="QLD44" s="1004"/>
      <c r="QLE44" s="1004"/>
      <c r="QLF44" s="1004"/>
      <c r="QLG44" s="1004"/>
      <c r="QLH44" s="1004"/>
      <c r="QLI44" s="1004"/>
      <c r="QLJ44" s="1004"/>
      <c r="QLK44" s="1004"/>
      <c r="QLL44" s="1004"/>
      <c r="QLM44" s="1004"/>
      <c r="QLN44" s="1004"/>
      <c r="QLO44" s="1004"/>
      <c r="QLP44" s="1004"/>
      <c r="QLQ44" s="1004"/>
      <c r="QLR44" s="1004"/>
      <c r="QLS44" s="1004"/>
      <c r="QLT44" s="1004"/>
      <c r="QLU44" s="1004"/>
      <c r="QLV44" s="1004"/>
      <c r="QLW44" s="1004"/>
      <c r="QLX44" s="1004"/>
      <c r="QLY44" s="1004"/>
      <c r="QLZ44" s="1004"/>
      <c r="QMA44" s="1004"/>
      <c r="QMB44" s="1004"/>
      <c r="QMC44" s="1004"/>
      <c r="QMD44" s="1004"/>
      <c r="QME44" s="1004"/>
      <c r="QMF44" s="1004"/>
      <c r="QMG44" s="1004"/>
      <c r="QMH44" s="1004"/>
      <c r="QMI44" s="1004"/>
      <c r="QMJ44" s="1004"/>
      <c r="QMK44" s="1004"/>
      <c r="QML44" s="1004"/>
      <c r="QMM44" s="1004"/>
      <c r="QMN44" s="1004"/>
      <c r="QMO44" s="1004"/>
      <c r="QMP44" s="1004"/>
      <c r="QMQ44" s="1004"/>
      <c r="QMR44" s="1004"/>
      <c r="QMS44" s="1004"/>
      <c r="QMT44" s="1004"/>
      <c r="QMU44" s="1004"/>
      <c r="QMV44" s="1004"/>
      <c r="QMW44" s="1004"/>
      <c r="QMX44" s="1004"/>
      <c r="QMY44" s="1004"/>
      <c r="QMZ44" s="1004"/>
      <c r="QNA44" s="1004"/>
      <c r="QNB44" s="1004"/>
      <c r="QNC44" s="1004"/>
      <c r="QND44" s="1004"/>
      <c r="QNE44" s="1004"/>
      <c r="QNF44" s="1004"/>
      <c r="QNG44" s="1004"/>
      <c r="QNH44" s="1004"/>
      <c r="QNI44" s="1004"/>
      <c r="QNJ44" s="1004"/>
      <c r="QNK44" s="1004"/>
      <c r="QNL44" s="1004"/>
      <c r="QNM44" s="1004"/>
      <c r="QNN44" s="1004"/>
      <c r="QNO44" s="1004"/>
      <c r="QNP44" s="1004"/>
      <c r="QNQ44" s="1004"/>
      <c r="QNR44" s="1004"/>
      <c r="QNS44" s="1004"/>
      <c r="QNT44" s="1004"/>
      <c r="QNU44" s="1004"/>
      <c r="QNV44" s="1004"/>
      <c r="QNW44" s="1004"/>
      <c r="QNX44" s="1004"/>
      <c r="QNY44" s="1004"/>
      <c r="QNZ44" s="1004"/>
      <c r="QOA44" s="1004"/>
      <c r="QOB44" s="1004"/>
      <c r="QOC44" s="1004"/>
      <c r="QOD44" s="1004"/>
      <c r="QOE44" s="1004"/>
      <c r="QOF44" s="1004"/>
      <c r="QOG44" s="1004"/>
      <c r="QOH44" s="1004"/>
      <c r="QOI44" s="1004"/>
      <c r="QOJ44" s="1004"/>
      <c r="QOK44" s="1004"/>
      <c r="QOL44" s="1004"/>
      <c r="QOM44" s="1004"/>
      <c r="QON44" s="1004"/>
      <c r="QOO44" s="1004"/>
      <c r="QOP44" s="1004"/>
      <c r="QOQ44" s="1004"/>
      <c r="QOR44" s="1004"/>
      <c r="QOS44" s="1004"/>
      <c r="QOT44" s="1004"/>
      <c r="QOU44" s="1004"/>
      <c r="QOV44" s="1004"/>
      <c r="QOW44" s="1004"/>
      <c r="QOX44" s="1004"/>
      <c r="QOY44" s="1004"/>
      <c r="QOZ44" s="1004"/>
      <c r="QPA44" s="1004"/>
      <c r="QPB44" s="1004"/>
      <c r="QPC44" s="1004"/>
      <c r="QPD44" s="1004"/>
      <c r="QPE44" s="1004"/>
      <c r="QPF44" s="1004"/>
      <c r="QPG44" s="1004"/>
      <c r="QPH44" s="1004"/>
      <c r="QPI44" s="1004"/>
      <c r="QPJ44" s="1004"/>
      <c r="QPK44" s="1004"/>
      <c r="QPL44" s="1004"/>
      <c r="QPM44" s="1004"/>
      <c r="QPN44" s="1004"/>
      <c r="QPO44" s="1004"/>
      <c r="QPP44" s="1004"/>
      <c r="QPQ44" s="1004"/>
      <c r="QPR44" s="1004"/>
      <c r="QPS44" s="1004"/>
      <c r="QPT44" s="1004"/>
      <c r="QPU44" s="1004"/>
      <c r="QPV44" s="1004"/>
      <c r="QPW44" s="1004"/>
      <c r="QPX44" s="1004"/>
      <c r="QPY44" s="1004"/>
      <c r="QPZ44" s="1004"/>
      <c r="QQA44" s="1004"/>
      <c r="QQB44" s="1004"/>
      <c r="QQC44" s="1004"/>
      <c r="QQD44" s="1004"/>
      <c r="QQE44" s="1004"/>
      <c r="QQF44" s="1004"/>
      <c r="QQG44" s="1004"/>
      <c r="QQH44" s="1004"/>
      <c r="QQI44" s="1004"/>
      <c r="QQJ44" s="1004"/>
      <c r="QQK44" s="1004"/>
      <c r="QQL44" s="1004"/>
      <c r="QQM44" s="1004"/>
      <c r="QQN44" s="1004"/>
      <c r="QQO44" s="1004"/>
      <c r="QQP44" s="1004"/>
      <c r="QQQ44" s="1004"/>
      <c r="QQR44" s="1004"/>
      <c r="QQS44" s="1004"/>
      <c r="QQT44" s="1004"/>
      <c r="QQU44" s="1004"/>
      <c r="QQV44" s="1004"/>
      <c r="QQW44" s="1004"/>
      <c r="QQX44" s="1004"/>
      <c r="QQY44" s="1004"/>
      <c r="QQZ44" s="1004"/>
      <c r="QRA44" s="1004"/>
      <c r="QRB44" s="1004"/>
      <c r="QRC44" s="1004"/>
      <c r="QRD44" s="1004"/>
      <c r="QRE44" s="1004"/>
      <c r="QRF44" s="1004"/>
      <c r="QRG44" s="1004"/>
      <c r="QRH44" s="1004"/>
      <c r="QRI44" s="1004"/>
      <c r="QRJ44" s="1004"/>
      <c r="QRK44" s="1004"/>
      <c r="QRL44" s="1004"/>
      <c r="QRM44" s="1004"/>
      <c r="QRN44" s="1004"/>
      <c r="QRO44" s="1004"/>
      <c r="QRP44" s="1004"/>
      <c r="QRQ44" s="1004"/>
      <c r="QRR44" s="1004"/>
      <c r="QRS44" s="1004"/>
      <c r="QRT44" s="1004"/>
      <c r="QRU44" s="1004"/>
      <c r="QRV44" s="1004"/>
      <c r="QRW44" s="1004"/>
      <c r="QRX44" s="1004"/>
      <c r="QRY44" s="1004"/>
      <c r="QRZ44" s="1004"/>
      <c r="QSA44" s="1004"/>
      <c r="QSB44" s="1004"/>
      <c r="QSC44" s="1004"/>
      <c r="QSD44" s="1004"/>
      <c r="QSE44" s="1004"/>
      <c r="QSF44" s="1004"/>
      <c r="QSG44" s="1004"/>
      <c r="QSH44" s="1004"/>
      <c r="QSI44" s="1004"/>
      <c r="QSJ44" s="1004"/>
      <c r="QSK44" s="1004"/>
      <c r="QSL44" s="1004"/>
      <c r="QSM44" s="1004"/>
      <c r="QSN44" s="1004"/>
      <c r="QSO44" s="1004"/>
      <c r="QSP44" s="1004"/>
      <c r="QSQ44" s="1004"/>
      <c r="QSR44" s="1004"/>
      <c r="QSS44" s="1004"/>
      <c r="QST44" s="1004"/>
      <c r="QSU44" s="1004"/>
      <c r="QSV44" s="1004"/>
      <c r="QSW44" s="1004"/>
      <c r="QSX44" s="1004"/>
      <c r="QSY44" s="1004"/>
      <c r="QSZ44" s="1004"/>
      <c r="QTA44" s="1004"/>
      <c r="QTB44" s="1004"/>
      <c r="QTC44" s="1004"/>
      <c r="QTD44" s="1004"/>
      <c r="QTE44" s="1004"/>
      <c r="QTF44" s="1004"/>
      <c r="QTG44" s="1004"/>
      <c r="QTH44" s="1004"/>
      <c r="QTI44" s="1004"/>
      <c r="QTJ44" s="1004"/>
      <c r="QTK44" s="1004"/>
      <c r="QTL44" s="1004"/>
      <c r="QTM44" s="1004"/>
      <c r="QTN44" s="1004"/>
      <c r="QTO44" s="1004"/>
      <c r="QTP44" s="1004"/>
      <c r="QTQ44" s="1004"/>
      <c r="QTR44" s="1004"/>
      <c r="QTS44" s="1004"/>
      <c r="QTT44" s="1004"/>
      <c r="QTU44" s="1004"/>
      <c r="QTV44" s="1004"/>
      <c r="QTW44" s="1004"/>
      <c r="QTX44" s="1004"/>
      <c r="QTY44" s="1004"/>
      <c r="QTZ44" s="1004"/>
      <c r="QUA44" s="1004"/>
      <c r="QUB44" s="1004"/>
      <c r="QUC44" s="1004"/>
      <c r="QUD44" s="1004"/>
      <c r="QUE44" s="1004"/>
      <c r="QUF44" s="1004"/>
      <c r="QUG44" s="1004"/>
      <c r="QUH44" s="1004"/>
      <c r="QUI44" s="1004"/>
      <c r="QUJ44" s="1004"/>
      <c r="QUK44" s="1004"/>
      <c r="QUL44" s="1004"/>
      <c r="QUM44" s="1004"/>
      <c r="QUN44" s="1004"/>
      <c r="QUO44" s="1004"/>
      <c r="QUP44" s="1004"/>
      <c r="QUQ44" s="1004"/>
      <c r="QUR44" s="1004"/>
      <c r="QUS44" s="1004"/>
      <c r="QUT44" s="1004"/>
      <c r="QUU44" s="1004"/>
      <c r="QUV44" s="1004"/>
      <c r="QUW44" s="1004"/>
      <c r="QUX44" s="1004"/>
      <c r="QUY44" s="1004"/>
      <c r="QUZ44" s="1004"/>
      <c r="QVA44" s="1004"/>
      <c r="QVB44" s="1004"/>
      <c r="QVC44" s="1004"/>
      <c r="QVD44" s="1004"/>
      <c r="QVE44" s="1004"/>
      <c r="QVF44" s="1004"/>
      <c r="QVG44" s="1004"/>
      <c r="QVH44" s="1004"/>
      <c r="QVI44" s="1004"/>
      <c r="QVJ44" s="1004"/>
      <c r="QVK44" s="1004"/>
      <c r="QVL44" s="1004"/>
      <c r="QVM44" s="1004"/>
      <c r="QVN44" s="1004"/>
      <c r="QVO44" s="1004"/>
      <c r="QVP44" s="1004"/>
      <c r="QVQ44" s="1004"/>
      <c r="QVR44" s="1004"/>
      <c r="QVS44" s="1004"/>
      <c r="QVT44" s="1004"/>
      <c r="QVU44" s="1004"/>
      <c r="QVV44" s="1004"/>
      <c r="QVW44" s="1004"/>
      <c r="QVX44" s="1004"/>
      <c r="QVY44" s="1004"/>
      <c r="QVZ44" s="1004"/>
      <c r="QWA44" s="1004"/>
      <c r="QWB44" s="1004"/>
      <c r="QWC44" s="1004"/>
      <c r="QWD44" s="1004"/>
      <c r="QWE44" s="1004"/>
      <c r="QWF44" s="1004"/>
      <c r="QWG44" s="1004"/>
      <c r="QWH44" s="1004"/>
      <c r="QWI44" s="1004"/>
      <c r="QWJ44" s="1004"/>
      <c r="QWK44" s="1004"/>
      <c r="QWL44" s="1004"/>
      <c r="QWM44" s="1004"/>
      <c r="QWN44" s="1004"/>
      <c r="QWO44" s="1004"/>
      <c r="QWP44" s="1004"/>
      <c r="QWQ44" s="1004"/>
      <c r="QWR44" s="1004"/>
      <c r="QWS44" s="1004"/>
      <c r="QWT44" s="1004"/>
      <c r="QWU44" s="1004"/>
      <c r="QWV44" s="1004"/>
      <c r="QWW44" s="1004"/>
      <c r="QWX44" s="1004"/>
      <c r="QWY44" s="1004"/>
      <c r="QWZ44" s="1004"/>
      <c r="QXA44" s="1004"/>
      <c r="QXB44" s="1004"/>
      <c r="QXC44" s="1004"/>
      <c r="QXD44" s="1004"/>
      <c r="QXE44" s="1004"/>
      <c r="QXF44" s="1004"/>
      <c r="QXG44" s="1004"/>
      <c r="QXH44" s="1004"/>
      <c r="QXI44" s="1004"/>
      <c r="QXJ44" s="1004"/>
      <c r="QXK44" s="1004"/>
      <c r="QXL44" s="1004"/>
      <c r="QXM44" s="1004"/>
      <c r="QXN44" s="1004"/>
      <c r="QXO44" s="1004"/>
      <c r="QXP44" s="1004"/>
      <c r="QXQ44" s="1004"/>
      <c r="QXR44" s="1004"/>
      <c r="QXS44" s="1004"/>
      <c r="QXT44" s="1004"/>
      <c r="QXU44" s="1004"/>
      <c r="QXV44" s="1004"/>
      <c r="QXW44" s="1004"/>
      <c r="QXX44" s="1004"/>
      <c r="QXY44" s="1004"/>
      <c r="QXZ44" s="1004"/>
      <c r="QYA44" s="1004"/>
      <c r="QYB44" s="1004"/>
      <c r="QYC44" s="1004"/>
      <c r="QYD44" s="1004"/>
      <c r="QYE44" s="1004"/>
      <c r="QYF44" s="1004"/>
      <c r="QYG44" s="1004"/>
      <c r="QYH44" s="1004"/>
      <c r="QYI44" s="1004"/>
      <c r="QYJ44" s="1004"/>
      <c r="QYK44" s="1004"/>
      <c r="QYL44" s="1004"/>
      <c r="QYM44" s="1004"/>
      <c r="QYN44" s="1004"/>
      <c r="QYO44" s="1004"/>
      <c r="QYP44" s="1004"/>
      <c r="QYQ44" s="1004"/>
      <c r="QYR44" s="1004"/>
      <c r="QYS44" s="1004"/>
      <c r="QYT44" s="1004"/>
      <c r="QYU44" s="1004"/>
      <c r="QYV44" s="1004"/>
      <c r="QYW44" s="1004"/>
      <c r="QYX44" s="1004"/>
      <c r="QYY44" s="1004"/>
      <c r="QYZ44" s="1004"/>
      <c r="QZA44" s="1004"/>
      <c r="QZB44" s="1004"/>
      <c r="QZC44" s="1004"/>
      <c r="QZD44" s="1004"/>
      <c r="QZE44" s="1004"/>
      <c r="QZF44" s="1004"/>
      <c r="QZG44" s="1004"/>
      <c r="QZH44" s="1004"/>
      <c r="QZI44" s="1004"/>
      <c r="QZJ44" s="1004"/>
      <c r="QZK44" s="1004"/>
      <c r="QZL44" s="1004"/>
      <c r="QZM44" s="1004"/>
      <c r="QZN44" s="1004"/>
      <c r="QZO44" s="1004"/>
      <c r="QZP44" s="1004"/>
      <c r="QZQ44" s="1004"/>
      <c r="QZR44" s="1004"/>
      <c r="QZS44" s="1004"/>
      <c r="QZT44" s="1004"/>
      <c r="QZU44" s="1004"/>
      <c r="QZV44" s="1004"/>
      <c r="QZW44" s="1004"/>
      <c r="QZX44" s="1004"/>
      <c r="QZY44" s="1004"/>
      <c r="QZZ44" s="1004"/>
      <c r="RAA44" s="1004"/>
      <c r="RAB44" s="1004"/>
      <c r="RAC44" s="1004"/>
      <c r="RAD44" s="1004"/>
      <c r="RAE44" s="1004"/>
      <c r="RAF44" s="1004"/>
      <c r="RAG44" s="1004"/>
      <c r="RAH44" s="1004"/>
      <c r="RAI44" s="1004"/>
      <c r="RAJ44" s="1004"/>
      <c r="RAK44" s="1004"/>
      <c r="RAL44" s="1004"/>
      <c r="RAM44" s="1004"/>
      <c r="RAN44" s="1004"/>
      <c r="RAO44" s="1004"/>
      <c r="RAP44" s="1004"/>
      <c r="RAQ44" s="1004"/>
      <c r="RAR44" s="1004"/>
      <c r="RAS44" s="1004"/>
      <c r="RAT44" s="1004"/>
      <c r="RAU44" s="1004"/>
      <c r="RAV44" s="1004"/>
      <c r="RAW44" s="1004"/>
      <c r="RAX44" s="1004"/>
      <c r="RAY44" s="1004"/>
      <c r="RAZ44" s="1004"/>
      <c r="RBA44" s="1004"/>
      <c r="RBB44" s="1004"/>
      <c r="RBC44" s="1004"/>
      <c r="RBD44" s="1004"/>
      <c r="RBE44" s="1004"/>
      <c r="RBF44" s="1004"/>
      <c r="RBG44" s="1004"/>
      <c r="RBH44" s="1004"/>
      <c r="RBI44" s="1004"/>
      <c r="RBJ44" s="1004"/>
      <c r="RBK44" s="1004"/>
      <c r="RBL44" s="1004"/>
      <c r="RBM44" s="1004"/>
      <c r="RBN44" s="1004"/>
      <c r="RBO44" s="1004"/>
      <c r="RBP44" s="1004"/>
      <c r="RBQ44" s="1004"/>
      <c r="RBR44" s="1004"/>
      <c r="RBS44" s="1004"/>
      <c r="RBT44" s="1004"/>
      <c r="RBU44" s="1004"/>
      <c r="RBV44" s="1004"/>
      <c r="RBW44" s="1004"/>
      <c r="RBX44" s="1004"/>
      <c r="RBY44" s="1004"/>
      <c r="RBZ44" s="1004"/>
      <c r="RCA44" s="1004"/>
      <c r="RCB44" s="1004"/>
      <c r="RCC44" s="1004"/>
      <c r="RCD44" s="1004"/>
      <c r="RCE44" s="1004"/>
      <c r="RCF44" s="1004"/>
      <c r="RCG44" s="1004"/>
      <c r="RCH44" s="1004"/>
      <c r="RCI44" s="1004"/>
      <c r="RCJ44" s="1004"/>
      <c r="RCK44" s="1004"/>
      <c r="RCL44" s="1004"/>
      <c r="RCM44" s="1004"/>
      <c r="RCN44" s="1004"/>
      <c r="RCO44" s="1004"/>
      <c r="RCP44" s="1004"/>
      <c r="RCQ44" s="1004"/>
      <c r="RCR44" s="1004"/>
      <c r="RCS44" s="1004"/>
      <c r="RCT44" s="1004"/>
      <c r="RCU44" s="1004"/>
      <c r="RCV44" s="1004"/>
      <c r="RCW44" s="1004"/>
      <c r="RCX44" s="1004"/>
      <c r="RCY44" s="1004"/>
      <c r="RCZ44" s="1004"/>
      <c r="RDA44" s="1004"/>
      <c r="RDB44" s="1004"/>
      <c r="RDC44" s="1004"/>
      <c r="RDD44" s="1004"/>
      <c r="RDE44" s="1004"/>
      <c r="RDF44" s="1004"/>
      <c r="RDG44" s="1004"/>
      <c r="RDH44" s="1004"/>
      <c r="RDI44" s="1004"/>
      <c r="RDJ44" s="1004"/>
      <c r="RDK44" s="1004"/>
      <c r="RDL44" s="1004"/>
      <c r="RDM44" s="1004"/>
      <c r="RDN44" s="1004"/>
      <c r="RDO44" s="1004"/>
      <c r="RDP44" s="1004"/>
      <c r="RDQ44" s="1004"/>
      <c r="RDR44" s="1004"/>
      <c r="RDS44" s="1004"/>
      <c r="RDT44" s="1004"/>
      <c r="RDU44" s="1004"/>
      <c r="RDV44" s="1004"/>
      <c r="RDW44" s="1004"/>
      <c r="RDX44" s="1004"/>
      <c r="RDY44" s="1004"/>
      <c r="RDZ44" s="1004"/>
      <c r="REA44" s="1004"/>
      <c r="REB44" s="1004"/>
      <c r="REC44" s="1004"/>
      <c r="RED44" s="1004"/>
      <c r="REE44" s="1004"/>
      <c r="REF44" s="1004"/>
      <c r="REG44" s="1004"/>
      <c r="REH44" s="1004"/>
      <c r="REI44" s="1004"/>
      <c r="REJ44" s="1004"/>
      <c r="REK44" s="1004"/>
      <c r="REL44" s="1004"/>
      <c r="REM44" s="1004"/>
      <c r="REN44" s="1004"/>
      <c r="REO44" s="1004"/>
      <c r="REP44" s="1004"/>
      <c r="REQ44" s="1004"/>
      <c r="RER44" s="1004"/>
      <c r="RES44" s="1004"/>
      <c r="RET44" s="1004"/>
      <c r="REU44" s="1004"/>
      <c r="REV44" s="1004"/>
      <c r="REW44" s="1004"/>
      <c r="REX44" s="1004"/>
      <c r="REY44" s="1004"/>
      <c r="REZ44" s="1004"/>
      <c r="RFA44" s="1004"/>
      <c r="RFB44" s="1004"/>
      <c r="RFC44" s="1004"/>
      <c r="RFD44" s="1004"/>
      <c r="RFE44" s="1004"/>
      <c r="RFF44" s="1004"/>
      <c r="RFG44" s="1004"/>
      <c r="RFH44" s="1004"/>
      <c r="RFI44" s="1004"/>
      <c r="RFJ44" s="1004"/>
      <c r="RFK44" s="1004"/>
      <c r="RFL44" s="1004"/>
      <c r="RFM44" s="1004"/>
      <c r="RFN44" s="1004"/>
      <c r="RFO44" s="1004"/>
      <c r="RFP44" s="1004"/>
      <c r="RFQ44" s="1004"/>
      <c r="RFR44" s="1004"/>
      <c r="RFS44" s="1004"/>
      <c r="RFT44" s="1004"/>
      <c r="RFU44" s="1004"/>
      <c r="RFV44" s="1004"/>
      <c r="RFW44" s="1004"/>
      <c r="RFX44" s="1004"/>
      <c r="RFY44" s="1004"/>
      <c r="RFZ44" s="1004"/>
      <c r="RGA44" s="1004"/>
      <c r="RGB44" s="1004"/>
      <c r="RGC44" s="1004"/>
      <c r="RGD44" s="1004"/>
      <c r="RGE44" s="1004"/>
      <c r="RGF44" s="1004"/>
      <c r="RGG44" s="1004"/>
      <c r="RGH44" s="1004"/>
      <c r="RGI44" s="1004"/>
      <c r="RGJ44" s="1004"/>
      <c r="RGK44" s="1004"/>
      <c r="RGL44" s="1004"/>
      <c r="RGM44" s="1004"/>
      <c r="RGN44" s="1004"/>
      <c r="RGO44" s="1004"/>
      <c r="RGP44" s="1004"/>
      <c r="RGQ44" s="1004"/>
      <c r="RGR44" s="1004"/>
      <c r="RGS44" s="1004"/>
      <c r="RGT44" s="1004"/>
      <c r="RGU44" s="1004"/>
      <c r="RGV44" s="1004"/>
      <c r="RGW44" s="1004"/>
      <c r="RGX44" s="1004"/>
      <c r="RGY44" s="1004"/>
      <c r="RGZ44" s="1004"/>
      <c r="RHA44" s="1004"/>
      <c r="RHB44" s="1004"/>
      <c r="RHC44" s="1004"/>
      <c r="RHD44" s="1004"/>
      <c r="RHE44" s="1004"/>
      <c r="RHF44" s="1004"/>
      <c r="RHG44" s="1004"/>
      <c r="RHH44" s="1004"/>
      <c r="RHI44" s="1004"/>
      <c r="RHJ44" s="1004"/>
      <c r="RHK44" s="1004"/>
      <c r="RHL44" s="1004"/>
      <c r="RHM44" s="1004"/>
      <c r="RHN44" s="1004"/>
      <c r="RHO44" s="1004"/>
      <c r="RHP44" s="1004"/>
      <c r="RHQ44" s="1004"/>
      <c r="RHR44" s="1004"/>
      <c r="RHS44" s="1004"/>
      <c r="RHT44" s="1004"/>
      <c r="RHU44" s="1004"/>
      <c r="RHV44" s="1004"/>
      <c r="RHW44" s="1004"/>
      <c r="RHX44" s="1004"/>
      <c r="RHY44" s="1004"/>
      <c r="RHZ44" s="1004"/>
      <c r="RIA44" s="1004"/>
      <c r="RIB44" s="1004"/>
      <c r="RIC44" s="1004"/>
      <c r="RID44" s="1004"/>
      <c r="RIE44" s="1004"/>
      <c r="RIF44" s="1004"/>
      <c r="RIG44" s="1004"/>
      <c r="RIH44" s="1004"/>
      <c r="RII44" s="1004"/>
      <c r="RIJ44" s="1004"/>
      <c r="RIK44" s="1004"/>
      <c r="RIL44" s="1004"/>
      <c r="RIM44" s="1004"/>
      <c r="RIN44" s="1004"/>
      <c r="RIO44" s="1004"/>
      <c r="RIP44" s="1004"/>
      <c r="RIQ44" s="1004"/>
      <c r="RIR44" s="1004"/>
      <c r="RIS44" s="1004"/>
      <c r="RIT44" s="1004"/>
      <c r="RIU44" s="1004"/>
      <c r="RIV44" s="1004"/>
      <c r="RIW44" s="1004"/>
      <c r="RIX44" s="1004"/>
      <c r="RIY44" s="1004"/>
      <c r="RIZ44" s="1004"/>
      <c r="RJA44" s="1004"/>
      <c r="RJB44" s="1004"/>
      <c r="RJC44" s="1004"/>
      <c r="RJD44" s="1004"/>
      <c r="RJE44" s="1004"/>
      <c r="RJF44" s="1004"/>
      <c r="RJG44" s="1004"/>
      <c r="RJH44" s="1004"/>
      <c r="RJI44" s="1004"/>
      <c r="RJJ44" s="1004"/>
      <c r="RJK44" s="1004"/>
      <c r="RJL44" s="1004"/>
      <c r="RJM44" s="1004"/>
      <c r="RJN44" s="1004"/>
      <c r="RJO44" s="1004"/>
      <c r="RJP44" s="1004"/>
      <c r="RJQ44" s="1004"/>
      <c r="RJR44" s="1004"/>
      <c r="RJS44" s="1004"/>
      <c r="RJT44" s="1004"/>
      <c r="RJU44" s="1004"/>
      <c r="RJV44" s="1004"/>
      <c r="RJW44" s="1004"/>
      <c r="RJX44" s="1004"/>
      <c r="RJY44" s="1004"/>
      <c r="RJZ44" s="1004"/>
      <c r="RKA44" s="1004"/>
      <c r="RKB44" s="1004"/>
      <c r="RKC44" s="1004"/>
      <c r="RKD44" s="1004"/>
      <c r="RKE44" s="1004"/>
      <c r="RKF44" s="1004"/>
      <c r="RKG44" s="1004"/>
      <c r="RKH44" s="1004"/>
      <c r="RKI44" s="1004"/>
      <c r="RKJ44" s="1004"/>
      <c r="RKK44" s="1004"/>
      <c r="RKL44" s="1004"/>
      <c r="RKM44" s="1004"/>
      <c r="RKN44" s="1004"/>
      <c r="RKO44" s="1004"/>
      <c r="RKP44" s="1004"/>
      <c r="RKQ44" s="1004"/>
      <c r="RKR44" s="1004"/>
      <c r="RKS44" s="1004"/>
      <c r="RKT44" s="1004"/>
      <c r="RKU44" s="1004"/>
      <c r="RKV44" s="1004"/>
      <c r="RKW44" s="1004"/>
      <c r="RKX44" s="1004"/>
      <c r="RKY44" s="1004"/>
      <c r="RKZ44" s="1004"/>
      <c r="RLA44" s="1004"/>
      <c r="RLB44" s="1004"/>
      <c r="RLC44" s="1004"/>
      <c r="RLD44" s="1004"/>
      <c r="RLE44" s="1004"/>
      <c r="RLF44" s="1004"/>
      <c r="RLG44" s="1004"/>
      <c r="RLH44" s="1004"/>
      <c r="RLI44" s="1004"/>
      <c r="RLJ44" s="1004"/>
      <c r="RLK44" s="1004"/>
      <c r="RLL44" s="1004"/>
      <c r="RLM44" s="1004"/>
      <c r="RLN44" s="1004"/>
      <c r="RLO44" s="1004"/>
      <c r="RLP44" s="1004"/>
      <c r="RLQ44" s="1004"/>
      <c r="RLR44" s="1004"/>
      <c r="RLS44" s="1004"/>
      <c r="RLT44" s="1004"/>
      <c r="RLU44" s="1004"/>
      <c r="RLV44" s="1004"/>
      <c r="RLW44" s="1004"/>
      <c r="RLX44" s="1004"/>
      <c r="RLY44" s="1004"/>
      <c r="RLZ44" s="1004"/>
      <c r="RMA44" s="1004"/>
      <c r="RMB44" s="1004"/>
      <c r="RMC44" s="1004"/>
      <c r="RMD44" s="1004"/>
      <c r="RME44" s="1004"/>
      <c r="RMF44" s="1004"/>
      <c r="RMG44" s="1004"/>
      <c r="RMH44" s="1004"/>
      <c r="RMI44" s="1004"/>
      <c r="RMJ44" s="1004"/>
      <c r="RMK44" s="1004"/>
      <c r="RML44" s="1004"/>
      <c r="RMM44" s="1004"/>
      <c r="RMN44" s="1004"/>
      <c r="RMO44" s="1004"/>
      <c r="RMP44" s="1004"/>
      <c r="RMQ44" s="1004"/>
      <c r="RMR44" s="1004"/>
      <c r="RMS44" s="1004"/>
      <c r="RMT44" s="1004"/>
      <c r="RMU44" s="1004"/>
      <c r="RMV44" s="1004"/>
      <c r="RMW44" s="1004"/>
      <c r="RMX44" s="1004"/>
      <c r="RMY44" s="1004"/>
      <c r="RMZ44" s="1004"/>
      <c r="RNA44" s="1004"/>
      <c r="RNB44" s="1004"/>
      <c r="RNC44" s="1004"/>
      <c r="RND44" s="1004"/>
      <c r="RNE44" s="1004"/>
      <c r="RNF44" s="1004"/>
      <c r="RNG44" s="1004"/>
      <c r="RNH44" s="1004"/>
      <c r="RNI44" s="1004"/>
      <c r="RNJ44" s="1004"/>
      <c r="RNK44" s="1004"/>
      <c r="RNL44" s="1004"/>
      <c r="RNM44" s="1004"/>
      <c r="RNN44" s="1004"/>
      <c r="RNO44" s="1004"/>
      <c r="RNP44" s="1004"/>
      <c r="RNQ44" s="1004"/>
      <c r="RNR44" s="1004"/>
      <c r="RNS44" s="1004"/>
      <c r="RNT44" s="1004"/>
      <c r="RNU44" s="1004"/>
      <c r="RNV44" s="1004"/>
      <c r="RNW44" s="1004"/>
      <c r="RNX44" s="1004"/>
      <c r="RNY44" s="1004"/>
      <c r="RNZ44" s="1004"/>
      <c r="ROA44" s="1004"/>
      <c r="ROB44" s="1004"/>
      <c r="ROC44" s="1004"/>
      <c r="ROD44" s="1004"/>
      <c r="ROE44" s="1004"/>
      <c r="ROF44" s="1004"/>
      <c r="ROG44" s="1004"/>
      <c r="ROH44" s="1004"/>
      <c r="ROI44" s="1004"/>
      <c r="ROJ44" s="1004"/>
      <c r="ROK44" s="1004"/>
      <c r="ROL44" s="1004"/>
      <c r="ROM44" s="1004"/>
      <c r="RON44" s="1004"/>
      <c r="ROO44" s="1004"/>
      <c r="ROP44" s="1004"/>
      <c r="ROQ44" s="1004"/>
      <c r="ROR44" s="1004"/>
      <c r="ROS44" s="1004"/>
      <c r="ROT44" s="1004"/>
      <c r="ROU44" s="1004"/>
      <c r="ROV44" s="1004"/>
      <c r="ROW44" s="1004"/>
      <c r="ROX44" s="1004"/>
      <c r="ROY44" s="1004"/>
      <c r="ROZ44" s="1004"/>
      <c r="RPA44" s="1004"/>
      <c r="RPB44" s="1004"/>
      <c r="RPC44" s="1004"/>
      <c r="RPD44" s="1004"/>
      <c r="RPE44" s="1004"/>
      <c r="RPF44" s="1004"/>
      <c r="RPG44" s="1004"/>
      <c r="RPH44" s="1004"/>
      <c r="RPI44" s="1004"/>
      <c r="RPJ44" s="1004"/>
      <c r="RPK44" s="1004"/>
      <c r="RPL44" s="1004"/>
      <c r="RPM44" s="1004"/>
      <c r="RPN44" s="1004"/>
      <c r="RPO44" s="1004"/>
      <c r="RPP44" s="1004"/>
      <c r="RPQ44" s="1004"/>
      <c r="RPR44" s="1004"/>
      <c r="RPS44" s="1004"/>
      <c r="RPT44" s="1004"/>
      <c r="RPU44" s="1004"/>
      <c r="RPV44" s="1004"/>
      <c r="RPW44" s="1004"/>
      <c r="RPX44" s="1004"/>
      <c r="RPY44" s="1004"/>
      <c r="RPZ44" s="1004"/>
      <c r="RQA44" s="1004"/>
      <c r="RQB44" s="1004"/>
      <c r="RQC44" s="1004"/>
      <c r="RQD44" s="1004"/>
      <c r="RQE44" s="1004"/>
      <c r="RQF44" s="1004"/>
      <c r="RQG44" s="1004"/>
      <c r="RQH44" s="1004"/>
      <c r="RQI44" s="1004"/>
      <c r="RQJ44" s="1004"/>
      <c r="RQK44" s="1004"/>
      <c r="RQL44" s="1004"/>
      <c r="RQM44" s="1004"/>
      <c r="RQN44" s="1004"/>
      <c r="RQO44" s="1004"/>
      <c r="RQP44" s="1004"/>
      <c r="RQQ44" s="1004"/>
      <c r="RQR44" s="1004"/>
      <c r="RQS44" s="1004"/>
      <c r="RQT44" s="1004"/>
      <c r="RQU44" s="1004"/>
      <c r="RQV44" s="1004"/>
      <c r="RQW44" s="1004"/>
      <c r="RQX44" s="1004"/>
      <c r="RQY44" s="1004"/>
      <c r="RQZ44" s="1004"/>
      <c r="RRA44" s="1004"/>
      <c r="RRB44" s="1004"/>
      <c r="RRC44" s="1004"/>
      <c r="RRD44" s="1004"/>
      <c r="RRE44" s="1004"/>
      <c r="RRF44" s="1004"/>
      <c r="RRG44" s="1004"/>
      <c r="RRH44" s="1004"/>
      <c r="RRI44" s="1004"/>
      <c r="RRJ44" s="1004"/>
      <c r="RRK44" s="1004"/>
      <c r="RRL44" s="1004"/>
      <c r="RRM44" s="1004"/>
      <c r="RRN44" s="1004"/>
      <c r="RRO44" s="1004"/>
      <c r="RRP44" s="1004"/>
      <c r="RRQ44" s="1004"/>
      <c r="RRR44" s="1004"/>
      <c r="RRS44" s="1004"/>
      <c r="RRT44" s="1004"/>
      <c r="RRU44" s="1004"/>
      <c r="RRV44" s="1004"/>
      <c r="RRW44" s="1004"/>
      <c r="RRX44" s="1004"/>
      <c r="RRY44" s="1004"/>
      <c r="RRZ44" s="1004"/>
      <c r="RSA44" s="1004"/>
      <c r="RSB44" s="1004"/>
      <c r="RSC44" s="1004"/>
      <c r="RSD44" s="1004"/>
      <c r="RSE44" s="1004"/>
      <c r="RSF44" s="1004"/>
      <c r="RSG44" s="1004"/>
      <c r="RSH44" s="1004"/>
      <c r="RSI44" s="1004"/>
      <c r="RSJ44" s="1004"/>
      <c r="RSK44" s="1004"/>
      <c r="RSL44" s="1004"/>
      <c r="RSM44" s="1004"/>
      <c r="RSN44" s="1004"/>
      <c r="RSO44" s="1004"/>
      <c r="RSP44" s="1004"/>
      <c r="RSQ44" s="1004"/>
      <c r="RSR44" s="1004"/>
      <c r="RSS44" s="1004"/>
      <c r="RST44" s="1004"/>
      <c r="RSU44" s="1004"/>
      <c r="RSV44" s="1004"/>
      <c r="RSW44" s="1004"/>
      <c r="RSX44" s="1004"/>
      <c r="RSY44" s="1004"/>
      <c r="RSZ44" s="1004"/>
      <c r="RTA44" s="1004"/>
      <c r="RTB44" s="1004"/>
      <c r="RTC44" s="1004"/>
      <c r="RTD44" s="1004"/>
      <c r="RTE44" s="1004"/>
      <c r="RTF44" s="1004"/>
      <c r="RTG44" s="1004"/>
      <c r="RTH44" s="1004"/>
      <c r="RTI44" s="1004"/>
      <c r="RTJ44" s="1004"/>
      <c r="RTK44" s="1004"/>
      <c r="RTL44" s="1004"/>
      <c r="RTM44" s="1004"/>
      <c r="RTN44" s="1004"/>
      <c r="RTO44" s="1004"/>
      <c r="RTP44" s="1004"/>
      <c r="RTQ44" s="1004"/>
      <c r="RTR44" s="1004"/>
      <c r="RTS44" s="1004"/>
      <c r="RTT44" s="1004"/>
      <c r="RTU44" s="1004"/>
      <c r="RTV44" s="1004"/>
      <c r="RTW44" s="1004"/>
      <c r="RTX44" s="1004"/>
      <c r="RTY44" s="1004"/>
      <c r="RTZ44" s="1004"/>
      <c r="RUA44" s="1004"/>
      <c r="RUB44" s="1004"/>
      <c r="RUC44" s="1004"/>
      <c r="RUD44" s="1004"/>
      <c r="RUE44" s="1004"/>
      <c r="RUF44" s="1004"/>
      <c r="RUG44" s="1004"/>
      <c r="RUH44" s="1004"/>
      <c r="RUI44" s="1004"/>
      <c r="RUJ44" s="1004"/>
      <c r="RUK44" s="1004"/>
      <c r="RUL44" s="1004"/>
      <c r="RUM44" s="1004"/>
      <c r="RUN44" s="1004"/>
      <c r="RUO44" s="1004"/>
      <c r="RUP44" s="1004"/>
      <c r="RUQ44" s="1004"/>
      <c r="RUR44" s="1004"/>
      <c r="RUS44" s="1004"/>
      <c r="RUT44" s="1004"/>
      <c r="RUU44" s="1004"/>
      <c r="RUV44" s="1004"/>
      <c r="RUW44" s="1004"/>
      <c r="RUX44" s="1004"/>
      <c r="RUY44" s="1004"/>
      <c r="RUZ44" s="1004"/>
      <c r="RVA44" s="1004"/>
      <c r="RVB44" s="1004"/>
      <c r="RVC44" s="1004"/>
      <c r="RVD44" s="1004"/>
      <c r="RVE44" s="1004"/>
      <c r="RVF44" s="1004"/>
      <c r="RVG44" s="1004"/>
      <c r="RVH44" s="1004"/>
      <c r="RVI44" s="1004"/>
      <c r="RVJ44" s="1004"/>
      <c r="RVK44" s="1004"/>
      <c r="RVL44" s="1004"/>
      <c r="RVM44" s="1004"/>
      <c r="RVN44" s="1004"/>
      <c r="RVO44" s="1004"/>
      <c r="RVP44" s="1004"/>
      <c r="RVQ44" s="1004"/>
      <c r="RVR44" s="1004"/>
      <c r="RVS44" s="1004"/>
      <c r="RVT44" s="1004"/>
      <c r="RVU44" s="1004"/>
      <c r="RVV44" s="1004"/>
      <c r="RVW44" s="1004"/>
      <c r="RVX44" s="1004"/>
      <c r="RVY44" s="1004"/>
      <c r="RVZ44" s="1004"/>
      <c r="RWA44" s="1004"/>
      <c r="RWB44" s="1004"/>
      <c r="RWC44" s="1004"/>
      <c r="RWD44" s="1004"/>
      <c r="RWE44" s="1004"/>
      <c r="RWF44" s="1004"/>
      <c r="RWG44" s="1004"/>
      <c r="RWH44" s="1004"/>
      <c r="RWI44" s="1004"/>
      <c r="RWJ44" s="1004"/>
      <c r="RWK44" s="1004"/>
      <c r="RWL44" s="1004"/>
      <c r="RWM44" s="1004"/>
      <c r="RWN44" s="1004"/>
      <c r="RWO44" s="1004"/>
      <c r="RWP44" s="1004"/>
      <c r="RWQ44" s="1004"/>
      <c r="RWR44" s="1004"/>
      <c r="RWS44" s="1004"/>
      <c r="RWT44" s="1004"/>
      <c r="RWU44" s="1004"/>
      <c r="RWV44" s="1004"/>
      <c r="RWW44" s="1004"/>
      <c r="RWX44" s="1004"/>
      <c r="RWY44" s="1004"/>
      <c r="RWZ44" s="1004"/>
      <c r="RXA44" s="1004"/>
      <c r="RXB44" s="1004"/>
      <c r="RXC44" s="1004"/>
      <c r="RXD44" s="1004"/>
      <c r="RXE44" s="1004"/>
      <c r="RXF44" s="1004"/>
      <c r="RXG44" s="1004"/>
      <c r="RXH44" s="1004"/>
      <c r="RXI44" s="1004"/>
      <c r="RXJ44" s="1004"/>
      <c r="RXK44" s="1004"/>
      <c r="RXL44" s="1004"/>
      <c r="RXM44" s="1004"/>
      <c r="RXN44" s="1004"/>
      <c r="RXO44" s="1004"/>
      <c r="RXP44" s="1004"/>
      <c r="RXQ44" s="1004"/>
      <c r="RXR44" s="1004"/>
      <c r="RXS44" s="1004"/>
      <c r="RXT44" s="1004"/>
      <c r="RXU44" s="1004"/>
      <c r="RXV44" s="1004"/>
      <c r="RXW44" s="1004"/>
      <c r="RXX44" s="1004"/>
      <c r="RXY44" s="1004"/>
      <c r="RXZ44" s="1004"/>
      <c r="RYA44" s="1004"/>
      <c r="RYB44" s="1004"/>
      <c r="RYC44" s="1004"/>
      <c r="RYD44" s="1004"/>
      <c r="RYE44" s="1004"/>
      <c r="RYF44" s="1004"/>
      <c r="RYG44" s="1004"/>
      <c r="RYH44" s="1004"/>
      <c r="RYI44" s="1004"/>
      <c r="RYJ44" s="1004"/>
      <c r="RYK44" s="1004"/>
      <c r="RYL44" s="1004"/>
      <c r="RYM44" s="1004"/>
      <c r="RYN44" s="1004"/>
      <c r="RYO44" s="1004"/>
      <c r="RYP44" s="1004"/>
      <c r="RYQ44" s="1004"/>
      <c r="RYR44" s="1004"/>
      <c r="RYS44" s="1004"/>
      <c r="RYT44" s="1004"/>
      <c r="RYU44" s="1004"/>
      <c r="RYV44" s="1004"/>
      <c r="RYW44" s="1004"/>
      <c r="RYX44" s="1004"/>
      <c r="RYY44" s="1004"/>
      <c r="RYZ44" s="1004"/>
      <c r="RZA44" s="1004"/>
      <c r="RZB44" s="1004"/>
      <c r="RZC44" s="1004"/>
      <c r="RZD44" s="1004"/>
      <c r="RZE44" s="1004"/>
      <c r="RZF44" s="1004"/>
      <c r="RZG44" s="1004"/>
      <c r="RZH44" s="1004"/>
      <c r="RZI44" s="1004"/>
      <c r="RZJ44" s="1004"/>
      <c r="RZK44" s="1004"/>
      <c r="RZL44" s="1004"/>
      <c r="RZM44" s="1004"/>
      <c r="RZN44" s="1004"/>
      <c r="RZO44" s="1004"/>
      <c r="RZP44" s="1004"/>
      <c r="RZQ44" s="1004"/>
      <c r="RZR44" s="1004"/>
      <c r="RZS44" s="1004"/>
      <c r="RZT44" s="1004"/>
      <c r="RZU44" s="1004"/>
      <c r="RZV44" s="1004"/>
      <c r="RZW44" s="1004"/>
      <c r="RZX44" s="1004"/>
      <c r="RZY44" s="1004"/>
      <c r="RZZ44" s="1004"/>
      <c r="SAA44" s="1004"/>
      <c r="SAB44" s="1004"/>
      <c r="SAC44" s="1004"/>
      <c r="SAD44" s="1004"/>
      <c r="SAE44" s="1004"/>
      <c r="SAF44" s="1004"/>
      <c r="SAG44" s="1004"/>
      <c r="SAH44" s="1004"/>
      <c r="SAI44" s="1004"/>
      <c r="SAJ44" s="1004"/>
      <c r="SAK44" s="1004"/>
      <c r="SAL44" s="1004"/>
      <c r="SAM44" s="1004"/>
      <c r="SAN44" s="1004"/>
      <c r="SAO44" s="1004"/>
      <c r="SAP44" s="1004"/>
      <c r="SAQ44" s="1004"/>
      <c r="SAR44" s="1004"/>
      <c r="SAS44" s="1004"/>
      <c r="SAT44" s="1004"/>
      <c r="SAU44" s="1004"/>
      <c r="SAV44" s="1004"/>
      <c r="SAW44" s="1004"/>
      <c r="SAX44" s="1004"/>
      <c r="SAY44" s="1004"/>
      <c r="SAZ44" s="1004"/>
      <c r="SBA44" s="1004"/>
      <c r="SBB44" s="1004"/>
      <c r="SBC44" s="1004"/>
      <c r="SBD44" s="1004"/>
      <c r="SBE44" s="1004"/>
      <c r="SBF44" s="1004"/>
      <c r="SBG44" s="1004"/>
      <c r="SBH44" s="1004"/>
      <c r="SBI44" s="1004"/>
      <c r="SBJ44" s="1004"/>
      <c r="SBK44" s="1004"/>
      <c r="SBL44" s="1004"/>
      <c r="SBM44" s="1004"/>
      <c r="SBN44" s="1004"/>
      <c r="SBO44" s="1004"/>
      <c r="SBP44" s="1004"/>
      <c r="SBQ44" s="1004"/>
      <c r="SBR44" s="1004"/>
      <c r="SBS44" s="1004"/>
      <c r="SBT44" s="1004"/>
      <c r="SBU44" s="1004"/>
      <c r="SBV44" s="1004"/>
      <c r="SBW44" s="1004"/>
      <c r="SBX44" s="1004"/>
      <c r="SBY44" s="1004"/>
      <c r="SBZ44" s="1004"/>
      <c r="SCA44" s="1004"/>
      <c r="SCB44" s="1004"/>
      <c r="SCC44" s="1004"/>
      <c r="SCD44" s="1004"/>
      <c r="SCE44" s="1004"/>
      <c r="SCF44" s="1004"/>
      <c r="SCG44" s="1004"/>
      <c r="SCH44" s="1004"/>
      <c r="SCI44" s="1004"/>
      <c r="SCJ44" s="1004"/>
      <c r="SCK44" s="1004"/>
      <c r="SCL44" s="1004"/>
      <c r="SCM44" s="1004"/>
      <c r="SCN44" s="1004"/>
      <c r="SCO44" s="1004"/>
      <c r="SCP44" s="1004"/>
      <c r="SCQ44" s="1004"/>
      <c r="SCR44" s="1004"/>
      <c r="SCS44" s="1004"/>
      <c r="SCT44" s="1004"/>
      <c r="SCU44" s="1004"/>
      <c r="SCV44" s="1004"/>
      <c r="SCW44" s="1004"/>
      <c r="SCX44" s="1004"/>
      <c r="SCY44" s="1004"/>
      <c r="SCZ44" s="1004"/>
      <c r="SDA44" s="1004"/>
      <c r="SDB44" s="1004"/>
      <c r="SDC44" s="1004"/>
      <c r="SDD44" s="1004"/>
      <c r="SDE44" s="1004"/>
      <c r="SDF44" s="1004"/>
      <c r="SDG44" s="1004"/>
      <c r="SDH44" s="1004"/>
      <c r="SDI44" s="1004"/>
      <c r="SDJ44" s="1004"/>
      <c r="SDK44" s="1004"/>
      <c r="SDL44" s="1004"/>
      <c r="SDM44" s="1004"/>
      <c r="SDN44" s="1004"/>
      <c r="SDO44" s="1004"/>
      <c r="SDP44" s="1004"/>
      <c r="SDQ44" s="1004"/>
      <c r="SDR44" s="1004"/>
      <c r="SDS44" s="1004"/>
      <c r="SDT44" s="1004"/>
      <c r="SDU44" s="1004"/>
      <c r="SDV44" s="1004"/>
      <c r="SDW44" s="1004"/>
      <c r="SDX44" s="1004"/>
      <c r="SDY44" s="1004"/>
      <c r="SDZ44" s="1004"/>
      <c r="SEA44" s="1004"/>
      <c r="SEB44" s="1004"/>
      <c r="SEC44" s="1004"/>
      <c r="SED44" s="1004"/>
      <c r="SEE44" s="1004"/>
      <c r="SEF44" s="1004"/>
      <c r="SEG44" s="1004"/>
      <c r="SEH44" s="1004"/>
      <c r="SEI44" s="1004"/>
      <c r="SEJ44" s="1004"/>
      <c r="SEK44" s="1004"/>
      <c r="SEL44" s="1004"/>
      <c r="SEM44" s="1004"/>
      <c r="SEN44" s="1004"/>
      <c r="SEO44" s="1004"/>
      <c r="SEP44" s="1004"/>
      <c r="SEQ44" s="1004"/>
      <c r="SER44" s="1004"/>
      <c r="SES44" s="1004"/>
      <c r="SET44" s="1004"/>
      <c r="SEU44" s="1004"/>
      <c r="SEV44" s="1004"/>
      <c r="SEW44" s="1004"/>
      <c r="SEX44" s="1004"/>
      <c r="SEY44" s="1004"/>
      <c r="SEZ44" s="1004"/>
      <c r="SFA44" s="1004"/>
      <c r="SFB44" s="1004"/>
      <c r="SFC44" s="1004"/>
      <c r="SFD44" s="1004"/>
      <c r="SFE44" s="1004"/>
      <c r="SFF44" s="1004"/>
      <c r="SFG44" s="1004"/>
      <c r="SFH44" s="1004"/>
      <c r="SFI44" s="1004"/>
      <c r="SFJ44" s="1004"/>
      <c r="SFK44" s="1004"/>
      <c r="SFL44" s="1004"/>
      <c r="SFM44" s="1004"/>
      <c r="SFN44" s="1004"/>
      <c r="SFO44" s="1004"/>
      <c r="SFP44" s="1004"/>
      <c r="SFQ44" s="1004"/>
      <c r="SFR44" s="1004"/>
      <c r="SFS44" s="1004"/>
      <c r="SFT44" s="1004"/>
      <c r="SFU44" s="1004"/>
      <c r="SFV44" s="1004"/>
      <c r="SFW44" s="1004"/>
      <c r="SFX44" s="1004"/>
      <c r="SFY44" s="1004"/>
      <c r="SFZ44" s="1004"/>
      <c r="SGA44" s="1004"/>
      <c r="SGB44" s="1004"/>
      <c r="SGC44" s="1004"/>
      <c r="SGD44" s="1004"/>
      <c r="SGE44" s="1004"/>
      <c r="SGF44" s="1004"/>
      <c r="SGG44" s="1004"/>
      <c r="SGH44" s="1004"/>
      <c r="SGI44" s="1004"/>
      <c r="SGJ44" s="1004"/>
      <c r="SGK44" s="1004"/>
      <c r="SGL44" s="1004"/>
      <c r="SGM44" s="1004"/>
      <c r="SGN44" s="1004"/>
      <c r="SGO44" s="1004"/>
      <c r="SGP44" s="1004"/>
      <c r="SGQ44" s="1004"/>
      <c r="SGR44" s="1004"/>
      <c r="SGS44" s="1004"/>
      <c r="SGT44" s="1004"/>
      <c r="SGU44" s="1004"/>
      <c r="SGV44" s="1004"/>
      <c r="SGW44" s="1004"/>
      <c r="SGX44" s="1004"/>
      <c r="SGY44" s="1004"/>
      <c r="SGZ44" s="1004"/>
      <c r="SHA44" s="1004"/>
      <c r="SHB44" s="1004"/>
      <c r="SHC44" s="1004"/>
      <c r="SHD44" s="1004"/>
      <c r="SHE44" s="1004"/>
      <c r="SHF44" s="1004"/>
      <c r="SHG44" s="1004"/>
      <c r="SHH44" s="1004"/>
      <c r="SHI44" s="1004"/>
      <c r="SHJ44" s="1004"/>
      <c r="SHK44" s="1004"/>
      <c r="SHL44" s="1004"/>
      <c r="SHM44" s="1004"/>
      <c r="SHN44" s="1004"/>
      <c r="SHO44" s="1004"/>
      <c r="SHP44" s="1004"/>
      <c r="SHQ44" s="1004"/>
      <c r="SHR44" s="1004"/>
      <c r="SHS44" s="1004"/>
      <c r="SHT44" s="1004"/>
      <c r="SHU44" s="1004"/>
      <c r="SHV44" s="1004"/>
      <c r="SHW44" s="1004"/>
      <c r="SHX44" s="1004"/>
      <c r="SHY44" s="1004"/>
      <c r="SHZ44" s="1004"/>
      <c r="SIA44" s="1004"/>
      <c r="SIB44" s="1004"/>
      <c r="SIC44" s="1004"/>
      <c r="SID44" s="1004"/>
      <c r="SIE44" s="1004"/>
      <c r="SIF44" s="1004"/>
      <c r="SIG44" s="1004"/>
      <c r="SIH44" s="1004"/>
      <c r="SII44" s="1004"/>
      <c r="SIJ44" s="1004"/>
      <c r="SIK44" s="1004"/>
      <c r="SIL44" s="1004"/>
      <c r="SIM44" s="1004"/>
      <c r="SIN44" s="1004"/>
      <c r="SIO44" s="1004"/>
      <c r="SIP44" s="1004"/>
      <c r="SIQ44" s="1004"/>
      <c r="SIR44" s="1004"/>
      <c r="SIS44" s="1004"/>
      <c r="SIT44" s="1004"/>
      <c r="SIU44" s="1004"/>
      <c r="SIV44" s="1004"/>
      <c r="SIW44" s="1004"/>
      <c r="SIX44" s="1004"/>
      <c r="SIY44" s="1004"/>
      <c r="SIZ44" s="1004"/>
      <c r="SJA44" s="1004"/>
      <c r="SJB44" s="1004"/>
      <c r="SJC44" s="1004"/>
      <c r="SJD44" s="1004"/>
      <c r="SJE44" s="1004"/>
      <c r="SJF44" s="1004"/>
      <c r="SJG44" s="1004"/>
      <c r="SJH44" s="1004"/>
      <c r="SJI44" s="1004"/>
      <c r="SJJ44" s="1004"/>
      <c r="SJK44" s="1004"/>
      <c r="SJL44" s="1004"/>
      <c r="SJM44" s="1004"/>
      <c r="SJN44" s="1004"/>
      <c r="SJO44" s="1004"/>
      <c r="SJP44" s="1004"/>
      <c r="SJQ44" s="1004"/>
      <c r="SJR44" s="1004"/>
      <c r="SJS44" s="1004"/>
      <c r="SJT44" s="1004"/>
      <c r="SJU44" s="1004"/>
      <c r="SJV44" s="1004"/>
      <c r="SJW44" s="1004"/>
      <c r="SJX44" s="1004"/>
      <c r="SJY44" s="1004"/>
      <c r="SJZ44" s="1004"/>
      <c r="SKA44" s="1004"/>
      <c r="SKB44" s="1004"/>
      <c r="SKC44" s="1004"/>
      <c r="SKD44" s="1004"/>
      <c r="SKE44" s="1004"/>
      <c r="SKF44" s="1004"/>
      <c r="SKG44" s="1004"/>
      <c r="SKH44" s="1004"/>
      <c r="SKI44" s="1004"/>
      <c r="SKJ44" s="1004"/>
      <c r="SKK44" s="1004"/>
      <c r="SKL44" s="1004"/>
      <c r="SKM44" s="1004"/>
      <c r="SKN44" s="1004"/>
      <c r="SKO44" s="1004"/>
      <c r="SKP44" s="1004"/>
      <c r="SKQ44" s="1004"/>
      <c r="SKR44" s="1004"/>
      <c r="SKS44" s="1004"/>
      <c r="SKT44" s="1004"/>
      <c r="SKU44" s="1004"/>
      <c r="SKV44" s="1004"/>
      <c r="SKW44" s="1004"/>
      <c r="SKX44" s="1004"/>
      <c r="SKY44" s="1004"/>
      <c r="SKZ44" s="1004"/>
      <c r="SLA44" s="1004"/>
      <c r="SLB44" s="1004"/>
      <c r="SLC44" s="1004"/>
      <c r="SLD44" s="1004"/>
      <c r="SLE44" s="1004"/>
      <c r="SLF44" s="1004"/>
      <c r="SLG44" s="1004"/>
      <c r="SLH44" s="1004"/>
      <c r="SLI44" s="1004"/>
      <c r="SLJ44" s="1004"/>
      <c r="SLK44" s="1004"/>
      <c r="SLL44" s="1004"/>
      <c r="SLM44" s="1004"/>
      <c r="SLN44" s="1004"/>
      <c r="SLO44" s="1004"/>
      <c r="SLP44" s="1004"/>
      <c r="SLQ44" s="1004"/>
      <c r="SLR44" s="1004"/>
      <c r="SLS44" s="1004"/>
      <c r="SLT44" s="1004"/>
      <c r="SLU44" s="1004"/>
      <c r="SLV44" s="1004"/>
      <c r="SLW44" s="1004"/>
      <c r="SLX44" s="1004"/>
      <c r="SLY44" s="1004"/>
      <c r="SLZ44" s="1004"/>
      <c r="SMA44" s="1004"/>
      <c r="SMB44" s="1004"/>
      <c r="SMC44" s="1004"/>
      <c r="SMD44" s="1004"/>
      <c r="SME44" s="1004"/>
      <c r="SMF44" s="1004"/>
      <c r="SMG44" s="1004"/>
      <c r="SMH44" s="1004"/>
      <c r="SMI44" s="1004"/>
      <c r="SMJ44" s="1004"/>
      <c r="SMK44" s="1004"/>
      <c r="SML44" s="1004"/>
      <c r="SMM44" s="1004"/>
      <c r="SMN44" s="1004"/>
      <c r="SMO44" s="1004"/>
      <c r="SMP44" s="1004"/>
      <c r="SMQ44" s="1004"/>
      <c r="SMR44" s="1004"/>
      <c r="SMS44" s="1004"/>
      <c r="SMT44" s="1004"/>
      <c r="SMU44" s="1004"/>
      <c r="SMV44" s="1004"/>
      <c r="SMW44" s="1004"/>
      <c r="SMX44" s="1004"/>
      <c r="SMY44" s="1004"/>
      <c r="SMZ44" s="1004"/>
      <c r="SNA44" s="1004"/>
      <c r="SNB44" s="1004"/>
      <c r="SNC44" s="1004"/>
      <c r="SND44" s="1004"/>
      <c r="SNE44" s="1004"/>
      <c r="SNF44" s="1004"/>
      <c r="SNG44" s="1004"/>
      <c r="SNH44" s="1004"/>
      <c r="SNI44" s="1004"/>
      <c r="SNJ44" s="1004"/>
      <c r="SNK44" s="1004"/>
      <c r="SNL44" s="1004"/>
      <c r="SNM44" s="1004"/>
      <c r="SNN44" s="1004"/>
      <c r="SNO44" s="1004"/>
      <c r="SNP44" s="1004"/>
      <c r="SNQ44" s="1004"/>
      <c r="SNR44" s="1004"/>
      <c r="SNS44" s="1004"/>
      <c r="SNT44" s="1004"/>
      <c r="SNU44" s="1004"/>
      <c r="SNV44" s="1004"/>
      <c r="SNW44" s="1004"/>
      <c r="SNX44" s="1004"/>
      <c r="SNY44" s="1004"/>
      <c r="SNZ44" s="1004"/>
      <c r="SOA44" s="1004"/>
      <c r="SOB44" s="1004"/>
      <c r="SOC44" s="1004"/>
      <c r="SOD44" s="1004"/>
      <c r="SOE44" s="1004"/>
      <c r="SOF44" s="1004"/>
      <c r="SOG44" s="1004"/>
      <c r="SOH44" s="1004"/>
      <c r="SOI44" s="1004"/>
      <c r="SOJ44" s="1004"/>
      <c r="SOK44" s="1004"/>
      <c r="SOL44" s="1004"/>
      <c r="SOM44" s="1004"/>
      <c r="SON44" s="1004"/>
      <c r="SOO44" s="1004"/>
      <c r="SOP44" s="1004"/>
      <c r="SOQ44" s="1004"/>
      <c r="SOR44" s="1004"/>
      <c r="SOS44" s="1004"/>
      <c r="SOT44" s="1004"/>
      <c r="SOU44" s="1004"/>
      <c r="SOV44" s="1004"/>
      <c r="SOW44" s="1004"/>
      <c r="SOX44" s="1004"/>
      <c r="SOY44" s="1004"/>
      <c r="SOZ44" s="1004"/>
      <c r="SPA44" s="1004"/>
      <c r="SPB44" s="1004"/>
      <c r="SPC44" s="1004"/>
      <c r="SPD44" s="1004"/>
      <c r="SPE44" s="1004"/>
      <c r="SPF44" s="1004"/>
      <c r="SPG44" s="1004"/>
      <c r="SPH44" s="1004"/>
      <c r="SPI44" s="1004"/>
      <c r="SPJ44" s="1004"/>
      <c r="SPK44" s="1004"/>
      <c r="SPL44" s="1004"/>
      <c r="SPM44" s="1004"/>
      <c r="SPN44" s="1004"/>
      <c r="SPO44" s="1004"/>
      <c r="SPP44" s="1004"/>
      <c r="SPQ44" s="1004"/>
      <c r="SPR44" s="1004"/>
      <c r="SPS44" s="1004"/>
      <c r="SPT44" s="1004"/>
      <c r="SPU44" s="1004"/>
      <c r="SPV44" s="1004"/>
      <c r="SPW44" s="1004"/>
      <c r="SPX44" s="1004"/>
      <c r="SPY44" s="1004"/>
      <c r="SPZ44" s="1004"/>
      <c r="SQA44" s="1004"/>
      <c r="SQB44" s="1004"/>
      <c r="SQC44" s="1004"/>
      <c r="SQD44" s="1004"/>
      <c r="SQE44" s="1004"/>
      <c r="SQF44" s="1004"/>
      <c r="SQG44" s="1004"/>
      <c r="SQH44" s="1004"/>
      <c r="SQI44" s="1004"/>
      <c r="SQJ44" s="1004"/>
      <c r="SQK44" s="1004"/>
      <c r="SQL44" s="1004"/>
      <c r="SQM44" s="1004"/>
      <c r="SQN44" s="1004"/>
      <c r="SQO44" s="1004"/>
      <c r="SQP44" s="1004"/>
      <c r="SQQ44" s="1004"/>
      <c r="SQR44" s="1004"/>
      <c r="SQS44" s="1004"/>
      <c r="SQT44" s="1004"/>
      <c r="SQU44" s="1004"/>
      <c r="SQV44" s="1004"/>
      <c r="SQW44" s="1004"/>
      <c r="SQX44" s="1004"/>
      <c r="SQY44" s="1004"/>
      <c r="SQZ44" s="1004"/>
      <c r="SRA44" s="1004"/>
      <c r="SRB44" s="1004"/>
      <c r="SRC44" s="1004"/>
      <c r="SRD44" s="1004"/>
      <c r="SRE44" s="1004"/>
      <c r="SRF44" s="1004"/>
      <c r="SRG44" s="1004"/>
      <c r="SRH44" s="1004"/>
      <c r="SRI44" s="1004"/>
      <c r="SRJ44" s="1004"/>
      <c r="SRK44" s="1004"/>
      <c r="SRL44" s="1004"/>
      <c r="SRM44" s="1004"/>
      <c r="SRN44" s="1004"/>
      <c r="SRO44" s="1004"/>
      <c r="SRP44" s="1004"/>
      <c r="SRQ44" s="1004"/>
      <c r="SRR44" s="1004"/>
      <c r="SRS44" s="1004"/>
      <c r="SRT44" s="1004"/>
      <c r="SRU44" s="1004"/>
      <c r="SRV44" s="1004"/>
      <c r="SRW44" s="1004"/>
      <c r="SRX44" s="1004"/>
      <c r="SRY44" s="1004"/>
      <c r="SRZ44" s="1004"/>
      <c r="SSA44" s="1004"/>
      <c r="SSB44" s="1004"/>
      <c r="SSC44" s="1004"/>
      <c r="SSD44" s="1004"/>
      <c r="SSE44" s="1004"/>
      <c r="SSF44" s="1004"/>
      <c r="SSG44" s="1004"/>
      <c r="SSH44" s="1004"/>
      <c r="SSI44" s="1004"/>
      <c r="SSJ44" s="1004"/>
      <c r="SSK44" s="1004"/>
      <c r="SSL44" s="1004"/>
      <c r="SSM44" s="1004"/>
      <c r="SSN44" s="1004"/>
      <c r="SSO44" s="1004"/>
      <c r="SSP44" s="1004"/>
      <c r="SSQ44" s="1004"/>
      <c r="SSR44" s="1004"/>
      <c r="SSS44" s="1004"/>
      <c r="SST44" s="1004"/>
      <c r="SSU44" s="1004"/>
      <c r="SSV44" s="1004"/>
      <c r="SSW44" s="1004"/>
      <c r="SSX44" s="1004"/>
      <c r="SSY44" s="1004"/>
      <c r="SSZ44" s="1004"/>
      <c r="STA44" s="1004"/>
      <c r="STB44" s="1004"/>
      <c r="STC44" s="1004"/>
      <c r="STD44" s="1004"/>
      <c r="STE44" s="1004"/>
      <c r="STF44" s="1004"/>
      <c r="STG44" s="1004"/>
      <c r="STH44" s="1004"/>
      <c r="STI44" s="1004"/>
      <c r="STJ44" s="1004"/>
      <c r="STK44" s="1004"/>
      <c r="STL44" s="1004"/>
      <c r="STM44" s="1004"/>
      <c r="STN44" s="1004"/>
      <c r="STO44" s="1004"/>
      <c r="STP44" s="1004"/>
      <c r="STQ44" s="1004"/>
      <c r="STR44" s="1004"/>
      <c r="STS44" s="1004"/>
      <c r="STT44" s="1004"/>
      <c r="STU44" s="1004"/>
      <c r="STV44" s="1004"/>
      <c r="STW44" s="1004"/>
      <c r="STX44" s="1004"/>
      <c r="STY44" s="1004"/>
      <c r="STZ44" s="1004"/>
      <c r="SUA44" s="1004"/>
      <c r="SUB44" s="1004"/>
      <c r="SUC44" s="1004"/>
      <c r="SUD44" s="1004"/>
      <c r="SUE44" s="1004"/>
      <c r="SUF44" s="1004"/>
      <c r="SUG44" s="1004"/>
      <c r="SUH44" s="1004"/>
      <c r="SUI44" s="1004"/>
      <c r="SUJ44" s="1004"/>
      <c r="SUK44" s="1004"/>
      <c r="SUL44" s="1004"/>
      <c r="SUM44" s="1004"/>
      <c r="SUN44" s="1004"/>
      <c r="SUO44" s="1004"/>
      <c r="SUP44" s="1004"/>
      <c r="SUQ44" s="1004"/>
      <c r="SUR44" s="1004"/>
      <c r="SUS44" s="1004"/>
      <c r="SUT44" s="1004"/>
      <c r="SUU44" s="1004"/>
      <c r="SUV44" s="1004"/>
      <c r="SUW44" s="1004"/>
      <c r="SUX44" s="1004"/>
      <c r="SUY44" s="1004"/>
      <c r="SUZ44" s="1004"/>
      <c r="SVA44" s="1004"/>
      <c r="SVB44" s="1004"/>
      <c r="SVC44" s="1004"/>
      <c r="SVD44" s="1004"/>
      <c r="SVE44" s="1004"/>
      <c r="SVF44" s="1004"/>
      <c r="SVG44" s="1004"/>
      <c r="SVH44" s="1004"/>
      <c r="SVI44" s="1004"/>
      <c r="SVJ44" s="1004"/>
      <c r="SVK44" s="1004"/>
      <c r="SVL44" s="1004"/>
      <c r="SVM44" s="1004"/>
      <c r="SVN44" s="1004"/>
      <c r="SVO44" s="1004"/>
      <c r="SVP44" s="1004"/>
      <c r="SVQ44" s="1004"/>
      <c r="SVR44" s="1004"/>
      <c r="SVS44" s="1004"/>
      <c r="SVT44" s="1004"/>
      <c r="SVU44" s="1004"/>
      <c r="SVV44" s="1004"/>
      <c r="SVW44" s="1004"/>
      <c r="SVX44" s="1004"/>
      <c r="SVY44" s="1004"/>
      <c r="SVZ44" s="1004"/>
      <c r="SWA44" s="1004"/>
      <c r="SWB44" s="1004"/>
      <c r="SWC44" s="1004"/>
      <c r="SWD44" s="1004"/>
      <c r="SWE44" s="1004"/>
      <c r="SWF44" s="1004"/>
      <c r="SWG44" s="1004"/>
      <c r="SWH44" s="1004"/>
      <c r="SWI44" s="1004"/>
      <c r="SWJ44" s="1004"/>
      <c r="SWK44" s="1004"/>
      <c r="SWL44" s="1004"/>
      <c r="SWM44" s="1004"/>
      <c r="SWN44" s="1004"/>
      <c r="SWO44" s="1004"/>
      <c r="SWP44" s="1004"/>
      <c r="SWQ44" s="1004"/>
      <c r="SWR44" s="1004"/>
      <c r="SWS44" s="1004"/>
      <c r="SWT44" s="1004"/>
      <c r="SWU44" s="1004"/>
      <c r="SWV44" s="1004"/>
      <c r="SWW44" s="1004"/>
      <c r="SWX44" s="1004"/>
      <c r="SWY44" s="1004"/>
      <c r="SWZ44" s="1004"/>
      <c r="SXA44" s="1004"/>
      <c r="SXB44" s="1004"/>
      <c r="SXC44" s="1004"/>
      <c r="SXD44" s="1004"/>
      <c r="SXE44" s="1004"/>
      <c r="SXF44" s="1004"/>
      <c r="SXG44" s="1004"/>
      <c r="SXH44" s="1004"/>
      <c r="SXI44" s="1004"/>
      <c r="SXJ44" s="1004"/>
      <c r="SXK44" s="1004"/>
      <c r="SXL44" s="1004"/>
      <c r="SXM44" s="1004"/>
      <c r="SXN44" s="1004"/>
      <c r="SXO44" s="1004"/>
      <c r="SXP44" s="1004"/>
      <c r="SXQ44" s="1004"/>
      <c r="SXR44" s="1004"/>
      <c r="SXS44" s="1004"/>
      <c r="SXT44" s="1004"/>
      <c r="SXU44" s="1004"/>
      <c r="SXV44" s="1004"/>
      <c r="SXW44" s="1004"/>
      <c r="SXX44" s="1004"/>
      <c r="SXY44" s="1004"/>
      <c r="SXZ44" s="1004"/>
      <c r="SYA44" s="1004"/>
      <c r="SYB44" s="1004"/>
      <c r="SYC44" s="1004"/>
      <c r="SYD44" s="1004"/>
      <c r="SYE44" s="1004"/>
      <c r="SYF44" s="1004"/>
      <c r="SYG44" s="1004"/>
      <c r="SYH44" s="1004"/>
      <c r="SYI44" s="1004"/>
      <c r="SYJ44" s="1004"/>
      <c r="SYK44" s="1004"/>
      <c r="SYL44" s="1004"/>
      <c r="SYM44" s="1004"/>
      <c r="SYN44" s="1004"/>
      <c r="SYO44" s="1004"/>
      <c r="SYP44" s="1004"/>
      <c r="SYQ44" s="1004"/>
      <c r="SYR44" s="1004"/>
      <c r="SYS44" s="1004"/>
      <c r="SYT44" s="1004"/>
      <c r="SYU44" s="1004"/>
      <c r="SYV44" s="1004"/>
      <c r="SYW44" s="1004"/>
      <c r="SYX44" s="1004"/>
      <c r="SYY44" s="1004"/>
      <c r="SYZ44" s="1004"/>
      <c r="SZA44" s="1004"/>
      <c r="SZB44" s="1004"/>
      <c r="SZC44" s="1004"/>
      <c r="SZD44" s="1004"/>
      <c r="SZE44" s="1004"/>
      <c r="SZF44" s="1004"/>
      <c r="SZG44" s="1004"/>
      <c r="SZH44" s="1004"/>
      <c r="SZI44" s="1004"/>
      <c r="SZJ44" s="1004"/>
      <c r="SZK44" s="1004"/>
      <c r="SZL44" s="1004"/>
      <c r="SZM44" s="1004"/>
      <c r="SZN44" s="1004"/>
      <c r="SZO44" s="1004"/>
      <c r="SZP44" s="1004"/>
      <c r="SZQ44" s="1004"/>
      <c r="SZR44" s="1004"/>
      <c r="SZS44" s="1004"/>
      <c r="SZT44" s="1004"/>
      <c r="SZU44" s="1004"/>
      <c r="SZV44" s="1004"/>
      <c r="SZW44" s="1004"/>
      <c r="SZX44" s="1004"/>
      <c r="SZY44" s="1004"/>
      <c r="SZZ44" s="1004"/>
      <c r="TAA44" s="1004"/>
      <c r="TAB44" s="1004"/>
      <c r="TAC44" s="1004"/>
      <c r="TAD44" s="1004"/>
      <c r="TAE44" s="1004"/>
      <c r="TAF44" s="1004"/>
      <c r="TAG44" s="1004"/>
      <c r="TAH44" s="1004"/>
      <c r="TAI44" s="1004"/>
      <c r="TAJ44" s="1004"/>
      <c r="TAK44" s="1004"/>
      <c r="TAL44" s="1004"/>
      <c r="TAM44" s="1004"/>
      <c r="TAN44" s="1004"/>
      <c r="TAO44" s="1004"/>
      <c r="TAP44" s="1004"/>
      <c r="TAQ44" s="1004"/>
      <c r="TAR44" s="1004"/>
      <c r="TAS44" s="1004"/>
      <c r="TAT44" s="1004"/>
      <c r="TAU44" s="1004"/>
      <c r="TAV44" s="1004"/>
      <c r="TAW44" s="1004"/>
      <c r="TAX44" s="1004"/>
      <c r="TAY44" s="1004"/>
      <c r="TAZ44" s="1004"/>
      <c r="TBA44" s="1004"/>
      <c r="TBB44" s="1004"/>
      <c r="TBC44" s="1004"/>
      <c r="TBD44" s="1004"/>
      <c r="TBE44" s="1004"/>
      <c r="TBF44" s="1004"/>
      <c r="TBG44" s="1004"/>
      <c r="TBH44" s="1004"/>
      <c r="TBI44" s="1004"/>
      <c r="TBJ44" s="1004"/>
      <c r="TBK44" s="1004"/>
      <c r="TBL44" s="1004"/>
      <c r="TBM44" s="1004"/>
      <c r="TBN44" s="1004"/>
      <c r="TBO44" s="1004"/>
      <c r="TBP44" s="1004"/>
      <c r="TBQ44" s="1004"/>
      <c r="TBR44" s="1004"/>
      <c r="TBS44" s="1004"/>
      <c r="TBT44" s="1004"/>
      <c r="TBU44" s="1004"/>
      <c r="TBV44" s="1004"/>
      <c r="TBW44" s="1004"/>
      <c r="TBX44" s="1004"/>
      <c r="TBY44" s="1004"/>
      <c r="TBZ44" s="1004"/>
      <c r="TCA44" s="1004"/>
      <c r="TCB44" s="1004"/>
      <c r="TCC44" s="1004"/>
      <c r="TCD44" s="1004"/>
      <c r="TCE44" s="1004"/>
      <c r="TCF44" s="1004"/>
      <c r="TCG44" s="1004"/>
      <c r="TCH44" s="1004"/>
      <c r="TCI44" s="1004"/>
      <c r="TCJ44" s="1004"/>
      <c r="TCK44" s="1004"/>
      <c r="TCL44" s="1004"/>
      <c r="TCM44" s="1004"/>
      <c r="TCN44" s="1004"/>
      <c r="TCO44" s="1004"/>
      <c r="TCP44" s="1004"/>
      <c r="TCQ44" s="1004"/>
      <c r="TCR44" s="1004"/>
      <c r="TCS44" s="1004"/>
      <c r="TCT44" s="1004"/>
      <c r="TCU44" s="1004"/>
      <c r="TCV44" s="1004"/>
      <c r="TCW44" s="1004"/>
      <c r="TCX44" s="1004"/>
      <c r="TCY44" s="1004"/>
      <c r="TCZ44" s="1004"/>
      <c r="TDA44" s="1004"/>
      <c r="TDB44" s="1004"/>
      <c r="TDC44" s="1004"/>
      <c r="TDD44" s="1004"/>
      <c r="TDE44" s="1004"/>
      <c r="TDF44" s="1004"/>
      <c r="TDG44" s="1004"/>
      <c r="TDH44" s="1004"/>
      <c r="TDI44" s="1004"/>
      <c r="TDJ44" s="1004"/>
      <c r="TDK44" s="1004"/>
      <c r="TDL44" s="1004"/>
      <c r="TDM44" s="1004"/>
      <c r="TDN44" s="1004"/>
      <c r="TDO44" s="1004"/>
      <c r="TDP44" s="1004"/>
      <c r="TDQ44" s="1004"/>
      <c r="TDR44" s="1004"/>
      <c r="TDS44" s="1004"/>
      <c r="TDT44" s="1004"/>
      <c r="TDU44" s="1004"/>
      <c r="TDV44" s="1004"/>
      <c r="TDW44" s="1004"/>
      <c r="TDX44" s="1004"/>
      <c r="TDY44" s="1004"/>
      <c r="TDZ44" s="1004"/>
      <c r="TEA44" s="1004"/>
      <c r="TEB44" s="1004"/>
      <c r="TEC44" s="1004"/>
      <c r="TED44" s="1004"/>
      <c r="TEE44" s="1004"/>
      <c r="TEF44" s="1004"/>
      <c r="TEG44" s="1004"/>
      <c r="TEH44" s="1004"/>
      <c r="TEI44" s="1004"/>
      <c r="TEJ44" s="1004"/>
      <c r="TEK44" s="1004"/>
      <c r="TEL44" s="1004"/>
      <c r="TEM44" s="1004"/>
      <c r="TEN44" s="1004"/>
      <c r="TEO44" s="1004"/>
      <c r="TEP44" s="1004"/>
      <c r="TEQ44" s="1004"/>
      <c r="TER44" s="1004"/>
      <c r="TES44" s="1004"/>
      <c r="TET44" s="1004"/>
      <c r="TEU44" s="1004"/>
      <c r="TEV44" s="1004"/>
      <c r="TEW44" s="1004"/>
      <c r="TEX44" s="1004"/>
      <c r="TEY44" s="1004"/>
      <c r="TEZ44" s="1004"/>
      <c r="TFA44" s="1004"/>
      <c r="TFB44" s="1004"/>
      <c r="TFC44" s="1004"/>
      <c r="TFD44" s="1004"/>
      <c r="TFE44" s="1004"/>
      <c r="TFF44" s="1004"/>
      <c r="TFG44" s="1004"/>
      <c r="TFH44" s="1004"/>
      <c r="TFI44" s="1004"/>
      <c r="TFJ44" s="1004"/>
      <c r="TFK44" s="1004"/>
      <c r="TFL44" s="1004"/>
      <c r="TFM44" s="1004"/>
      <c r="TFN44" s="1004"/>
      <c r="TFO44" s="1004"/>
      <c r="TFP44" s="1004"/>
      <c r="TFQ44" s="1004"/>
      <c r="TFR44" s="1004"/>
      <c r="TFS44" s="1004"/>
      <c r="TFT44" s="1004"/>
      <c r="TFU44" s="1004"/>
      <c r="TFV44" s="1004"/>
      <c r="TFW44" s="1004"/>
      <c r="TFX44" s="1004"/>
      <c r="TFY44" s="1004"/>
      <c r="TFZ44" s="1004"/>
      <c r="TGA44" s="1004"/>
      <c r="TGB44" s="1004"/>
      <c r="TGC44" s="1004"/>
      <c r="TGD44" s="1004"/>
      <c r="TGE44" s="1004"/>
      <c r="TGF44" s="1004"/>
      <c r="TGG44" s="1004"/>
      <c r="TGH44" s="1004"/>
      <c r="TGI44" s="1004"/>
      <c r="TGJ44" s="1004"/>
      <c r="TGK44" s="1004"/>
      <c r="TGL44" s="1004"/>
      <c r="TGM44" s="1004"/>
      <c r="TGN44" s="1004"/>
      <c r="TGO44" s="1004"/>
      <c r="TGP44" s="1004"/>
      <c r="TGQ44" s="1004"/>
      <c r="TGR44" s="1004"/>
      <c r="TGS44" s="1004"/>
      <c r="TGT44" s="1004"/>
      <c r="TGU44" s="1004"/>
      <c r="TGV44" s="1004"/>
      <c r="TGW44" s="1004"/>
      <c r="TGX44" s="1004"/>
      <c r="TGY44" s="1004"/>
      <c r="TGZ44" s="1004"/>
      <c r="THA44" s="1004"/>
      <c r="THB44" s="1004"/>
      <c r="THC44" s="1004"/>
      <c r="THD44" s="1004"/>
      <c r="THE44" s="1004"/>
      <c r="THF44" s="1004"/>
      <c r="THG44" s="1004"/>
      <c r="THH44" s="1004"/>
      <c r="THI44" s="1004"/>
      <c r="THJ44" s="1004"/>
      <c r="THK44" s="1004"/>
      <c r="THL44" s="1004"/>
      <c r="THM44" s="1004"/>
      <c r="THN44" s="1004"/>
      <c r="THO44" s="1004"/>
      <c r="THP44" s="1004"/>
      <c r="THQ44" s="1004"/>
      <c r="THR44" s="1004"/>
      <c r="THS44" s="1004"/>
      <c r="THT44" s="1004"/>
      <c r="THU44" s="1004"/>
      <c r="THV44" s="1004"/>
      <c r="THW44" s="1004"/>
      <c r="THX44" s="1004"/>
      <c r="THY44" s="1004"/>
      <c r="THZ44" s="1004"/>
      <c r="TIA44" s="1004"/>
      <c r="TIB44" s="1004"/>
      <c r="TIC44" s="1004"/>
      <c r="TID44" s="1004"/>
      <c r="TIE44" s="1004"/>
      <c r="TIF44" s="1004"/>
      <c r="TIG44" s="1004"/>
      <c r="TIH44" s="1004"/>
      <c r="TII44" s="1004"/>
      <c r="TIJ44" s="1004"/>
      <c r="TIK44" s="1004"/>
      <c r="TIL44" s="1004"/>
      <c r="TIM44" s="1004"/>
      <c r="TIN44" s="1004"/>
      <c r="TIO44" s="1004"/>
      <c r="TIP44" s="1004"/>
      <c r="TIQ44" s="1004"/>
      <c r="TIR44" s="1004"/>
      <c r="TIS44" s="1004"/>
      <c r="TIT44" s="1004"/>
      <c r="TIU44" s="1004"/>
      <c r="TIV44" s="1004"/>
      <c r="TIW44" s="1004"/>
      <c r="TIX44" s="1004"/>
      <c r="TIY44" s="1004"/>
      <c r="TIZ44" s="1004"/>
      <c r="TJA44" s="1004"/>
      <c r="TJB44" s="1004"/>
      <c r="TJC44" s="1004"/>
      <c r="TJD44" s="1004"/>
      <c r="TJE44" s="1004"/>
      <c r="TJF44" s="1004"/>
      <c r="TJG44" s="1004"/>
      <c r="TJH44" s="1004"/>
      <c r="TJI44" s="1004"/>
      <c r="TJJ44" s="1004"/>
      <c r="TJK44" s="1004"/>
      <c r="TJL44" s="1004"/>
      <c r="TJM44" s="1004"/>
      <c r="TJN44" s="1004"/>
      <c r="TJO44" s="1004"/>
      <c r="TJP44" s="1004"/>
      <c r="TJQ44" s="1004"/>
      <c r="TJR44" s="1004"/>
      <c r="TJS44" s="1004"/>
      <c r="TJT44" s="1004"/>
      <c r="TJU44" s="1004"/>
      <c r="TJV44" s="1004"/>
      <c r="TJW44" s="1004"/>
      <c r="TJX44" s="1004"/>
      <c r="TJY44" s="1004"/>
      <c r="TJZ44" s="1004"/>
      <c r="TKA44" s="1004"/>
      <c r="TKB44" s="1004"/>
      <c r="TKC44" s="1004"/>
      <c r="TKD44" s="1004"/>
      <c r="TKE44" s="1004"/>
      <c r="TKF44" s="1004"/>
      <c r="TKG44" s="1004"/>
      <c r="TKH44" s="1004"/>
      <c r="TKI44" s="1004"/>
      <c r="TKJ44" s="1004"/>
      <c r="TKK44" s="1004"/>
      <c r="TKL44" s="1004"/>
      <c r="TKM44" s="1004"/>
      <c r="TKN44" s="1004"/>
      <c r="TKO44" s="1004"/>
      <c r="TKP44" s="1004"/>
      <c r="TKQ44" s="1004"/>
      <c r="TKR44" s="1004"/>
      <c r="TKS44" s="1004"/>
      <c r="TKT44" s="1004"/>
      <c r="TKU44" s="1004"/>
      <c r="TKV44" s="1004"/>
      <c r="TKW44" s="1004"/>
      <c r="TKX44" s="1004"/>
      <c r="TKY44" s="1004"/>
      <c r="TKZ44" s="1004"/>
      <c r="TLA44" s="1004"/>
      <c r="TLB44" s="1004"/>
      <c r="TLC44" s="1004"/>
      <c r="TLD44" s="1004"/>
      <c r="TLE44" s="1004"/>
      <c r="TLF44" s="1004"/>
      <c r="TLG44" s="1004"/>
      <c r="TLH44" s="1004"/>
      <c r="TLI44" s="1004"/>
      <c r="TLJ44" s="1004"/>
      <c r="TLK44" s="1004"/>
      <c r="TLL44" s="1004"/>
      <c r="TLM44" s="1004"/>
      <c r="TLN44" s="1004"/>
      <c r="TLO44" s="1004"/>
      <c r="TLP44" s="1004"/>
      <c r="TLQ44" s="1004"/>
      <c r="TLR44" s="1004"/>
      <c r="TLS44" s="1004"/>
      <c r="TLT44" s="1004"/>
      <c r="TLU44" s="1004"/>
      <c r="TLV44" s="1004"/>
      <c r="TLW44" s="1004"/>
      <c r="TLX44" s="1004"/>
      <c r="TLY44" s="1004"/>
      <c r="TLZ44" s="1004"/>
      <c r="TMA44" s="1004"/>
      <c r="TMB44" s="1004"/>
      <c r="TMC44" s="1004"/>
      <c r="TMD44" s="1004"/>
      <c r="TME44" s="1004"/>
      <c r="TMF44" s="1004"/>
      <c r="TMG44" s="1004"/>
      <c r="TMH44" s="1004"/>
      <c r="TMI44" s="1004"/>
      <c r="TMJ44" s="1004"/>
      <c r="TMK44" s="1004"/>
      <c r="TML44" s="1004"/>
      <c r="TMM44" s="1004"/>
      <c r="TMN44" s="1004"/>
      <c r="TMO44" s="1004"/>
      <c r="TMP44" s="1004"/>
      <c r="TMQ44" s="1004"/>
      <c r="TMR44" s="1004"/>
      <c r="TMS44" s="1004"/>
      <c r="TMT44" s="1004"/>
      <c r="TMU44" s="1004"/>
      <c r="TMV44" s="1004"/>
      <c r="TMW44" s="1004"/>
      <c r="TMX44" s="1004"/>
      <c r="TMY44" s="1004"/>
      <c r="TMZ44" s="1004"/>
      <c r="TNA44" s="1004"/>
      <c r="TNB44" s="1004"/>
      <c r="TNC44" s="1004"/>
      <c r="TND44" s="1004"/>
      <c r="TNE44" s="1004"/>
      <c r="TNF44" s="1004"/>
      <c r="TNG44" s="1004"/>
      <c r="TNH44" s="1004"/>
      <c r="TNI44" s="1004"/>
      <c r="TNJ44" s="1004"/>
      <c r="TNK44" s="1004"/>
      <c r="TNL44" s="1004"/>
      <c r="TNM44" s="1004"/>
      <c r="TNN44" s="1004"/>
      <c r="TNO44" s="1004"/>
      <c r="TNP44" s="1004"/>
      <c r="TNQ44" s="1004"/>
      <c r="TNR44" s="1004"/>
      <c r="TNS44" s="1004"/>
      <c r="TNT44" s="1004"/>
      <c r="TNU44" s="1004"/>
      <c r="TNV44" s="1004"/>
      <c r="TNW44" s="1004"/>
      <c r="TNX44" s="1004"/>
      <c r="TNY44" s="1004"/>
      <c r="TNZ44" s="1004"/>
      <c r="TOA44" s="1004"/>
      <c r="TOB44" s="1004"/>
      <c r="TOC44" s="1004"/>
      <c r="TOD44" s="1004"/>
      <c r="TOE44" s="1004"/>
      <c r="TOF44" s="1004"/>
      <c r="TOG44" s="1004"/>
      <c r="TOH44" s="1004"/>
      <c r="TOI44" s="1004"/>
      <c r="TOJ44" s="1004"/>
      <c r="TOK44" s="1004"/>
      <c r="TOL44" s="1004"/>
      <c r="TOM44" s="1004"/>
      <c r="TON44" s="1004"/>
      <c r="TOO44" s="1004"/>
      <c r="TOP44" s="1004"/>
      <c r="TOQ44" s="1004"/>
      <c r="TOR44" s="1004"/>
      <c r="TOS44" s="1004"/>
      <c r="TOT44" s="1004"/>
      <c r="TOU44" s="1004"/>
      <c r="TOV44" s="1004"/>
      <c r="TOW44" s="1004"/>
      <c r="TOX44" s="1004"/>
      <c r="TOY44" s="1004"/>
      <c r="TOZ44" s="1004"/>
      <c r="TPA44" s="1004"/>
      <c r="TPB44" s="1004"/>
      <c r="TPC44" s="1004"/>
      <c r="TPD44" s="1004"/>
      <c r="TPE44" s="1004"/>
      <c r="TPF44" s="1004"/>
      <c r="TPG44" s="1004"/>
      <c r="TPH44" s="1004"/>
      <c r="TPI44" s="1004"/>
      <c r="TPJ44" s="1004"/>
      <c r="TPK44" s="1004"/>
      <c r="TPL44" s="1004"/>
      <c r="TPM44" s="1004"/>
      <c r="TPN44" s="1004"/>
      <c r="TPO44" s="1004"/>
      <c r="TPP44" s="1004"/>
      <c r="TPQ44" s="1004"/>
      <c r="TPR44" s="1004"/>
      <c r="TPS44" s="1004"/>
      <c r="TPT44" s="1004"/>
      <c r="TPU44" s="1004"/>
      <c r="TPV44" s="1004"/>
      <c r="TPW44" s="1004"/>
      <c r="TPX44" s="1004"/>
      <c r="TPY44" s="1004"/>
      <c r="TPZ44" s="1004"/>
      <c r="TQA44" s="1004"/>
      <c r="TQB44" s="1004"/>
      <c r="TQC44" s="1004"/>
      <c r="TQD44" s="1004"/>
      <c r="TQE44" s="1004"/>
      <c r="TQF44" s="1004"/>
      <c r="TQG44" s="1004"/>
      <c r="TQH44" s="1004"/>
      <c r="TQI44" s="1004"/>
      <c r="TQJ44" s="1004"/>
      <c r="TQK44" s="1004"/>
      <c r="TQL44" s="1004"/>
      <c r="TQM44" s="1004"/>
      <c r="TQN44" s="1004"/>
      <c r="TQO44" s="1004"/>
      <c r="TQP44" s="1004"/>
      <c r="TQQ44" s="1004"/>
      <c r="TQR44" s="1004"/>
      <c r="TQS44" s="1004"/>
      <c r="TQT44" s="1004"/>
      <c r="TQU44" s="1004"/>
      <c r="TQV44" s="1004"/>
      <c r="TQW44" s="1004"/>
      <c r="TQX44" s="1004"/>
      <c r="TQY44" s="1004"/>
      <c r="TQZ44" s="1004"/>
      <c r="TRA44" s="1004"/>
      <c r="TRB44" s="1004"/>
      <c r="TRC44" s="1004"/>
      <c r="TRD44" s="1004"/>
      <c r="TRE44" s="1004"/>
      <c r="TRF44" s="1004"/>
      <c r="TRG44" s="1004"/>
      <c r="TRH44" s="1004"/>
      <c r="TRI44" s="1004"/>
      <c r="TRJ44" s="1004"/>
      <c r="TRK44" s="1004"/>
      <c r="TRL44" s="1004"/>
      <c r="TRM44" s="1004"/>
      <c r="TRN44" s="1004"/>
      <c r="TRO44" s="1004"/>
      <c r="TRP44" s="1004"/>
      <c r="TRQ44" s="1004"/>
      <c r="TRR44" s="1004"/>
      <c r="TRS44" s="1004"/>
      <c r="TRT44" s="1004"/>
      <c r="TRU44" s="1004"/>
      <c r="TRV44" s="1004"/>
      <c r="TRW44" s="1004"/>
      <c r="TRX44" s="1004"/>
      <c r="TRY44" s="1004"/>
      <c r="TRZ44" s="1004"/>
      <c r="TSA44" s="1004"/>
      <c r="TSB44" s="1004"/>
      <c r="TSC44" s="1004"/>
      <c r="TSD44" s="1004"/>
      <c r="TSE44" s="1004"/>
      <c r="TSF44" s="1004"/>
      <c r="TSG44" s="1004"/>
      <c r="TSH44" s="1004"/>
      <c r="TSI44" s="1004"/>
      <c r="TSJ44" s="1004"/>
      <c r="TSK44" s="1004"/>
      <c r="TSL44" s="1004"/>
      <c r="TSM44" s="1004"/>
      <c r="TSN44" s="1004"/>
      <c r="TSO44" s="1004"/>
      <c r="TSP44" s="1004"/>
      <c r="TSQ44" s="1004"/>
      <c r="TSR44" s="1004"/>
      <c r="TSS44" s="1004"/>
      <c r="TST44" s="1004"/>
      <c r="TSU44" s="1004"/>
      <c r="TSV44" s="1004"/>
      <c r="TSW44" s="1004"/>
      <c r="TSX44" s="1004"/>
      <c r="TSY44" s="1004"/>
      <c r="TSZ44" s="1004"/>
      <c r="TTA44" s="1004"/>
      <c r="TTB44" s="1004"/>
      <c r="TTC44" s="1004"/>
      <c r="TTD44" s="1004"/>
      <c r="TTE44" s="1004"/>
      <c r="TTF44" s="1004"/>
      <c r="TTG44" s="1004"/>
      <c r="TTH44" s="1004"/>
      <c r="TTI44" s="1004"/>
      <c r="TTJ44" s="1004"/>
      <c r="TTK44" s="1004"/>
      <c r="TTL44" s="1004"/>
      <c r="TTM44" s="1004"/>
      <c r="TTN44" s="1004"/>
      <c r="TTO44" s="1004"/>
      <c r="TTP44" s="1004"/>
      <c r="TTQ44" s="1004"/>
      <c r="TTR44" s="1004"/>
      <c r="TTS44" s="1004"/>
      <c r="TTT44" s="1004"/>
      <c r="TTU44" s="1004"/>
      <c r="TTV44" s="1004"/>
      <c r="TTW44" s="1004"/>
      <c r="TTX44" s="1004"/>
      <c r="TTY44" s="1004"/>
      <c r="TTZ44" s="1004"/>
      <c r="TUA44" s="1004"/>
      <c r="TUB44" s="1004"/>
      <c r="TUC44" s="1004"/>
      <c r="TUD44" s="1004"/>
      <c r="TUE44" s="1004"/>
      <c r="TUF44" s="1004"/>
      <c r="TUG44" s="1004"/>
      <c r="TUH44" s="1004"/>
      <c r="TUI44" s="1004"/>
      <c r="TUJ44" s="1004"/>
      <c r="TUK44" s="1004"/>
      <c r="TUL44" s="1004"/>
      <c r="TUM44" s="1004"/>
      <c r="TUN44" s="1004"/>
      <c r="TUO44" s="1004"/>
      <c r="TUP44" s="1004"/>
      <c r="TUQ44" s="1004"/>
      <c r="TUR44" s="1004"/>
      <c r="TUS44" s="1004"/>
      <c r="TUT44" s="1004"/>
      <c r="TUU44" s="1004"/>
      <c r="TUV44" s="1004"/>
      <c r="TUW44" s="1004"/>
      <c r="TUX44" s="1004"/>
      <c r="TUY44" s="1004"/>
      <c r="TUZ44" s="1004"/>
      <c r="TVA44" s="1004"/>
      <c r="TVB44" s="1004"/>
      <c r="TVC44" s="1004"/>
      <c r="TVD44" s="1004"/>
      <c r="TVE44" s="1004"/>
      <c r="TVF44" s="1004"/>
      <c r="TVG44" s="1004"/>
      <c r="TVH44" s="1004"/>
      <c r="TVI44" s="1004"/>
      <c r="TVJ44" s="1004"/>
      <c r="TVK44" s="1004"/>
      <c r="TVL44" s="1004"/>
      <c r="TVM44" s="1004"/>
      <c r="TVN44" s="1004"/>
      <c r="TVO44" s="1004"/>
      <c r="TVP44" s="1004"/>
      <c r="TVQ44" s="1004"/>
      <c r="TVR44" s="1004"/>
      <c r="TVS44" s="1004"/>
      <c r="TVT44" s="1004"/>
      <c r="TVU44" s="1004"/>
      <c r="TVV44" s="1004"/>
      <c r="TVW44" s="1004"/>
      <c r="TVX44" s="1004"/>
      <c r="TVY44" s="1004"/>
      <c r="TVZ44" s="1004"/>
      <c r="TWA44" s="1004"/>
      <c r="TWB44" s="1004"/>
      <c r="TWC44" s="1004"/>
      <c r="TWD44" s="1004"/>
      <c r="TWE44" s="1004"/>
      <c r="TWF44" s="1004"/>
      <c r="TWG44" s="1004"/>
      <c r="TWH44" s="1004"/>
      <c r="TWI44" s="1004"/>
      <c r="TWJ44" s="1004"/>
      <c r="TWK44" s="1004"/>
      <c r="TWL44" s="1004"/>
      <c r="TWM44" s="1004"/>
      <c r="TWN44" s="1004"/>
      <c r="TWO44" s="1004"/>
      <c r="TWP44" s="1004"/>
      <c r="TWQ44" s="1004"/>
      <c r="TWR44" s="1004"/>
      <c r="TWS44" s="1004"/>
      <c r="TWT44" s="1004"/>
      <c r="TWU44" s="1004"/>
      <c r="TWV44" s="1004"/>
      <c r="TWW44" s="1004"/>
      <c r="TWX44" s="1004"/>
      <c r="TWY44" s="1004"/>
      <c r="TWZ44" s="1004"/>
      <c r="TXA44" s="1004"/>
      <c r="TXB44" s="1004"/>
      <c r="TXC44" s="1004"/>
      <c r="TXD44" s="1004"/>
      <c r="TXE44" s="1004"/>
      <c r="TXF44" s="1004"/>
      <c r="TXG44" s="1004"/>
      <c r="TXH44" s="1004"/>
      <c r="TXI44" s="1004"/>
      <c r="TXJ44" s="1004"/>
      <c r="TXK44" s="1004"/>
      <c r="TXL44" s="1004"/>
      <c r="TXM44" s="1004"/>
      <c r="TXN44" s="1004"/>
      <c r="TXO44" s="1004"/>
      <c r="TXP44" s="1004"/>
      <c r="TXQ44" s="1004"/>
      <c r="TXR44" s="1004"/>
      <c r="TXS44" s="1004"/>
      <c r="TXT44" s="1004"/>
      <c r="TXU44" s="1004"/>
      <c r="TXV44" s="1004"/>
      <c r="TXW44" s="1004"/>
      <c r="TXX44" s="1004"/>
      <c r="TXY44" s="1004"/>
      <c r="TXZ44" s="1004"/>
      <c r="TYA44" s="1004"/>
      <c r="TYB44" s="1004"/>
      <c r="TYC44" s="1004"/>
      <c r="TYD44" s="1004"/>
      <c r="TYE44" s="1004"/>
      <c r="TYF44" s="1004"/>
      <c r="TYG44" s="1004"/>
      <c r="TYH44" s="1004"/>
      <c r="TYI44" s="1004"/>
      <c r="TYJ44" s="1004"/>
      <c r="TYK44" s="1004"/>
      <c r="TYL44" s="1004"/>
      <c r="TYM44" s="1004"/>
      <c r="TYN44" s="1004"/>
      <c r="TYO44" s="1004"/>
      <c r="TYP44" s="1004"/>
      <c r="TYQ44" s="1004"/>
      <c r="TYR44" s="1004"/>
      <c r="TYS44" s="1004"/>
      <c r="TYT44" s="1004"/>
      <c r="TYU44" s="1004"/>
      <c r="TYV44" s="1004"/>
      <c r="TYW44" s="1004"/>
      <c r="TYX44" s="1004"/>
      <c r="TYY44" s="1004"/>
      <c r="TYZ44" s="1004"/>
      <c r="TZA44" s="1004"/>
      <c r="TZB44" s="1004"/>
      <c r="TZC44" s="1004"/>
      <c r="TZD44" s="1004"/>
      <c r="TZE44" s="1004"/>
      <c r="TZF44" s="1004"/>
      <c r="TZG44" s="1004"/>
      <c r="TZH44" s="1004"/>
      <c r="TZI44" s="1004"/>
      <c r="TZJ44" s="1004"/>
      <c r="TZK44" s="1004"/>
      <c r="TZL44" s="1004"/>
      <c r="TZM44" s="1004"/>
      <c r="TZN44" s="1004"/>
      <c r="TZO44" s="1004"/>
      <c r="TZP44" s="1004"/>
      <c r="TZQ44" s="1004"/>
      <c r="TZR44" s="1004"/>
      <c r="TZS44" s="1004"/>
      <c r="TZT44" s="1004"/>
      <c r="TZU44" s="1004"/>
      <c r="TZV44" s="1004"/>
      <c r="TZW44" s="1004"/>
      <c r="TZX44" s="1004"/>
      <c r="TZY44" s="1004"/>
      <c r="TZZ44" s="1004"/>
      <c r="UAA44" s="1004"/>
      <c r="UAB44" s="1004"/>
      <c r="UAC44" s="1004"/>
      <c r="UAD44" s="1004"/>
      <c r="UAE44" s="1004"/>
      <c r="UAF44" s="1004"/>
      <c r="UAG44" s="1004"/>
      <c r="UAH44" s="1004"/>
      <c r="UAI44" s="1004"/>
      <c r="UAJ44" s="1004"/>
      <c r="UAK44" s="1004"/>
      <c r="UAL44" s="1004"/>
      <c r="UAM44" s="1004"/>
      <c r="UAN44" s="1004"/>
      <c r="UAO44" s="1004"/>
      <c r="UAP44" s="1004"/>
      <c r="UAQ44" s="1004"/>
      <c r="UAR44" s="1004"/>
      <c r="UAS44" s="1004"/>
      <c r="UAT44" s="1004"/>
      <c r="UAU44" s="1004"/>
      <c r="UAV44" s="1004"/>
      <c r="UAW44" s="1004"/>
      <c r="UAX44" s="1004"/>
      <c r="UAY44" s="1004"/>
      <c r="UAZ44" s="1004"/>
      <c r="UBA44" s="1004"/>
      <c r="UBB44" s="1004"/>
      <c r="UBC44" s="1004"/>
      <c r="UBD44" s="1004"/>
      <c r="UBE44" s="1004"/>
      <c r="UBF44" s="1004"/>
      <c r="UBG44" s="1004"/>
      <c r="UBH44" s="1004"/>
      <c r="UBI44" s="1004"/>
      <c r="UBJ44" s="1004"/>
      <c r="UBK44" s="1004"/>
      <c r="UBL44" s="1004"/>
      <c r="UBM44" s="1004"/>
      <c r="UBN44" s="1004"/>
      <c r="UBO44" s="1004"/>
      <c r="UBP44" s="1004"/>
      <c r="UBQ44" s="1004"/>
      <c r="UBR44" s="1004"/>
      <c r="UBS44" s="1004"/>
      <c r="UBT44" s="1004"/>
      <c r="UBU44" s="1004"/>
      <c r="UBV44" s="1004"/>
      <c r="UBW44" s="1004"/>
      <c r="UBX44" s="1004"/>
      <c r="UBY44" s="1004"/>
      <c r="UBZ44" s="1004"/>
      <c r="UCA44" s="1004"/>
      <c r="UCB44" s="1004"/>
      <c r="UCC44" s="1004"/>
      <c r="UCD44" s="1004"/>
      <c r="UCE44" s="1004"/>
      <c r="UCF44" s="1004"/>
      <c r="UCG44" s="1004"/>
      <c r="UCH44" s="1004"/>
      <c r="UCI44" s="1004"/>
      <c r="UCJ44" s="1004"/>
      <c r="UCK44" s="1004"/>
      <c r="UCL44" s="1004"/>
      <c r="UCM44" s="1004"/>
      <c r="UCN44" s="1004"/>
      <c r="UCO44" s="1004"/>
      <c r="UCP44" s="1004"/>
      <c r="UCQ44" s="1004"/>
      <c r="UCR44" s="1004"/>
      <c r="UCS44" s="1004"/>
      <c r="UCT44" s="1004"/>
      <c r="UCU44" s="1004"/>
      <c r="UCV44" s="1004"/>
      <c r="UCW44" s="1004"/>
      <c r="UCX44" s="1004"/>
      <c r="UCY44" s="1004"/>
      <c r="UCZ44" s="1004"/>
      <c r="UDA44" s="1004"/>
      <c r="UDB44" s="1004"/>
      <c r="UDC44" s="1004"/>
      <c r="UDD44" s="1004"/>
      <c r="UDE44" s="1004"/>
      <c r="UDF44" s="1004"/>
      <c r="UDG44" s="1004"/>
      <c r="UDH44" s="1004"/>
      <c r="UDI44" s="1004"/>
      <c r="UDJ44" s="1004"/>
      <c r="UDK44" s="1004"/>
      <c r="UDL44" s="1004"/>
      <c r="UDM44" s="1004"/>
      <c r="UDN44" s="1004"/>
      <c r="UDO44" s="1004"/>
      <c r="UDP44" s="1004"/>
      <c r="UDQ44" s="1004"/>
      <c r="UDR44" s="1004"/>
      <c r="UDS44" s="1004"/>
      <c r="UDT44" s="1004"/>
      <c r="UDU44" s="1004"/>
      <c r="UDV44" s="1004"/>
      <c r="UDW44" s="1004"/>
      <c r="UDX44" s="1004"/>
      <c r="UDY44" s="1004"/>
      <c r="UDZ44" s="1004"/>
      <c r="UEA44" s="1004"/>
      <c r="UEB44" s="1004"/>
      <c r="UEC44" s="1004"/>
      <c r="UED44" s="1004"/>
      <c r="UEE44" s="1004"/>
      <c r="UEF44" s="1004"/>
      <c r="UEG44" s="1004"/>
      <c r="UEH44" s="1004"/>
      <c r="UEI44" s="1004"/>
      <c r="UEJ44" s="1004"/>
      <c r="UEK44" s="1004"/>
      <c r="UEL44" s="1004"/>
      <c r="UEM44" s="1004"/>
      <c r="UEN44" s="1004"/>
      <c r="UEO44" s="1004"/>
      <c r="UEP44" s="1004"/>
      <c r="UEQ44" s="1004"/>
      <c r="UER44" s="1004"/>
      <c r="UES44" s="1004"/>
      <c r="UET44" s="1004"/>
      <c r="UEU44" s="1004"/>
      <c r="UEV44" s="1004"/>
      <c r="UEW44" s="1004"/>
      <c r="UEX44" s="1004"/>
      <c r="UEY44" s="1004"/>
      <c r="UEZ44" s="1004"/>
      <c r="UFA44" s="1004"/>
      <c r="UFB44" s="1004"/>
      <c r="UFC44" s="1004"/>
      <c r="UFD44" s="1004"/>
      <c r="UFE44" s="1004"/>
      <c r="UFF44" s="1004"/>
      <c r="UFG44" s="1004"/>
      <c r="UFH44" s="1004"/>
      <c r="UFI44" s="1004"/>
      <c r="UFJ44" s="1004"/>
      <c r="UFK44" s="1004"/>
      <c r="UFL44" s="1004"/>
      <c r="UFM44" s="1004"/>
      <c r="UFN44" s="1004"/>
      <c r="UFO44" s="1004"/>
      <c r="UFP44" s="1004"/>
      <c r="UFQ44" s="1004"/>
      <c r="UFR44" s="1004"/>
      <c r="UFS44" s="1004"/>
      <c r="UFT44" s="1004"/>
      <c r="UFU44" s="1004"/>
      <c r="UFV44" s="1004"/>
      <c r="UFW44" s="1004"/>
      <c r="UFX44" s="1004"/>
      <c r="UFY44" s="1004"/>
      <c r="UFZ44" s="1004"/>
      <c r="UGA44" s="1004"/>
      <c r="UGB44" s="1004"/>
      <c r="UGC44" s="1004"/>
      <c r="UGD44" s="1004"/>
      <c r="UGE44" s="1004"/>
      <c r="UGF44" s="1004"/>
      <c r="UGG44" s="1004"/>
      <c r="UGH44" s="1004"/>
      <c r="UGI44" s="1004"/>
      <c r="UGJ44" s="1004"/>
      <c r="UGK44" s="1004"/>
      <c r="UGL44" s="1004"/>
      <c r="UGM44" s="1004"/>
      <c r="UGN44" s="1004"/>
      <c r="UGO44" s="1004"/>
      <c r="UGP44" s="1004"/>
      <c r="UGQ44" s="1004"/>
      <c r="UGR44" s="1004"/>
      <c r="UGS44" s="1004"/>
      <c r="UGT44" s="1004"/>
      <c r="UGU44" s="1004"/>
      <c r="UGV44" s="1004"/>
      <c r="UGW44" s="1004"/>
      <c r="UGX44" s="1004"/>
      <c r="UGY44" s="1004"/>
      <c r="UGZ44" s="1004"/>
      <c r="UHA44" s="1004"/>
      <c r="UHB44" s="1004"/>
      <c r="UHC44" s="1004"/>
      <c r="UHD44" s="1004"/>
      <c r="UHE44" s="1004"/>
      <c r="UHF44" s="1004"/>
      <c r="UHG44" s="1004"/>
      <c r="UHH44" s="1004"/>
      <c r="UHI44" s="1004"/>
      <c r="UHJ44" s="1004"/>
      <c r="UHK44" s="1004"/>
      <c r="UHL44" s="1004"/>
      <c r="UHM44" s="1004"/>
      <c r="UHN44" s="1004"/>
      <c r="UHO44" s="1004"/>
      <c r="UHP44" s="1004"/>
      <c r="UHQ44" s="1004"/>
      <c r="UHR44" s="1004"/>
      <c r="UHS44" s="1004"/>
      <c r="UHT44" s="1004"/>
      <c r="UHU44" s="1004"/>
      <c r="UHV44" s="1004"/>
      <c r="UHW44" s="1004"/>
      <c r="UHX44" s="1004"/>
      <c r="UHY44" s="1004"/>
      <c r="UHZ44" s="1004"/>
      <c r="UIA44" s="1004"/>
      <c r="UIB44" s="1004"/>
      <c r="UIC44" s="1004"/>
      <c r="UID44" s="1004"/>
      <c r="UIE44" s="1004"/>
      <c r="UIF44" s="1004"/>
      <c r="UIG44" s="1004"/>
      <c r="UIH44" s="1004"/>
      <c r="UII44" s="1004"/>
      <c r="UIJ44" s="1004"/>
      <c r="UIK44" s="1004"/>
      <c r="UIL44" s="1004"/>
      <c r="UIM44" s="1004"/>
      <c r="UIN44" s="1004"/>
      <c r="UIO44" s="1004"/>
      <c r="UIP44" s="1004"/>
      <c r="UIQ44" s="1004"/>
      <c r="UIR44" s="1004"/>
      <c r="UIS44" s="1004"/>
      <c r="UIT44" s="1004"/>
      <c r="UIU44" s="1004"/>
      <c r="UIV44" s="1004"/>
      <c r="UIW44" s="1004"/>
      <c r="UIX44" s="1004"/>
      <c r="UIY44" s="1004"/>
      <c r="UIZ44" s="1004"/>
      <c r="UJA44" s="1004"/>
      <c r="UJB44" s="1004"/>
      <c r="UJC44" s="1004"/>
      <c r="UJD44" s="1004"/>
      <c r="UJE44" s="1004"/>
      <c r="UJF44" s="1004"/>
      <c r="UJG44" s="1004"/>
      <c r="UJH44" s="1004"/>
      <c r="UJI44" s="1004"/>
      <c r="UJJ44" s="1004"/>
      <c r="UJK44" s="1004"/>
      <c r="UJL44" s="1004"/>
      <c r="UJM44" s="1004"/>
      <c r="UJN44" s="1004"/>
      <c r="UJO44" s="1004"/>
      <c r="UJP44" s="1004"/>
      <c r="UJQ44" s="1004"/>
      <c r="UJR44" s="1004"/>
      <c r="UJS44" s="1004"/>
      <c r="UJT44" s="1004"/>
      <c r="UJU44" s="1004"/>
      <c r="UJV44" s="1004"/>
      <c r="UJW44" s="1004"/>
      <c r="UJX44" s="1004"/>
      <c r="UJY44" s="1004"/>
      <c r="UJZ44" s="1004"/>
      <c r="UKA44" s="1004"/>
      <c r="UKB44" s="1004"/>
      <c r="UKC44" s="1004"/>
      <c r="UKD44" s="1004"/>
      <c r="UKE44" s="1004"/>
      <c r="UKF44" s="1004"/>
      <c r="UKG44" s="1004"/>
      <c r="UKH44" s="1004"/>
      <c r="UKI44" s="1004"/>
      <c r="UKJ44" s="1004"/>
      <c r="UKK44" s="1004"/>
      <c r="UKL44" s="1004"/>
      <c r="UKM44" s="1004"/>
      <c r="UKN44" s="1004"/>
      <c r="UKO44" s="1004"/>
      <c r="UKP44" s="1004"/>
      <c r="UKQ44" s="1004"/>
      <c r="UKR44" s="1004"/>
      <c r="UKS44" s="1004"/>
      <c r="UKT44" s="1004"/>
      <c r="UKU44" s="1004"/>
      <c r="UKV44" s="1004"/>
      <c r="UKW44" s="1004"/>
      <c r="UKX44" s="1004"/>
      <c r="UKY44" s="1004"/>
      <c r="UKZ44" s="1004"/>
      <c r="ULA44" s="1004"/>
      <c r="ULB44" s="1004"/>
      <c r="ULC44" s="1004"/>
      <c r="ULD44" s="1004"/>
      <c r="ULE44" s="1004"/>
      <c r="ULF44" s="1004"/>
      <c r="ULG44" s="1004"/>
      <c r="ULH44" s="1004"/>
      <c r="ULI44" s="1004"/>
      <c r="ULJ44" s="1004"/>
      <c r="ULK44" s="1004"/>
      <c r="ULL44" s="1004"/>
      <c r="ULM44" s="1004"/>
      <c r="ULN44" s="1004"/>
      <c r="ULO44" s="1004"/>
      <c r="ULP44" s="1004"/>
      <c r="ULQ44" s="1004"/>
      <c r="ULR44" s="1004"/>
      <c r="ULS44" s="1004"/>
      <c r="ULT44" s="1004"/>
      <c r="ULU44" s="1004"/>
      <c r="ULV44" s="1004"/>
      <c r="ULW44" s="1004"/>
      <c r="ULX44" s="1004"/>
      <c r="ULY44" s="1004"/>
      <c r="ULZ44" s="1004"/>
      <c r="UMA44" s="1004"/>
      <c r="UMB44" s="1004"/>
      <c r="UMC44" s="1004"/>
      <c r="UMD44" s="1004"/>
      <c r="UME44" s="1004"/>
      <c r="UMF44" s="1004"/>
      <c r="UMG44" s="1004"/>
      <c r="UMH44" s="1004"/>
      <c r="UMI44" s="1004"/>
      <c r="UMJ44" s="1004"/>
      <c r="UMK44" s="1004"/>
      <c r="UML44" s="1004"/>
      <c r="UMM44" s="1004"/>
      <c r="UMN44" s="1004"/>
      <c r="UMO44" s="1004"/>
      <c r="UMP44" s="1004"/>
      <c r="UMQ44" s="1004"/>
      <c r="UMR44" s="1004"/>
      <c r="UMS44" s="1004"/>
      <c r="UMT44" s="1004"/>
      <c r="UMU44" s="1004"/>
      <c r="UMV44" s="1004"/>
      <c r="UMW44" s="1004"/>
      <c r="UMX44" s="1004"/>
      <c r="UMY44" s="1004"/>
      <c r="UMZ44" s="1004"/>
      <c r="UNA44" s="1004"/>
      <c r="UNB44" s="1004"/>
      <c r="UNC44" s="1004"/>
      <c r="UND44" s="1004"/>
      <c r="UNE44" s="1004"/>
      <c r="UNF44" s="1004"/>
      <c r="UNG44" s="1004"/>
      <c r="UNH44" s="1004"/>
      <c r="UNI44" s="1004"/>
      <c r="UNJ44" s="1004"/>
      <c r="UNK44" s="1004"/>
      <c r="UNL44" s="1004"/>
      <c r="UNM44" s="1004"/>
      <c r="UNN44" s="1004"/>
      <c r="UNO44" s="1004"/>
      <c r="UNP44" s="1004"/>
      <c r="UNQ44" s="1004"/>
      <c r="UNR44" s="1004"/>
      <c r="UNS44" s="1004"/>
      <c r="UNT44" s="1004"/>
      <c r="UNU44" s="1004"/>
      <c r="UNV44" s="1004"/>
      <c r="UNW44" s="1004"/>
      <c r="UNX44" s="1004"/>
      <c r="UNY44" s="1004"/>
      <c r="UNZ44" s="1004"/>
      <c r="UOA44" s="1004"/>
      <c r="UOB44" s="1004"/>
      <c r="UOC44" s="1004"/>
      <c r="UOD44" s="1004"/>
      <c r="UOE44" s="1004"/>
      <c r="UOF44" s="1004"/>
      <c r="UOG44" s="1004"/>
      <c r="UOH44" s="1004"/>
      <c r="UOI44" s="1004"/>
      <c r="UOJ44" s="1004"/>
      <c r="UOK44" s="1004"/>
      <c r="UOL44" s="1004"/>
      <c r="UOM44" s="1004"/>
      <c r="UON44" s="1004"/>
      <c r="UOO44" s="1004"/>
      <c r="UOP44" s="1004"/>
      <c r="UOQ44" s="1004"/>
      <c r="UOR44" s="1004"/>
      <c r="UOS44" s="1004"/>
      <c r="UOT44" s="1004"/>
      <c r="UOU44" s="1004"/>
      <c r="UOV44" s="1004"/>
      <c r="UOW44" s="1004"/>
      <c r="UOX44" s="1004"/>
      <c r="UOY44" s="1004"/>
      <c r="UOZ44" s="1004"/>
      <c r="UPA44" s="1004"/>
      <c r="UPB44" s="1004"/>
      <c r="UPC44" s="1004"/>
      <c r="UPD44" s="1004"/>
      <c r="UPE44" s="1004"/>
      <c r="UPF44" s="1004"/>
      <c r="UPG44" s="1004"/>
      <c r="UPH44" s="1004"/>
      <c r="UPI44" s="1004"/>
      <c r="UPJ44" s="1004"/>
      <c r="UPK44" s="1004"/>
      <c r="UPL44" s="1004"/>
      <c r="UPM44" s="1004"/>
      <c r="UPN44" s="1004"/>
      <c r="UPO44" s="1004"/>
      <c r="UPP44" s="1004"/>
      <c r="UPQ44" s="1004"/>
      <c r="UPR44" s="1004"/>
      <c r="UPS44" s="1004"/>
      <c r="UPT44" s="1004"/>
      <c r="UPU44" s="1004"/>
      <c r="UPV44" s="1004"/>
      <c r="UPW44" s="1004"/>
      <c r="UPX44" s="1004"/>
      <c r="UPY44" s="1004"/>
      <c r="UPZ44" s="1004"/>
      <c r="UQA44" s="1004"/>
      <c r="UQB44" s="1004"/>
      <c r="UQC44" s="1004"/>
      <c r="UQD44" s="1004"/>
      <c r="UQE44" s="1004"/>
      <c r="UQF44" s="1004"/>
      <c r="UQG44" s="1004"/>
      <c r="UQH44" s="1004"/>
      <c r="UQI44" s="1004"/>
      <c r="UQJ44" s="1004"/>
      <c r="UQK44" s="1004"/>
      <c r="UQL44" s="1004"/>
      <c r="UQM44" s="1004"/>
      <c r="UQN44" s="1004"/>
      <c r="UQO44" s="1004"/>
      <c r="UQP44" s="1004"/>
      <c r="UQQ44" s="1004"/>
      <c r="UQR44" s="1004"/>
      <c r="UQS44" s="1004"/>
      <c r="UQT44" s="1004"/>
      <c r="UQU44" s="1004"/>
      <c r="UQV44" s="1004"/>
      <c r="UQW44" s="1004"/>
      <c r="UQX44" s="1004"/>
      <c r="UQY44" s="1004"/>
      <c r="UQZ44" s="1004"/>
      <c r="URA44" s="1004"/>
      <c r="URB44" s="1004"/>
      <c r="URC44" s="1004"/>
      <c r="URD44" s="1004"/>
      <c r="URE44" s="1004"/>
      <c r="URF44" s="1004"/>
      <c r="URG44" s="1004"/>
      <c r="URH44" s="1004"/>
      <c r="URI44" s="1004"/>
      <c r="URJ44" s="1004"/>
      <c r="URK44" s="1004"/>
      <c r="URL44" s="1004"/>
      <c r="URM44" s="1004"/>
      <c r="URN44" s="1004"/>
      <c r="URO44" s="1004"/>
      <c r="URP44" s="1004"/>
      <c r="URQ44" s="1004"/>
      <c r="URR44" s="1004"/>
      <c r="URS44" s="1004"/>
      <c r="URT44" s="1004"/>
      <c r="URU44" s="1004"/>
      <c r="URV44" s="1004"/>
      <c r="URW44" s="1004"/>
      <c r="URX44" s="1004"/>
      <c r="URY44" s="1004"/>
      <c r="URZ44" s="1004"/>
      <c r="USA44" s="1004"/>
      <c r="USB44" s="1004"/>
      <c r="USC44" s="1004"/>
      <c r="USD44" s="1004"/>
      <c r="USE44" s="1004"/>
      <c r="USF44" s="1004"/>
      <c r="USG44" s="1004"/>
      <c r="USH44" s="1004"/>
      <c r="USI44" s="1004"/>
      <c r="USJ44" s="1004"/>
      <c r="USK44" s="1004"/>
      <c r="USL44" s="1004"/>
      <c r="USM44" s="1004"/>
      <c r="USN44" s="1004"/>
      <c r="USO44" s="1004"/>
      <c r="USP44" s="1004"/>
      <c r="USQ44" s="1004"/>
      <c r="USR44" s="1004"/>
      <c r="USS44" s="1004"/>
      <c r="UST44" s="1004"/>
      <c r="USU44" s="1004"/>
      <c r="USV44" s="1004"/>
      <c r="USW44" s="1004"/>
      <c r="USX44" s="1004"/>
      <c r="USY44" s="1004"/>
      <c r="USZ44" s="1004"/>
      <c r="UTA44" s="1004"/>
      <c r="UTB44" s="1004"/>
      <c r="UTC44" s="1004"/>
      <c r="UTD44" s="1004"/>
      <c r="UTE44" s="1004"/>
      <c r="UTF44" s="1004"/>
      <c r="UTG44" s="1004"/>
      <c r="UTH44" s="1004"/>
      <c r="UTI44" s="1004"/>
      <c r="UTJ44" s="1004"/>
      <c r="UTK44" s="1004"/>
      <c r="UTL44" s="1004"/>
      <c r="UTM44" s="1004"/>
      <c r="UTN44" s="1004"/>
      <c r="UTO44" s="1004"/>
      <c r="UTP44" s="1004"/>
      <c r="UTQ44" s="1004"/>
      <c r="UTR44" s="1004"/>
      <c r="UTS44" s="1004"/>
      <c r="UTT44" s="1004"/>
      <c r="UTU44" s="1004"/>
      <c r="UTV44" s="1004"/>
      <c r="UTW44" s="1004"/>
      <c r="UTX44" s="1004"/>
      <c r="UTY44" s="1004"/>
      <c r="UTZ44" s="1004"/>
      <c r="UUA44" s="1004"/>
      <c r="UUB44" s="1004"/>
      <c r="UUC44" s="1004"/>
      <c r="UUD44" s="1004"/>
      <c r="UUE44" s="1004"/>
      <c r="UUF44" s="1004"/>
      <c r="UUG44" s="1004"/>
      <c r="UUH44" s="1004"/>
      <c r="UUI44" s="1004"/>
      <c r="UUJ44" s="1004"/>
      <c r="UUK44" s="1004"/>
      <c r="UUL44" s="1004"/>
      <c r="UUM44" s="1004"/>
      <c r="UUN44" s="1004"/>
      <c r="UUO44" s="1004"/>
      <c r="UUP44" s="1004"/>
      <c r="UUQ44" s="1004"/>
      <c r="UUR44" s="1004"/>
      <c r="UUS44" s="1004"/>
      <c r="UUT44" s="1004"/>
      <c r="UUU44" s="1004"/>
      <c r="UUV44" s="1004"/>
      <c r="UUW44" s="1004"/>
      <c r="UUX44" s="1004"/>
      <c r="UUY44" s="1004"/>
      <c r="UUZ44" s="1004"/>
      <c r="UVA44" s="1004"/>
      <c r="UVB44" s="1004"/>
      <c r="UVC44" s="1004"/>
      <c r="UVD44" s="1004"/>
      <c r="UVE44" s="1004"/>
      <c r="UVF44" s="1004"/>
      <c r="UVG44" s="1004"/>
      <c r="UVH44" s="1004"/>
      <c r="UVI44" s="1004"/>
      <c r="UVJ44" s="1004"/>
      <c r="UVK44" s="1004"/>
      <c r="UVL44" s="1004"/>
      <c r="UVM44" s="1004"/>
      <c r="UVN44" s="1004"/>
      <c r="UVO44" s="1004"/>
      <c r="UVP44" s="1004"/>
      <c r="UVQ44" s="1004"/>
      <c r="UVR44" s="1004"/>
      <c r="UVS44" s="1004"/>
      <c r="UVT44" s="1004"/>
      <c r="UVU44" s="1004"/>
      <c r="UVV44" s="1004"/>
      <c r="UVW44" s="1004"/>
      <c r="UVX44" s="1004"/>
      <c r="UVY44" s="1004"/>
      <c r="UVZ44" s="1004"/>
      <c r="UWA44" s="1004"/>
      <c r="UWB44" s="1004"/>
      <c r="UWC44" s="1004"/>
      <c r="UWD44" s="1004"/>
      <c r="UWE44" s="1004"/>
      <c r="UWF44" s="1004"/>
      <c r="UWG44" s="1004"/>
      <c r="UWH44" s="1004"/>
      <c r="UWI44" s="1004"/>
      <c r="UWJ44" s="1004"/>
      <c r="UWK44" s="1004"/>
      <c r="UWL44" s="1004"/>
      <c r="UWM44" s="1004"/>
      <c r="UWN44" s="1004"/>
      <c r="UWO44" s="1004"/>
      <c r="UWP44" s="1004"/>
      <c r="UWQ44" s="1004"/>
      <c r="UWR44" s="1004"/>
      <c r="UWS44" s="1004"/>
      <c r="UWT44" s="1004"/>
      <c r="UWU44" s="1004"/>
      <c r="UWV44" s="1004"/>
      <c r="UWW44" s="1004"/>
      <c r="UWX44" s="1004"/>
      <c r="UWY44" s="1004"/>
      <c r="UWZ44" s="1004"/>
      <c r="UXA44" s="1004"/>
      <c r="UXB44" s="1004"/>
      <c r="UXC44" s="1004"/>
      <c r="UXD44" s="1004"/>
      <c r="UXE44" s="1004"/>
      <c r="UXF44" s="1004"/>
      <c r="UXG44" s="1004"/>
      <c r="UXH44" s="1004"/>
      <c r="UXI44" s="1004"/>
      <c r="UXJ44" s="1004"/>
      <c r="UXK44" s="1004"/>
      <c r="UXL44" s="1004"/>
      <c r="UXM44" s="1004"/>
      <c r="UXN44" s="1004"/>
      <c r="UXO44" s="1004"/>
      <c r="UXP44" s="1004"/>
      <c r="UXQ44" s="1004"/>
      <c r="UXR44" s="1004"/>
      <c r="UXS44" s="1004"/>
      <c r="UXT44" s="1004"/>
      <c r="UXU44" s="1004"/>
      <c r="UXV44" s="1004"/>
      <c r="UXW44" s="1004"/>
      <c r="UXX44" s="1004"/>
      <c r="UXY44" s="1004"/>
      <c r="UXZ44" s="1004"/>
      <c r="UYA44" s="1004"/>
      <c r="UYB44" s="1004"/>
      <c r="UYC44" s="1004"/>
      <c r="UYD44" s="1004"/>
      <c r="UYE44" s="1004"/>
      <c r="UYF44" s="1004"/>
      <c r="UYG44" s="1004"/>
      <c r="UYH44" s="1004"/>
      <c r="UYI44" s="1004"/>
      <c r="UYJ44" s="1004"/>
      <c r="UYK44" s="1004"/>
      <c r="UYL44" s="1004"/>
      <c r="UYM44" s="1004"/>
      <c r="UYN44" s="1004"/>
      <c r="UYO44" s="1004"/>
      <c r="UYP44" s="1004"/>
      <c r="UYQ44" s="1004"/>
      <c r="UYR44" s="1004"/>
      <c r="UYS44" s="1004"/>
      <c r="UYT44" s="1004"/>
      <c r="UYU44" s="1004"/>
      <c r="UYV44" s="1004"/>
      <c r="UYW44" s="1004"/>
      <c r="UYX44" s="1004"/>
      <c r="UYY44" s="1004"/>
      <c r="UYZ44" s="1004"/>
      <c r="UZA44" s="1004"/>
      <c r="UZB44" s="1004"/>
      <c r="UZC44" s="1004"/>
      <c r="UZD44" s="1004"/>
      <c r="UZE44" s="1004"/>
      <c r="UZF44" s="1004"/>
      <c r="UZG44" s="1004"/>
      <c r="UZH44" s="1004"/>
      <c r="UZI44" s="1004"/>
      <c r="UZJ44" s="1004"/>
      <c r="UZK44" s="1004"/>
      <c r="UZL44" s="1004"/>
      <c r="UZM44" s="1004"/>
      <c r="UZN44" s="1004"/>
      <c r="UZO44" s="1004"/>
      <c r="UZP44" s="1004"/>
      <c r="UZQ44" s="1004"/>
      <c r="UZR44" s="1004"/>
      <c r="UZS44" s="1004"/>
      <c r="UZT44" s="1004"/>
      <c r="UZU44" s="1004"/>
      <c r="UZV44" s="1004"/>
      <c r="UZW44" s="1004"/>
      <c r="UZX44" s="1004"/>
      <c r="UZY44" s="1004"/>
      <c r="UZZ44" s="1004"/>
      <c r="VAA44" s="1004"/>
      <c r="VAB44" s="1004"/>
      <c r="VAC44" s="1004"/>
      <c r="VAD44" s="1004"/>
      <c r="VAE44" s="1004"/>
      <c r="VAF44" s="1004"/>
      <c r="VAG44" s="1004"/>
      <c r="VAH44" s="1004"/>
      <c r="VAI44" s="1004"/>
      <c r="VAJ44" s="1004"/>
      <c r="VAK44" s="1004"/>
      <c r="VAL44" s="1004"/>
      <c r="VAM44" s="1004"/>
      <c r="VAN44" s="1004"/>
      <c r="VAO44" s="1004"/>
      <c r="VAP44" s="1004"/>
      <c r="VAQ44" s="1004"/>
      <c r="VAR44" s="1004"/>
      <c r="VAS44" s="1004"/>
      <c r="VAT44" s="1004"/>
      <c r="VAU44" s="1004"/>
      <c r="VAV44" s="1004"/>
      <c r="VAW44" s="1004"/>
      <c r="VAX44" s="1004"/>
      <c r="VAY44" s="1004"/>
      <c r="VAZ44" s="1004"/>
      <c r="VBA44" s="1004"/>
      <c r="VBB44" s="1004"/>
      <c r="VBC44" s="1004"/>
      <c r="VBD44" s="1004"/>
      <c r="VBE44" s="1004"/>
      <c r="VBF44" s="1004"/>
      <c r="VBG44" s="1004"/>
      <c r="VBH44" s="1004"/>
      <c r="VBI44" s="1004"/>
      <c r="VBJ44" s="1004"/>
      <c r="VBK44" s="1004"/>
      <c r="VBL44" s="1004"/>
      <c r="VBM44" s="1004"/>
      <c r="VBN44" s="1004"/>
      <c r="VBO44" s="1004"/>
      <c r="VBP44" s="1004"/>
      <c r="VBQ44" s="1004"/>
      <c r="VBR44" s="1004"/>
      <c r="VBS44" s="1004"/>
      <c r="VBT44" s="1004"/>
      <c r="VBU44" s="1004"/>
      <c r="VBV44" s="1004"/>
      <c r="VBW44" s="1004"/>
      <c r="VBX44" s="1004"/>
      <c r="VBY44" s="1004"/>
      <c r="VBZ44" s="1004"/>
      <c r="VCA44" s="1004"/>
      <c r="VCB44" s="1004"/>
      <c r="VCC44" s="1004"/>
      <c r="VCD44" s="1004"/>
      <c r="VCE44" s="1004"/>
      <c r="VCF44" s="1004"/>
      <c r="VCG44" s="1004"/>
      <c r="VCH44" s="1004"/>
      <c r="VCI44" s="1004"/>
      <c r="VCJ44" s="1004"/>
      <c r="VCK44" s="1004"/>
      <c r="VCL44" s="1004"/>
      <c r="VCM44" s="1004"/>
      <c r="VCN44" s="1004"/>
      <c r="VCO44" s="1004"/>
      <c r="VCP44" s="1004"/>
      <c r="VCQ44" s="1004"/>
      <c r="VCR44" s="1004"/>
      <c r="VCS44" s="1004"/>
      <c r="VCT44" s="1004"/>
      <c r="VCU44" s="1004"/>
      <c r="VCV44" s="1004"/>
      <c r="VCW44" s="1004"/>
      <c r="VCX44" s="1004"/>
      <c r="VCY44" s="1004"/>
      <c r="VCZ44" s="1004"/>
      <c r="VDA44" s="1004"/>
      <c r="VDB44" s="1004"/>
      <c r="VDC44" s="1004"/>
      <c r="VDD44" s="1004"/>
      <c r="VDE44" s="1004"/>
      <c r="VDF44" s="1004"/>
      <c r="VDG44" s="1004"/>
      <c r="VDH44" s="1004"/>
      <c r="VDI44" s="1004"/>
      <c r="VDJ44" s="1004"/>
      <c r="VDK44" s="1004"/>
      <c r="VDL44" s="1004"/>
      <c r="VDM44" s="1004"/>
      <c r="VDN44" s="1004"/>
      <c r="VDO44" s="1004"/>
      <c r="VDP44" s="1004"/>
      <c r="VDQ44" s="1004"/>
      <c r="VDR44" s="1004"/>
      <c r="VDS44" s="1004"/>
      <c r="VDT44" s="1004"/>
      <c r="VDU44" s="1004"/>
      <c r="VDV44" s="1004"/>
      <c r="VDW44" s="1004"/>
      <c r="VDX44" s="1004"/>
      <c r="VDY44" s="1004"/>
      <c r="VDZ44" s="1004"/>
      <c r="VEA44" s="1004"/>
      <c r="VEB44" s="1004"/>
      <c r="VEC44" s="1004"/>
      <c r="VED44" s="1004"/>
      <c r="VEE44" s="1004"/>
      <c r="VEF44" s="1004"/>
      <c r="VEG44" s="1004"/>
      <c r="VEH44" s="1004"/>
      <c r="VEI44" s="1004"/>
      <c r="VEJ44" s="1004"/>
      <c r="VEK44" s="1004"/>
      <c r="VEL44" s="1004"/>
      <c r="VEM44" s="1004"/>
      <c r="VEN44" s="1004"/>
      <c r="VEO44" s="1004"/>
      <c r="VEP44" s="1004"/>
      <c r="VEQ44" s="1004"/>
      <c r="VER44" s="1004"/>
      <c r="VES44" s="1004"/>
      <c r="VET44" s="1004"/>
      <c r="VEU44" s="1004"/>
      <c r="VEV44" s="1004"/>
      <c r="VEW44" s="1004"/>
      <c r="VEX44" s="1004"/>
      <c r="VEY44" s="1004"/>
      <c r="VEZ44" s="1004"/>
      <c r="VFA44" s="1004"/>
      <c r="VFB44" s="1004"/>
      <c r="VFC44" s="1004"/>
      <c r="VFD44" s="1004"/>
      <c r="VFE44" s="1004"/>
      <c r="VFF44" s="1004"/>
      <c r="VFG44" s="1004"/>
      <c r="VFH44" s="1004"/>
      <c r="VFI44" s="1004"/>
      <c r="VFJ44" s="1004"/>
      <c r="VFK44" s="1004"/>
      <c r="VFL44" s="1004"/>
      <c r="VFM44" s="1004"/>
      <c r="VFN44" s="1004"/>
      <c r="VFO44" s="1004"/>
      <c r="VFP44" s="1004"/>
      <c r="VFQ44" s="1004"/>
      <c r="VFR44" s="1004"/>
      <c r="VFS44" s="1004"/>
      <c r="VFT44" s="1004"/>
      <c r="VFU44" s="1004"/>
      <c r="VFV44" s="1004"/>
      <c r="VFW44" s="1004"/>
      <c r="VFX44" s="1004"/>
      <c r="VFY44" s="1004"/>
      <c r="VFZ44" s="1004"/>
      <c r="VGA44" s="1004"/>
      <c r="VGB44" s="1004"/>
      <c r="VGC44" s="1004"/>
      <c r="VGD44" s="1004"/>
      <c r="VGE44" s="1004"/>
      <c r="VGF44" s="1004"/>
      <c r="VGG44" s="1004"/>
      <c r="VGH44" s="1004"/>
      <c r="VGI44" s="1004"/>
      <c r="VGJ44" s="1004"/>
      <c r="VGK44" s="1004"/>
      <c r="VGL44" s="1004"/>
      <c r="VGM44" s="1004"/>
      <c r="VGN44" s="1004"/>
      <c r="VGO44" s="1004"/>
      <c r="VGP44" s="1004"/>
      <c r="VGQ44" s="1004"/>
      <c r="VGR44" s="1004"/>
      <c r="VGS44" s="1004"/>
      <c r="VGT44" s="1004"/>
      <c r="VGU44" s="1004"/>
      <c r="VGV44" s="1004"/>
      <c r="VGW44" s="1004"/>
      <c r="VGX44" s="1004"/>
      <c r="VGY44" s="1004"/>
      <c r="VGZ44" s="1004"/>
      <c r="VHA44" s="1004"/>
      <c r="VHB44" s="1004"/>
      <c r="VHC44" s="1004"/>
      <c r="VHD44" s="1004"/>
      <c r="VHE44" s="1004"/>
      <c r="VHF44" s="1004"/>
      <c r="VHG44" s="1004"/>
      <c r="VHH44" s="1004"/>
      <c r="VHI44" s="1004"/>
      <c r="VHJ44" s="1004"/>
      <c r="VHK44" s="1004"/>
      <c r="VHL44" s="1004"/>
      <c r="VHM44" s="1004"/>
      <c r="VHN44" s="1004"/>
      <c r="VHO44" s="1004"/>
      <c r="VHP44" s="1004"/>
      <c r="VHQ44" s="1004"/>
      <c r="VHR44" s="1004"/>
      <c r="VHS44" s="1004"/>
      <c r="VHT44" s="1004"/>
      <c r="VHU44" s="1004"/>
      <c r="VHV44" s="1004"/>
      <c r="VHW44" s="1004"/>
      <c r="VHX44" s="1004"/>
      <c r="VHY44" s="1004"/>
      <c r="VHZ44" s="1004"/>
      <c r="VIA44" s="1004"/>
      <c r="VIB44" s="1004"/>
      <c r="VIC44" s="1004"/>
      <c r="VID44" s="1004"/>
      <c r="VIE44" s="1004"/>
      <c r="VIF44" s="1004"/>
      <c r="VIG44" s="1004"/>
      <c r="VIH44" s="1004"/>
      <c r="VII44" s="1004"/>
      <c r="VIJ44" s="1004"/>
      <c r="VIK44" s="1004"/>
      <c r="VIL44" s="1004"/>
      <c r="VIM44" s="1004"/>
      <c r="VIN44" s="1004"/>
      <c r="VIO44" s="1004"/>
      <c r="VIP44" s="1004"/>
      <c r="VIQ44" s="1004"/>
      <c r="VIR44" s="1004"/>
      <c r="VIS44" s="1004"/>
      <c r="VIT44" s="1004"/>
      <c r="VIU44" s="1004"/>
      <c r="VIV44" s="1004"/>
      <c r="VIW44" s="1004"/>
      <c r="VIX44" s="1004"/>
      <c r="VIY44" s="1004"/>
      <c r="VIZ44" s="1004"/>
      <c r="VJA44" s="1004"/>
      <c r="VJB44" s="1004"/>
      <c r="VJC44" s="1004"/>
      <c r="VJD44" s="1004"/>
      <c r="VJE44" s="1004"/>
      <c r="VJF44" s="1004"/>
      <c r="VJG44" s="1004"/>
      <c r="VJH44" s="1004"/>
      <c r="VJI44" s="1004"/>
      <c r="VJJ44" s="1004"/>
      <c r="VJK44" s="1004"/>
      <c r="VJL44" s="1004"/>
      <c r="VJM44" s="1004"/>
      <c r="VJN44" s="1004"/>
      <c r="VJO44" s="1004"/>
      <c r="VJP44" s="1004"/>
      <c r="VJQ44" s="1004"/>
      <c r="VJR44" s="1004"/>
      <c r="VJS44" s="1004"/>
      <c r="VJT44" s="1004"/>
      <c r="VJU44" s="1004"/>
      <c r="VJV44" s="1004"/>
      <c r="VJW44" s="1004"/>
      <c r="VJX44" s="1004"/>
      <c r="VJY44" s="1004"/>
      <c r="VJZ44" s="1004"/>
      <c r="VKA44" s="1004"/>
      <c r="VKB44" s="1004"/>
      <c r="VKC44" s="1004"/>
      <c r="VKD44" s="1004"/>
      <c r="VKE44" s="1004"/>
      <c r="VKF44" s="1004"/>
      <c r="VKG44" s="1004"/>
      <c r="VKH44" s="1004"/>
      <c r="VKI44" s="1004"/>
      <c r="VKJ44" s="1004"/>
      <c r="VKK44" s="1004"/>
      <c r="VKL44" s="1004"/>
      <c r="VKM44" s="1004"/>
      <c r="VKN44" s="1004"/>
      <c r="VKO44" s="1004"/>
      <c r="VKP44" s="1004"/>
      <c r="VKQ44" s="1004"/>
      <c r="VKR44" s="1004"/>
      <c r="VKS44" s="1004"/>
      <c r="VKT44" s="1004"/>
      <c r="VKU44" s="1004"/>
      <c r="VKV44" s="1004"/>
      <c r="VKW44" s="1004"/>
      <c r="VKX44" s="1004"/>
      <c r="VKY44" s="1004"/>
      <c r="VKZ44" s="1004"/>
      <c r="VLA44" s="1004"/>
      <c r="VLB44" s="1004"/>
      <c r="VLC44" s="1004"/>
      <c r="VLD44" s="1004"/>
      <c r="VLE44" s="1004"/>
      <c r="VLF44" s="1004"/>
      <c r="VLG44" s="1004"/>
      <c r="VLH44" s="1004"/>
      <c r="VLI44" s="1004"/>
      <c r="VLJ44" s="1004"/>
      <c r="VLK44" s="1004"/>
      <c r="VLL44" s="1004"/>
      <c r="VLM44" s="1004"/>
      <c r="VLN44" s="1004"/>
      <c r="VLO44" s="1004"/>
      <c r="VLP44" s="1004"/>
      <c r="VLQ44" s="1004"/>
      <c r="VLR44" s="1004"/>
      <c r="VLS44" s="1004"/>
      <c r="VLT44" s="1004"/>
      <c r="VLU44" s="1004"/>
      <c r="VLV44" s="1004"/>
      <c r="VLW44" s="1004"/>
      <c r="VLX44" s="1004"/>
      <c r="VLY44" s="1004"/>
      <c r="VLZ44" s="1004"/>
      <c r="VMA44" s="1004"/>
      <c r="VMB44" s="1004"/>
      <c r="VMC44" s="1004"/>
      <c r="VMD44" s="1004"/>
      <c r="VME44" s="1004"/>
      <c r="VMF44" s="1004"/>
      <c r="VMG44" s="1004"/>
      <c r="VMH44" s="1004"/>
      <c r="VMI44" s="1004"/>
      <c r="VMJ44" s="1004"/>
      <c r="VMK44" s="1004"/>
      <c r="VML44" s="1004"/>
      <c r="VMM44" s="1004"/>
      <c r="VMN44" s="1004"/>
      <c r="VMO44" s="1004"/>
      <c r="VMP44" s="1004"/>
      <c r="VMQ44" s="1004"/>
      <c r="VMR44" s="1004"/>
      <c r="VMS44" s="1004"/>
      <c r="VMT44" s="1004"/>
      <c r="VMU44" s="1004"/>
      <c r="VMV44" s="1004"/>
      <c r="VMW44" s="1004"/>
      <c r="VMX44" s="1004"/>
      <c r="VMY44" s="1004"/>
      <c r="VMZ44" s="1004"/>
      <c r="VNA44" s="1004"/>
      <c r="VNB44" s="1004"/>
      <c r="VNC44" s="1004"/>
      <c r="VND44" s="1004"/>
      <c r="VNE44" s="1004"/>
      <c r="VNF44" s="1004"/>
      <c r="VNG44" s="1004"/>
      <c r="VNH44" s="1004"/>
      <c r="VNI44" s="1004"/>
      <c r="VNJ44" s="1004"/>
      <c r="VNK44" s="1004"/>
      <c r="VNL44" s="1004"/>
      <c r="VNM44" s="1004"/>
      <c r="VNN44" s="1004"/>
      <c r="VNO44" s="1004"/>
      <c r="VNP44" s="1004"/>
      <c r="VNQ44" s="1004"/>
      <c r="VNR44" s="1004"/>
      <c r="VNS44" s="1004"/>
      <c r="VNT44" s="1004"/>
      <c r="VNU44" s="1004"/>
      <c r="VNV44" s="1004"/>
      <c r="VNW44" s="1004"/>
      <c r="VNX44" s="1004"/>
      <c r="VNY44" s="1004"/>
      <c r="VNZ44" s="1004"/>
      <c r="VOA44" s="1004"/>
      <c r="VOB44" s="1004"/>
      <c r="VOC44" s="1004"/>
      <c r="VOD44" s="1004"/>
      <c r="VOE44" s="1004"/>
      <c r="VOF44" s="1004"/>
      <c r="VOG44" s="1004"/>
      <c r="VOH44" s="1004"/>
      <c r="VOI44" s="1004"/>
      <c r="VOJ44" s="1004"/>
      <c r="VOK44" s="1004"/>
      <c r="VOL44" s="1004"/>
      <c r="VOM44" s="1004"/>
      <c r="VON44" s="1004"/>
      <c r="VOO44" s="1004"/>
      <c r="VOP44" s="1004"/>
      <c r="VOQ44" s="1004"/>
      <c r="VOR44" s="1004"/>
      <c r="VOS44" s="1004"/>
      <c r="VOT44" s="1004"/>
      <c r="VOU44" s="1004"/>
      <c r="VOV44" s="1004"/>
      <c r="VOW44" s="1004"/>
      <c r="VOX44" s="1004"/>
      <c r="VOY44" s="1004"/>
      <c r="VOZ44" s="1004"/>
      <c r="VPA44" s="1004"/>
      <c r="VPB44" s="1004"/>
      <c r="VPC44" s="1004"/>
      <c r="VPD44" s="1004"/>
      <c r="VPE44" s="1004"/>
      <c r="VPF44" s="1004"/>
      <c r="VPG44" s="1004"/>
      <c r="VPH44" s="1004"/>
      <c r="VPI44" s="1004"/>
      <c r="VPJ44" s="1004"/>
      <c r="VPK44" s="1004"/>
      <c r="VPL44" s="1004"/>
      <c r="VPM44" s="1004"/>
      <c r="VPN44" s="1004"/>
      <c r="VPO44" s="1004"/>
      <c r="VPP44" s="1004"/>
      <c r="VPQ44" s="1004"/>
      <c r="VPR44" s="1004"/>
      <c r="VPS44" s="1004"/>
      <c r="VPT44" s="1004"/>
      <c r="VPU44" s="1004"/>
      <c r="VPV44" s="1004"/>
      <c r="VPW44" s="1004"/>
      <c r="VPX44" s="1004"/>
      <c r="VPY44" s="1004"/>
      <c r="VPZ44" s="1004"/>
      <c r="VQA44" s="1004"/>
      <c r="VQB44" s="1004"/>
      <c r="VQC44" s="1004"/>
      <c r="VQD44" s="1004"/>
      <c r="VQE44" s="1004"/>
      <c r="VQF44" s="1004"/>
      <c r="VQG44" s="1004"/>
      <c r="VQH44" s="1004"/>
      <c r="VQI44" s="1004"/>
      <c r="VQJ44" s="1004"/>
      <c r="VQK44" s="1004"/>
      <c r="VQL44" s="1004"/>
      <c r="VQM44" s="1004"/>
      <c r="VQN44" s="1004"/>
      <c r="VQO44" s="1004"/>
      <c r="VQP44" s="1004"/>
      <c r="VQQ44" s="1004"/>
      <c r="VQR44" s="1004"/>
      <c r="VQS44" s="1004"/>
      <c r="VQT44" s="1004"/>
      <c r="VQU44" s="1004"/>
      <c r="VQV44" s="1004"/>
      <c r="VQW44" s="1004"/>
      <c r="VQX44" s="1004"/>
      <c r="VQY44" s="1004"/>
      <c r="VQZ44" s="1004"/>
      <c r="VRA44" s="1004"/>
      <c r="VRB44" s="1004"/>
      <c r="VRC44" s="1004"/>
      <c r="VRD44" s="1004"/>
      <c r="VRE44" s="1004"/>
      <c r="VRF44" s="1004"/>
      <c r="VRG44" s="1004"/>
      <c r="VRH44" s="1004"/>
      <c r="VRI44" s="1004"/>
      <c r="VRJ44" s="1004"/>
      <c r="VRK44" s="1004"/>
      <c r="VRL44" s="1004"/>
      <c r="VRM44" s="1004"/>
      <c r="VRN44" s="1004"/>
      <c r="VRO44" s="1004"/>
      <c r="VRP44" s="1004"/>
      <c r="VRQ44" s="1004"/>
      <c r="VRR44" s="1004"/>
      <c r="VRS44" s="1004"/>
      <c r="VRT44" s="1004"/>
      <c r="VRU44" s="1004"/>
      <c r="VRV44" s="1004"/>
      <c r="VRW44" s="1004"/>
      <c r="VRX44" s="1004"/>
      <c r="VRY44" s="1004"/>
      <c r="VRZ44" s="1004"/>
      <c r="VSA44" s="1004"/>
      <c r="VSB44" s="1004"/>
      <c r="VSC44" s="1004"/>
      <c r="VSD44" s="1004"/>
      <c r="VSE44" s="1004"/>
      <c r="VSF44" s="1004"/>
      <c r="VSG44" s="1004"/>
      <c r="VSH44" s="1004"/>
      <c r="VSI44" s="1004"/>
      <c r="VSJ44" s="1004"/>
      <c r="VSK44" s="1004"/>
      <c r="VSL44" s="1004"/>
      <c r="VSM44" s="1004"/>
      <c r="VSN44" s="1004"/>
      <c r="VSO44" s="1004"/>
      <c r="VSP44" s="1004"/>
      <c r="VSQ44" s="1004"/>
      <c r="VSR44" s="1004"/>
      <c r="VSS44" s="1004"/>
      <c r="VST44" s="1004"/>
      <c r="VSU44" s="1004"/>
      <c r="VSV44" s="1004"/>
      <c r="VSW44" s="1004"/>
      <c r="VSX44" s="1004"/>
      <c r="VSY44" s="1004"/>
      <c r="VSZ44" s="1004"/>
      <c r="VTA44" s="1004"/>
      <c r="VTB44" s="1004"/>
      <c r="VTC44" s="1004"/>
      <c r="VTD44" s="1004"/>
      <c r="VTE44" s="1004"/>
      <c r="VTF44" s="1004"/>
      <c r="VTG44" s="1004"/>
      <c r="VTH44" s="1004"/>
      <c r="VTI44" s="1004"/>
      <c r="VTJ44" s="1004"/>
      <c r="VTK44" s="1004"/>
      <c r="VTL44" s="1004"/>
      <c r="VTM44" s="1004"/>
      <c r="VTN44" s="1004"/>
      <c r="VTO44" s="1004"/>
      <c r="VTP44" s="1004"/>
      <c r="VTQ44" s="1004"/>
      <c r="VTR44" s="1004"/>
      <c r="VTS44" s="1004"/>
      <c r="VTT44" s="1004"/>
      <c r="VTU44" s="1004"/>
      <c r="VTV44" s="1004"/>
      <c r="VTW44" s="1004"/>
      <c r="VTX44" s="1004"/>
      <c r="VTY44" s="1004"/>
      <c r="VTZ44" s="1004"/>
      <c r="VUA44" s="1004"/>
      <c r="VUB44" s="1004"/>
      <c r="VUC44" s="1004"/>
      <c r="VUD44" s="1004"/>
      <c r="VUE44" s="1004"/>
      <c r="VUF44" s="1004"/>
      <c r="VUG44" s="1004"/>
      <c r="VUH44" s="1004"/>
      <c r="VUI44" s="1004"/>
      <c r="VUJ44" s="1004"/>
      <c r="VUK44" s="1004"/>
      <c r="VUL44" s="1004"/>
      <c r="VUM44" s="1004"/>
      <c r="VUN44" s="1004"/>
      <c r="VUO44" s="1004"/>
      <c r="VUP44" s="1004"/>
      <c r="VUQ44" s="1004"/>
      <c r="VUR44" s="1004"/>
      <c r="VUS44" s="1004"/>
      <c r="VUT44" s="1004"/>
      <c r="VUU44" s="1004"/>
      <c r="VUV44" s="1004"/>
      <c r="VUW44" s="1004"/>
      <c r="VUX44" s="1004"/>
      <c r="VUY44" s="1004"/>
      <c r="VUZ44" s="1004"/>
      <c r="VVA44" s="1004"/>
      <c r="VVB44" s="1004"/>
      <c r="VVC44" s="1004"/>
      <c r="VVD44" s="1004"/>
      <c r="VVE44" s="1004"/>
      <c r="VVF44" s="1004"/>
      <c r="VVG44" s="1004"/>
      <c r="VVH44" s="1004"/>
      <c r="VVI44" s="1004"/>
      <c r="VVJ44" s="1004"/>
      <c r="VVK44" s="1004"/>
      <c r="VVL44" s="1004"/>
      <c r="VVM44" s="1004"/>
      <c r="VVN44" s="1004"/>
      <c r="VVO44" s="1004"/>
      <c r="VVP44" s="1004"/>
      <c r="VVQ44" s="1004"/>
      <c r="VVR44" s="1004"/>
      <c r="VVS44" s="1004"/>
      <c r="VVT44" s="1004"/>
      <c r="VVU44" s="1004"/>
      <c r="VVV44" s="1004"/>
      <c r="VVW44" s="1004"/>
      <c r="VVX44" s="1004"/>
      <c r="VVY44" s="1004"/>
      <c r="VVZ44" s="1004"/>
      <c r="VWA44" s="1004"/>
      <c r="VWB44" s="1004"/>
      <c r="VWC44" s="1004"/>
      <c r="VWD44" s="1004"/>
      <c r="VWE44" s="1004"/>
      <c r="VWF44" s="1004"/>
      <c r="VWG44" s="1004"/>
      <c r="VWH44" s="1004"/>
      <c r="VWI44" s="1004"/>
      <c r="VWJ44" s="1004"/>
      <c r="VWK44" s="1004"/>
      <c r="VWL44" s="1004"/>
      <c r="VWM44" s="1004"/>
      <c r="VWN44" s="1004"/>
      <c r="VWO44" s="1004"/>
      <c r="VWP44" s="1004"/>
      <c r="VWQ44" s="1004"/>
      <c r="VWR44" s="1004"/>
      <c r="VWS44" s="1004"/>
      <c r="VWT44" s="1004"/>
      <c r="VWU44" s="1004"/>
      <c r="VWV44" s="1004"/>
      <c r="VWW44" s="1004"/>
      <c r="VWX44" s="1004"/>
      <c r="VWY44" s="1004"/>
      <c r="VWZ44" s="1004"/>
      <c r="VXA44" s="1004"/>
      <c r="VXB44" s="1004"/>
      <c r="VXC44" s="1004"/>
      <c r="VXD44" s="1004"/>
      <c r="VXE44" s="1004"/>
      <c r="VXF44" s="1004"/>
      <c r="VXG44" s="1004"/>
      <c r="VXH44" s="1004"/>
      <c r="VXI44" s="1004"/>
      <c r="VXJ44" s="1004"/>
      <c r="VXK44" s="1004"/>
      <c r="VXL44" s="1004"/>
      <c r="VXM44" s="1004"/>
      <c r="VXN44" s="1004"/>
      <c r="VXO44" s="1004"/>
      <c r="VXP44" s="1004"/>
      <c r="VXQ44" s="1004"/>
      <c r="VXR44" s="1004"/>
      <c r="VXS44" s="1004"/>
      <c r="VXT44" s="1004"/>
      <c r="VXU44" s="1004"/>
      <c r="VXV44" s="1004"/>
      <c r="VXW44" s="1004"/>
      <c r="VXX44" s="1004"/>
      <c r="VXY44" s="1004"/>
      <c r="VXZ44" s="1004"/>
      <c r="VYA44" s="1004"/>
      <c r="VYB44" s="1004"/>
      <c r="VYC44" s="1004"/>
      <c r="VYD44" s="1004"/>
      <c r="VYE44" s="1004"/>
      <c r="VYF44" s="1004"/>
      <c r="VYG44" s="1004"/>
      <c r="VYH44" s="1004"/>
      <c r="VYI44" s="1004"/>
      <c r="VYJ44" s="1004"/>
      <c r="VYK44" s="1004"/>
      <c r="VYL44" s="1004"/>
      <c r="VYM44" s="1004"/>
      <c r="VYN44" s="1004"/>
      <c r="VYO44" s="1004"/>
      <c r="VYP44" s="1004"/>
      <c r="VYQ44" s="1004"/>
      <c r="VYR44" s="1004"/>
      <c r="VYS44" s="1004"/>
      <c r="VYT44" s="1004"/>
      <c r="VYU44" s="1004"/>
      <c r="VYV44" s="1004"/>
      <c r="VYW44" s="1004"/>
      <c r="VYX44" s="1004"/>
      <c r="VYY44" s="1004"/>
      <c r="VYZ44" s="1004"/>
      <c r="VZA44" s="1004"/>
      <c r="VZB44" s="1004"/>
      <c r="VZC44" s="1004"/>
      <c r="VZD44" s="1004"/>
      <c r="VZE44" s="1004"/>
      <c r="VZF44" s="1004"/>
      <c r="VZG44" s="1004"/>
      <c r="VZH44" s="1004"/>
      <c r="VZI44" s="1004"/>
      <c r="VZJ44" s="1004"/>
      <c r="VZK44" s="1004"/>
      <c r="VZL44" s="1004"/>
      <c r="VZM44" s="1004"/>
      <c r="VZN44" s="1004"/>
      <c r="VZO44" s="1004"/>
      <c r="VZP44" s="1004"/>
      <c r="VZQ44" s="1004"/>
      <c r="VZR44" s="1004"/>
      <c r="VZS44" s="1004"/>
      <c r="VZT44" s="1004"/>
      <c r="VZU44" s="1004"/>
      <c r="VZV44" s="1004"/>
      <c r="VZW44" s="1004"/>
      <c r="VZX44" s="1004"/>
      <c r="VZY44" s="1004"/>
      <c r="VZZ44" s="1004"/>
      <c r="WAA44" s="1004"/>
      <c r="WAB44" s="1004"/>
      <c r="WAC44" s="1004"/>
      <c r="WAD44" s="1004"/>
      <c r="WAE44" s="1004"/>
      <c r="WAF44" s="1004"/>
      <c r="WAG44" s="1004"/>
      <c r="WAH44" s="1004"/>
      <c r="WAI44" s="1004"/>
      <c r="WAJ44" s="1004"/>
      <c r="WAK44" s="1004"/>
      <c r="WAL44" s="1004"/>
      <c r="WAM44" s="1004"/>
      <c r="WAN44" s="1004"/>
      <c r="WAO44" s="1004"/>
      <c r="WAP44" s="1004"/>
      <c r="WAQ44" s="1004"/>
      <c r="WAR44" s="1004"/>
      <c r="WAS44" s="1004"/>
      <c r="WAT44" s="1004"/>
      <c r="WAU44" s="1004"/>
      <c r="WAV44" s="1004"/>
      <c r="WAW44" s="1004"/>
      <c r="WAX44" s="1004"/>
      <c r="WAY44" s="1004"/>
      <c r="WAZ44" s="1004"/>
      <c r="WBA44" s="1004"/>
      <c r="WBB44" s="1004"/>
      <c r="WBC44" s="1004"/>
      <c r="WBD44" s="1004"/>
      <c r="WBE44" s="1004"/>
      <c r="WBF44" s="1004"/>
      <c r="WBG44" s="1004"/>
      <c r="WBH44" s="1004"/>
      <c r="WBI44" s="1004"/>
      <c r="WBJ44" s="1004"/>
      <c r="WBK44" s="1004"/>
      <c r="WBL44" s="1004"/>
      <c r="WBM44" s="1004"/>
      <c r="WBN44" s="1004"/>
      <c r="WBO44" s="1004"/>
      <c r="WBP44" s="1004"/>
      <c r="WBQ44" s="1004"/>
      <c r="WBR44" s="1004"/>
      <c r="WBS44" s="1004"/>
      <c r="WBT44" s="1004"/>
      <c r="WBU44" s="1004"/>
      <c r="WBV44" s="1004"/>
      <c r="WBW44" s="1004"/>
      <c r="WBX44" s="1004"/>
      <c r="WBY44" s="1004"/>
      <c r="WBZ44" s="1004"/>
      <c r="WCA44" s="1004"/>
      <c r="WCB44" s="1004"/>
      <c r="WCC44" s="1004"/>
      <c r="WCD44" s="1004"/>
      <c r="WCE44" s="1004"/>
      <c r="WCF44" s="1004"/>
      <c r="WCG44" s="1004"/>
      <c r="WCH44" s="1004"/>
      <c r="WCI44" s="1004"/>
      <c r="WCJ44" s="1004"/>
      <c r="WCK44" s="1004"/>
      <c r="WCL44" s="1004"/>
      <c r="WCM44" s="1004"/>
      <c r="WCN44" s="1004"/>
      <c r="WCO44" s="1004"/>
      <c r="WCP44" s="1004"/>
      <c r="WCQ44" s="1004"/>
      <c r="WCR44" s="1004"/>
      <c r="WCS44" s="1004"/>
      <c r="WCT44" s="1004"/>
      <c r="WCU44" s="1004"/>
      <c r="WCV44" s="1004"/>
      <c r="WCW44" s="1004"/>
      <c r="WCX44" s="1004"/>
      <c r="WCY44" s="1004"/>
      <c r="WCZ44" s="1004"/>
      <c r="WDA44" s="1004"/>
      <c r="WDB44" s="1004"/>
      <c r="WDC44" s="1004"/>
      <c r="WDD44" s="1004"/>
      <c r="WDE44" s="1004"/>
      <c r="WDF44" s="1004"/>
      <c r="WDG44" s="1004"/>
      <c r="WDH44" s="1004"/>
      <c r="WDI44" s="1004"/>
      <c r="WDJ44" s="1004"/>
      <c r="WDK44" s="1004"/>
      <c r="WDL44" s="1004"/>
      <c r="WDM44" s="1004"/>
      <c r="WDN44" s="1004"/>
      <c r="WDO44" s="1004"/>
      <c r="WDP44" s="1004"/>
      <c r="WDQ44" s="1004"/>
      <c r="WDR44" s="1004"/>
      <c r="WDS44" s="1004"/>
      <c r="WDT44" s="1004"/>
      <c r="WDU44" s="1004"/>
      <c r="WDV44" s="1004"/>
      <c r="WDW44" s="1004"/>
      <c r="WDX44" s="1004"/>
      <c r="WDY44" s="1004"/>
      <c r="WDZ44" s="1004"/>
      <c r="WEA44" s="1004"/>
      <c r="WEB44" s="1004"/>
      <c r="WEC44" s="1004"/>
      <c r="WED44" s="1004"/>
      <c r="WEE44" s="1004"/>
      <c r="WEF44" s="1004"/>
      <c r="WEG44" s="1004"/>
      <c r="WEH44" s="1004"/>
      <c r="WEI44" s="1004"/>
      <c r="WEJ44" s="1004"/>
      <c r="WEK44" s="1004"/>
      <c r="WEL44" s="1004"/>
      <c r="WEM44" s="1004"/>
      <c r="WEN44" s="1004"/>
      <c r="WEO44" s="1004"/>
      <c r="WEP44" s="1004"/>
      <c r="WEQ44" s="1004"/>
      <c r="WER44" s="1004"/>
      <c r="WES44" s="1004"/>
      <c r="WET44" s="1004"/>
      <c r="WEU44" s="1004"/>
      <c r="WEV44" s="1004"/>
      <c r="WEW44" s="1004"/>
      <c r="WEX44" s="1004"/>
      <c r="WEY44" s="1004"/>
      <c r="WEZ44" s="1004"/>
      <c r="WFA44" s="1004"/>
      <c r="WFB44" s="1004"/>
      <c r="WFC44" s="1004"/>
      <c r="WFD44" s="1004"/>
      <c r="WFE44" s="1004"/>
      <c r="WFF44" s="1004"/>
      <c r="WFG44" s="1004"/>
      <c r="WFH44" s="1004"/>
      <c r="WFI44" s="1004"/>
      <c r="WFJ44" s="1004"/>
      <c r="WFK44" s="1004"/>
      <c r="WFL44" s="1004"/>
      <c r="WFM44" s="1004"/>
      <c r="WFN44" s="1004"/>
      <c r="WFO44" s="1004"/>
      <c r="WFP44" s="1004"/>
      <c r="WFQ44" s="1004"/>
      <c r="WFR44" s="1004"/>
      <c r="WFS44" s="1004"/>
      <c r="WFT44" s="1004"/>
      <c r="WFU44" s="1004"/>
      <c r="WFV44" s="1004"/>
      <c r="WFW44" s="1004"/>
      <c r="WFX44" s="1004"/>
      <c r="WFY44" s="1004"/>
      <c r="WFZ44" s="1004"/>
      <c r="WGA44" s="1004"/>
      <c r="WGB44" s="1004"/>
      <c r="WGC44" s="1004"/>
      <c r="WGD44" s="1004"/>
      <c r="WGE44" s="1004"/>
      <c r="WGF44" s="1004"/>
      <c r="WGG44" s="1004"/>
      <c r="WGH44" s="1004"/>
      <c r="WGI44" s="1004"/>
      <c r="WGJ44" s="1004"/>
      <c r="WGK44" s="1004"/>
      <c r="WGL44" s="1004"/>
      <c r="WGM44" s="1004"/>
      <c r="WGN44" s="1004"/>
      <c r="WGO44" s="1004"/>
      <c r="WGP44" s="1004"/>
      <c r="WGQ44" s="1004"/>
      <c r="WGR44" s="1004"/>
      <c r="WGS44" s="1004"/>
      <c r="WGT44" s="1004"/>
      <c r="WGU44" s="1004"/>
      <c r="WGV44" s="1004"/>
      <c r="WGW44" s="1004"/>
      <c r="WGX44" s="1004"/>
      <c r="WGY44" s="1004"/>
      <c r="WGZ44" s="1004"/>
      <c r="WHA44" s="1004"/>
      <c r="WHB44" s="1004"/>
      <c r="WHC44" s="1004"/>
      <c r="WHD44" s="1004"/>
      <c r="WHE44" s="1004"/>
      <c r="WHF44" s="1004"/>
      <c r="WHG44" s="1004"/>
      <c r="WHH44" s="1004"/>
      <c r="WHI44" s="1004"/>
      <c r="WHJ44" s="1004"/>
      <c r="WHK44" s="1004"/>
      <c r="WHL44" s="1004"/>
      <c r="WHM44" s="1004"/>
      <c r="WHN44" s="1004"/>
      <c r="WHO44" s="1004"/>
      <c r="WHP44" s="1004"/>
      <c r="WHQ44" s="1004"/>
      <c r="WHR44" s="1004"/>
      <c r="WHS44" s="1004"/>
      <c r="WHT44" s="1004"/>
      <c r="WHU44" s="1004"/>
      <c r="WHV44" s="1004"/>
      <c r="WHW44" s="1004"/>
      <c r="WHX44" s="1004"/>
      <c r="WHY44" s="1004"/>
      <c r="WHZ44" s="1004"/>
      <c r="WIA44" s="1004"/>
      <c r="WIB44" s="1004"/>
      <c r="WIC44" s="1004"/>
      <c r="WID44" s="1004"/>
      <c r="WIE44" s="1004"/>
      <c r="WIF44" s="1004"/>
      <c r="WIG44" s="1004"/>
      <c r="WIH44" s="1004"/>
      <c r="WII44" s="1004"/>
      <c r="WIJ44" s="1004"/>
      <c r="WIK44" s="1004"/>
      <c r="WIL44" s="1004"/>
      <c r="WIM44" s="1004"/>
      <c r="WIN44" s="1004"/>
      <c r="WIO44" s="1004"/>
      <c r="WIP44" s="1004"/>
      <c r="WIQ44" s="1004"/>
      <c r="WIR44" s="1004"/>
      <c r="WIS44" s="1004"/>
      <c r="WIT44" s="1004"/>
      <c r="WIU44" s="1004"/>
      <c r="WIV44" s="1004"/>
      <c r="WIW44" s="1004"/>
      <c r="WIX44" s="1004"/>
      <c r="WIY44" s="1004"/>
      <c r="WIZ44" s="1004"/>
      <c r="WJA44" s="1004"/>
      <c r="WJB44" s="1004"/>
      <c r="WJC44" s="1004"/>
      <c r="WJD44" s="1004"/>
      <c r="WJE44" s="1004"/>
      <c r="WJF44" s="1004"/>
      <c r="WJG44" s="1004"/>
      <c r="WJH44" s="1004"/>
      <c r="WJI44" s="1004"/>
      <c r="WJJ44" s="1004"/>
      <c r="WJK44" s="1004"/>
      <c r="WJL44" s="1004"/>
      <c r="WJM44" s="1004"/>
      <c r="WJN44" s="1004"/>
      <c r="WJO44" s="1004"/>
      <c r="WJP44" s="1004"/>
      <c r="WJQ44" s="1004"/>
      <c r="WJR44" s="1004"/>
      <c r="WJS44" s="1004"/>
      <c r="WJT44" s="1004"/>
      <c r="WJU44" s="1004"/>
      <c r="WJV44" s="1004"/>
      <c r="WJW44" s="1004"/>
      <c r="WJX44" s="1004"/>
      <c r="WJY44" s="1004"/>
      <c r="WJZ44" s="1004"/>
      <c r="WKA44" s="1004"/>
      <c r="WKB44" s="1004"/>
      <c r="WKC44" s="1004"/>
      <c r="WKD44" s="1004"/>
      <c r="WKE44" s="1004"/>
      <c r="WKF44" s="1004"/>
      <c r="WKG44" s="1004"/>
      <c r="WKH44" s="1004"/>
      <c r="WKI44" s="1004"/>
      <c r="WKJ44" s="1004"/>
      <c r="WKK44" s="1004"/>
      <c r="WKL44" s="1004"/>
      <c r="WKM44" s="1004"/>
      <c r="WKN44" s="1004"/>
      <c r="WKO44" s="1004"/>
      <c r="WKP44" s="1004"/>
      <c r="WKQ44" s="1004"/>
      <c r="WKR44" s="1004"/>
      <c r="WKS44" s="1004"/>
      <c r="WKT44" s="1004"/>
      <c r="WKU44" s="1004"/>
      <c r="WKV44" s="1004"/>
      <c r="WKW44" s="1004"/>
      <c r="WKX44" s="1004"/>
      <c r="WKY44" s="1004"/>
      <c r="WKZ44" s="1004"/>
      <c r="WLA44" s="1004"/>
      <c r="WLB44" s="1004"/>
      <c r="WLC44" s="1004"/>
      <c r="WLD44" s="1004"/>
      <c r="WLE44" s="1004"/>
      <c r="WLF44" s="1004"/>
      <c r="WLG44" s="1004"/>
      <c r="WLH44" s="1004"/>
      <c r="WLI44" s="1004"/>
      <c r="WLJ44" s="1004"/>
      <c r="WLK44" s="1004"/>
      <c r="WLL44" s="1004"/>
      <c r="WLM44" s="1004"/>
      <c r="WLN44" s="1004"/>
      <c r="WLO44" s="1004"/>
      <c r="WLP44" s="1004"/>
      <c r="WLQ44" s="1004"/>
      <c r="WLR44" s="1004"/>
      <c r="WLS44" s="1004"/>
      <c r="WLT44" s="1004"/>
      <c r="WLU44" s="1004"/>
      <c r="WLV44" s="1004"/>
      <c r="WLW44" s="1004"/>
      <c r="WLX44" s="1004"/>
      <c r="WLY44" s="1004"/>
      <c r="WLZ44" s="1004"/>
      <c r="WMA44" s="1004"/>
      <c r="WMB44" s="1004"/>
      <c r="WMC44" s="1004"/>
      <c r="WMD44" s="1004"/>
      <c r="WME44" s="1004"/>
      <c r="WMF44" s="1004"/>
      <c r="WMG44" s="1004"/>
      <c r="WMH44" s="1004"/>
      <c r="WMI44" s="1004"/>
      <c r="WMJ44" s="1004"/>
      <c r="WMK44" s="1004"/>
      <c r="WML44" s="1004"/>
      <c r="WMM44" s="1004"/>
      <c r="WMN44" s="1004"/>
      <c r="WMO44" s="1004"/>
      <c r="WMP44" s="1004"/>
      <c r="WMQ44" s="1004"/>
      <c r="WMR44" s="1004"/>
      <c r="WMS44" s="1004"/>
      <c r="WMT44" s="1004"/>
      <c r="WMU44" s="1004"/>
      <c r="WMV44" s="1004"/>
      <c r="WMW44" s="1004"/>
      <c r="WMX44" s="1004"/>
      <c r="WMY44" s="1004"/>
      <c r="WMZ44" s="1004"/>
      <c r="WNA44" s="1004"/>
      <c r="WNB44" s="1004"/>
      <c r="WNC44" s="1004"/>
      <c r="WND44" s="1004"/>
      <c r="WNE44" s="1004"/>
      <c r="WNF44" s="1004"/>
      <c r="WNG44" s="1004"/>
      <c r="WNH44" s="1004"/>
      <c r="WNI44" s="1004"/>
      <c r="WNJ44" s="1004"/>
      <c r="WNK44" s="1004"/>
      <c r="WNL44" s="1004"/>
      <c r="WNM44" s="1004"/>
      <c r="WNN44" s="1004"/>
      <c r="WNO44" s="1004"/>
      <c r="WNP44" s="1004"/>
      <c r="WNQ44" s="1004"/>
      <c r="WNR44" s="1004"/>
      <c r="WNS44" s="1004"/>
      <c r="WNT44" s="1004"/>
      <c r="WNU44" s="1004"/>
      <c r="WNV44" s="1004"/>
      <c r="WNW44" s="1004"/>
      <c r="WNX44" s="1004"/>
      <c r="WNY44" s="1004"/>
      <c r="WNZ44" s="1004"/>
      <c r="WOA44" s="1004"/>
      <c r="WOB44" s="1004"/>
      <c r="WOC44" s="1004"/>
      <c r="WOD44" s="1004"/>
      <c r="WOE44" s="1004"/>
      <c r="WOF44" s="1004"/>
      <c r="WOG44" s="1004"/>
      <c r="WOH44" s="1004"/>
      <c r="WOI44" s="1004"/>
      <c r="WOJ44" s="1004"/>
      <c r="WOK44" s="1004"/>
      <c r="WOL44" s="1004"/>
      <c r="WOM44" s="1004"/>
      <c r="WON44" s="1004"/>
      <c r="WOO44" s="1004"/>
      <c r="WOP44" s="1004"/>
      <c r="WOQ44" s="1004"/>
      <c r="WOR44" s="1004"/>
      <c r="WOS44" s="1004"/>
      <c r="WOT44" s="1004"/>
      <c r="WOU44" s="1004"/>
      <c r="WOV44" s="1004"/>
      <c r="WOW44" s="1004"/>
      <c r="WOX44" s="1004"/>
      <c r="WOY44" s="1004"/>
      <c r="WOZ44" s="1004"/>
      <c r="WPA44" s="1004"/>
      <c r="WPB44" s="1004"/>
      <c r="WPC44" s="1004"/>
      <c r="WPD44" s="1004"/>
      <c r="WPE44" s="1004"/>
      <c r="WPF44" s="1004"/>
      <c r="WPG44" s="1004"/>
      <c r="WPH44" s="1004"/>
      <c r="WPI44" s="1004"/>
      <c r="WPJ44" s="1004"/>
      <c r="WPK44" s="1004"/>
      <c r="WPL44" s="1004"/>
      <c r="WPM44" s="1004"/>
      <c r="WPN44" s="1004"/>
      <c r="WPO44" s="1004"/>
      <c r="WPP44" s="1004"/>
      <c r="WPQ44" s="1004"/>
      <c r="WPR44" s="1004"/>
      <c r="WPS44" s="1004"/>
      <c r="WPT44" s="1004"/>
      <c r="WPU44" s="1004"/>
      <c r="WPV44" s="1004"/>
      <c r="WPW44" s="1004"/>
      <c r="WPX44" s="1004"/>
      <c r="WPY44" s="1004"/>
      <c r="WPZ44" s="1004"/>
      <c r="WQA44" s="1004"/>
      <c r="WQB44" s="1004"/>
      <c r="WQC44" s="1004"/>
      <c r="WQD44" s="1004"/>
      <c r="WQE44" s="1004"/>
      <c r="WQF44" s="1004"/>
      <c r="WQG44" s="1004"/>
      <c r="WQH44" s="1004"/>
      <c r="WQI44" s="1004"/>
      <c r="WQJ44" s="1004"/>
      <c r="WQK44" s="1004"/>
      <c r="WQL44" s="1004"/>
      <c r="WQM44" s="1004"/>
      <c r="WQN44" s="1004"/>
      <c r="WQO44" s="1004"/>
      <c r="WQP44" s="1004"/>
      <c r="WQQ44" s="1004"/>
      <c r="WQR44" s="1004"/>
      <c r="WQS44" s="1004"/>
      <c r="WQT44" s="1004"/>
      <c r="WQU44" s="1004"/>
      <c r="WQV44" s="1004"/>
      <c r="WQW44" s="1004"/>
      <c r="WQX44" s="1004"/>
      <c r="WQY44" s="1004"/>
      <c r="WQZ44" s="1004"/>
      <c r="WRA44" s="1004"/>
      <c r="WRB44" s="1004"/>
      <c r="WRC44" s="1004"/>
      <c r="WRD44" s="1004"/>
      <c r="WRE44" s="1004"/>
      <c r="WRF44" s="1004"/>
      <c r="WRG44" s="1004"/>
      <c r="WRH44" s="1004"/>
      <c r="WRI44" s="1004"/>
      <c r="WRJ44" s="1004"/>
      <c r="WRK44" s="1004"/>
      <c r="WRL44" s="1004"/>
      <c r="WRM44" s="1004"/>
      <c r="WRN44" s="1004"/>
      <c r="WRO44" s="1004"/>
      <c r="WRP44" s="1004"/>
      <c r="WRQ44" s="1004"/>
      <c r="WRR44" s="1004"/>
      <c r="WRS44" s="1004"/>
      <c r="WRT44" s="1004"/>
      <c r="WRU44" s="1004"/>
      <c r="WRV44" s="1004"/>
      <c r="WRW44" s="1004"/>
      <c r="WRX44" s="1004"/>
      <c r="WRY44" s="1004"/>
      <c r="WRZ44" s="1004"/>
      <c r="WSA44" s="1004"/>
      <c r="WSB44" s="1004"/>
      <c r="WSC44" s="1004"/>
      <c r="WSD44" s="1004"/>
      <c r="WSE44" s="1004"/>
      <c r="WSF44" s="1004"/>
      <c r="WSG44" s="1004"/>
      <c r="WSH44" s="1004"/>
      <c r="WSI44" s="1004"/>
      <c r="WSJ44" s="1004"/>
      <c r="WSK44" s="1004"/>
      <c r="WSL44" s="1004"/>
      <c r="WSM44" s="1004"/>
      <c r="WSN44" s="1004"/>
      <c r="WSO44" s="1004"/>
      <c r="WSP44" s="1004"/>
      <c r="WSQ44" s="1004"/>
      <c r="WSR44" s="1004"/>
      <c r="WSS44" s="1004"/>
      <c r="WST44" s="1004"/>
      <c r="WSU44" s="1004"/>
      <c r="WSV44" s="1004"/>
      <c r="WSW44" s="1004"/>
      <c r="WSX44" s="1004"/>
      <c r="WSY44" s="1004"/>
      <c r="WSZ44" s="1004"/>
      <c r="WTA44" s="1004"/>
      <c r="WTB44" s="1004"/>
      <c r="WTC44" s="1004"/>
      <c r="WTD44" s="1004"/>
      <c r="WTE44" s="1004"/>
      <c r="WTF44" s="1004"/>
      <c r="WTG44" s="1004"/>
      <c r="WTH44" s="1004"/>
      <c r="WTI44" s="1004"/>
      <c r="WTJ44" s="1004"/>
      <c r="WTK44" s="1004"/>
      <c r="WTL44" s="1004"/>
      <c r="WTM44" s="1004"/>
      <c r="WTN44" s="1004"/>
      <c r="WTO44" s="1004"/>
      <c r="WTP44" s="1004"/>
      <c r="WTQ44" s="1004"/>
      <c r="WTR44" s="1004"/>
      <c r="WTS44" s="1004"/>
      <c r="WTT44" s="1004"/>
      <c r="WTU44" s="1004"/>
      <c r="WTV44" s="1004"/>
      <c r="WTW44" s="1004"/>
      <c r="WTX44" s="1004"/>
      <c r="WTY44" s="1004"/>
      <c r="WTZ44" s="1004"/>
      <c r="WUA44" s="1004"/>
      <c r="WUB44" s="1004"/>
      <c r="WUC44" s="1004"/>
      <c r="WUD44" s="1004"/>
      <c r="WUE44" s="1004"/>
      <c r="WUF44" s="1004"/>
      <c r="WUG44" s="1004"/>
      <c r="WUH44" s="1004"/>
      <c r="WUI44" s="1004"/>
      <c r="WUJ44" s="1004"/>
      <c r="WUK44" s="1004"/>
      <c r="WUL44" s="1004"/>
      <c r="WUM44" s="1004"/>
      <c r="WUN44" s="1004"/>
      <c r="WUO44" s="1004"/>
      <c r="WUP44" s="1004"/>
      <c r="WUQ44" s="1004"/>
      <c r="WUR44" s="1004"/>
      <c r="WUS44" s="1004"/>
      <c r="WUT44" s="1004"/>
      <c r="WUU44" s="1004"/>
      <c r="WUV44" s="1004"/>
      <c r="WUW44" s="1004"/>
      <c r="WUX44" s="1004"/>
      <c r="WUY44" s="1004"/>
      <c r="WUZ44" s="1004"/>
      <c r="WVA44" s="1004"/>
      <c r="WVB44" s="1004"/>
      <c r="WVC44" s="1004"/>
      <c r="WVD44" s="1004"/>
      <c r="WVE44" s="1004"/>
      <c r="WVF44" s="1004"/>
      <c r="WVG44" s="1004"/>
      <c r="WVH44" s="1004"/>
      <c r="WVI44" s="1004"/>
      <c r="WVJ44" s="1004"/>
      <c r="WVK44" s="1004"/>
      <c r="WVL44" s="1004"/>
      <c r="WVM44" s="1004"/>
      <c r="WVN44" s="1004"/>
      <c r="WVO44" s="1004"/>
      <c r="WVP44" s="1004"/>
      <c r="WVQ44" s="1004"/>
      <c r="WVR44" s="1004"/>
      <c r="WVS44" s="1004"/>
      <c r="WVT44" s="1004"/>
      <c r="WVU44" s="1004"/>
      <c r="WVV44" s="1004"/>
      <c r="WVW44" s="1004"/>
      <c r="WVX44" s="1004"/>
      <c r="WVY44" s="1004"/>
      <c r="WVZ44" s="1004"/>
      <c r="WWA44" s="1004"/>
      <c r="WWB44" s="1004"/>
      <c r="WWC44" s="1004"/>
      <c r="WWD44" s="1004"/>
      <c r="WWE44" s="1004"/>
      <c r="WWF44" s="1004"/>
      <c r="WWG44" s="1004"/>
      <c r="WWH44" s="1004"/>
      <c r="WWI44" s="1004"/>
      <c r="WWJ44" s="1004"/>
      <c r="WWK44" s="1004"/>
      <c r="WWL44" s="1004"/>
      <c r="WWM44" s="1004"/>
      <c r="WWN44" s="1004"/>
      <c r="WWO44" s="1004"/>
      <c r="WWP44" s="1004"/>
      <c r="WWQ44" s="1004"/>
      <c r="WWR44" s="1004"/>
      <c r="WWS44" s="1004"/>
      <c r="WWT44" s="1004"/>
      <c r="WWU44" s="1004"/>
      <c r="WWV44" s="1004"/>
      <c r="WWW44" s="1004"/>
      <c r="WWX44" s="1004"/>
      <c r="WWY44" s="1004"/>
      <c r="WWZ44" s="1004"/>
      <c r="WXA44" s="1004"/>
      <c r="WXB44" s="1004"/>
      <c r="WXC44" s="1004"/>
      <c r="WXD44" s="1004"/>
      <c r="WXE44" s="1004"/>
      <c r="WXF44" s="1004"/>
      <c r="WXG44" s="1004"/>
      <c r="WXH44" s="1004"/>
      <c r="WXI44" s="1004"/>
      <c r="WXJ44" s="1004"/>
      <c r="WXK44" s="1004"/>
      <c r="WXL44" s="1004"/>
      <c r="WXM44" s="1004"/>
      <c r="WXN44" s="1004"/>
      <c r="WXO44" s="1004"/>
      <c r="WXP44" s="1004"/>
      <c r="WXQ44" s="1004"/>
      <c r="WXR44" s="1004"/>
      <c r="WXS44" s="1004"/>
      <c r="WXT44" s="1004"/>
      <c r="WXU44" s="1004"/>
      <c r="WXV44" s="1004"/>
      <c r="WXW44" s="1004"/>
      <c r="WXX44" s="1004"/>
      <c r="WXY44" s="1004"/>
      <c r="WXZ44" s="1004"/>
      <c r="WYA44" s="1004"/>
      <c r="WYB44" s="1004"/>
      <c r="WYC44" s="1004"/>
      <c r="WYD44" s="1004"/>
      <c r="WYE44" s="1004"/>
      <c r="WYF44" s="1004"/>
      <c r="WYG44" s="1004"/>
      <c r="WYH44" s="1004"/>
      <c r="WYI44" s="1004"/>
      <c r="WYJ44" s="1004"/>
      <c r="WYK44" s="1004"/>
      <c r="WYL44" s="1004"/>
      <c r="WYM44" s="1004"/>
      <c r="WYN44" s="1004"/>
      <c r="WYO44" s="1004"/>
      <c r="WYP44" s="1004"/>
      <c r="WYQ44" s="1004"/>
      <c r="WYR44" s="1004"/>
      <c r="WYS44" s="1004"/>
      <c r="WYT44" s="1004"/>
      <c r="WYU44" s="1004"/>
      <c r="WYV44" s="1004"/>
      <c r="WYW44" s="1004"/>
      <c r="WYX44" s="1004"/>
      <c r="WYY44" s="1004"/>
      <c r="WYZ44" s="1004"/>
      <c r="WZA44" s="1004"/>
      <c r="WZB44" s="1004"/>
      <c r="WZC44" s="1004"/>
      <c r="WZD44" s="1004"/>
      <c r="WZE44" s="1004"/>
      <c r="WZF44" s="1004"/>
      <c r="WZG44" s="1004"/>
      <c r="WZH44" s="1004"/>
      <c r="WZI44" s="1004"/>
      <c r="WZJ44" s="1004"/>
      <c r="WZK44" s="1004"/>
      <c r="WZL44" s="1004"/>
      <c r="WZM44" s="1004"/>
      <c r="WZN44" s="1004"/>
      <c r="WZO44" s="1004"/>
      <c r="WZP44" s="1004"/>
      <c r="WZQ44" s="1004"/>
      <c r="WZR44" s="1004"/>
      <c r="WZS44" s="1004"/>
      <c r="WZT44" s="1004"/>
      <c r="WZU44" s="1004"/>
      <c r="WZV44" s="1004"/>
      <c r="WZW44" s="1004"/>
      <c r="WZX44" s="1004"/>
      <c r="WZY44" s="1004"/>
      <c r="WZZ44" s="1004"/>
      <c r="XAA44" s="1004"/>
      <c r="XAB44" s="1004"/>
      <c r="XAC44" s="1004"/>
      <c r="XAD44" s="1004"/>
      <c r="XAE44" s="1004"/>
      <c r="XAF44" s="1004"/>
      <c r="XAG44" s="1004"/>
      <c r="XAH44" s="1004"/>
      <c r="XAI44" s="1004"/>
      <c r="XAJ44" s="1004"/>
      <c r="XAK44" s="1004"/>
      <c r="XAL44" s="1004"/>
      <c r="XAM44" s="1004"/>
      <c r="XAN44" s="1004"/>
      <c r="XAO44" s="1004"/>
      <c r="XAP44" s="1004"/>
      <c r="XAQ44" s="1004"/>
      <c r="XAR44" s="1004"/>
      <c r="XAS44" s="1004"/>
      <c r="XAT44" s="1004"/>
      <c r="XAU44" s="1004"/>
      <c r="XAV44" s="1004"/>
      <c r="XAW44" s="1004"/>
      <c r="XAX44" s="1004"/>
      <c r="XAY44" s="1004"/>
      <c r="XAZ44" s="1004"/>
      <c r="XBA44" s="1004"/>
      <c r="XBB44" s="1004"/>
      <c r="XBC44" s="1004"/>
      <c r="XBD44" s="1004"/>
      <c r="XBE44" s="1004"/>
      <c r="XBF44" s="1004"/>
      <c r="XBG44" s="1004"/>
      <c r="XBH44" s="1004"/>
      <c r="XBI44" s="1004"/>
      <c r="XBJ44" s="1004"/>
      <c r="XBK44" s="1004"/>
      <c r="XBL44" s="1004"/>
      <c r="XBM44" s="1004"/>
      <c r="XBN44" s="1004"/>
      <c r="XBO44" s="1004"/>
      <c r="XBP44" s="1004"/>
      <c r="XBQ44" s="1004"/>
      <c r="XBR44" s="1004"/>
      <c r="XBS44" s="1004"/>
      <c r="XBT44" s="1004"/>
      <c r="XBU44" s="1004"/>
      <c r="XBV44" s="1004"/>
      <c r="XBW44" s="1004"/>
      <c r="XBX44" s="1004"/>
      <c r="XBY44" s="1004"/>
      <c r="XBZ44" s="1004"/>
      <c r="XCA44" s="1004"/>
      <c r="XCB44" s="1004"/>
      <c r="XCC44" s="1004"/>
      <c r="XCD44" s="1004"/>
      <c r="XCE44" s="1004"/>
      <c r="XCF44" s="1004"/>
      <c r="XCG44" s="1004"/>
      <c r="XCH44" s="1004"/>
      <c r="XCI44" s="1004"/>
      <c r="XCJ44" s="1004"/>
      <c r="XCK44" s="1004"/>
      <c r="XCL44" s="1004"/>
      <c r="XCM44" s="1004"/>
      <c r="XCN44" s="1004"/>
      <c r="XCO44" s="1004"/>
      <c r="XCP44" s="1004"/>
      <c r="XCQ44" s="1004"/>
      <c r="XCR44" s="1004"/>
      <c r="XCS44" s="1004"/>
      <c r="XCT44" s="1004"/>
      <c r="XCU44" s="1004"/>
      <c r="XCV44" s="1004"/>
      <c r="XCW44" s="1004"/>
      <c r="XCX44" s="1004"/>
      <c r="XCY44" s="1004"/>
      <c r="XCZ44" s="1004"/>
      <c r="XDA44" s="1004"/>
      <c r="XDB44" s="1004"/>
      <c r="XDC44" s="1004"/>
      <c r="XDD44" s="1004"/>
      <c r="XDE44" s="1004"/>
      <c r="XDF44" s="1004"/>
      <c r="XDG44" s="1004"/>
      <c r="XDH44" s="1004"/>
      <c r="XDI44" s="1004"/>
      <c r="XDJ44" s="1004"/>
      <c r="XDK44" s="1004"/>
      <c r="XDL44" s="1004"/>
      <c r="XDM44" s="1004"/>
      <c r="XDN44" s="1004"/>
      <c r="XDO44" s="1004"/>
      <c r="XDP44" s="1004"/>
      <c r="XDQ44" s="1004"/>
      <c r="XDR44" s="1004"/>
      <c r="XDS44" s="1004"/>
      <c r="XDT44" s="1004"/>
      <c r="XDU44" s="1004"/>
      <c r="XDV44" s="1004"/>
      <c r="XDW44" s="1004"/>
      <c r="XDX44" s="1004"/>
      <c r="XDY44" s="1004"/>
      <c r="XDZ44" s="1004"/>
      <c r="XEA44" s="1004"/>
      <c r="XEB44" s="1004"/>
      <c r="XEC44" s="1004"/>
      <c r="XED44" s="1004"/>
      <c r="XEE44" s="1004"/>
      <c r="XEF44" s="1004"/>
      <c r="XEG44" s="1004"/>
      <c r="XEH44" s="1004"/>
      <c r="XEI44" s="1004"/>
      <c r="XEJ44" s="1004"/>
      <c r="XEK44" s="1004"/>
      <c r="XEL44" s="1004"/>
      <c r="XEM44" s="1004"/>
      <c r="XEN44" s="1004"/>
      <c r="XEO44" s="1004"/>
      <c r="XEP44" s="1004"/>
      <c r="XEQ44" s="1004"/>
      <c r="XER44" s="1004"/>
      <c r="XES44" s="1004"/>
      <c r="XET44" s="1004"/>
      <c r="XEU44" s="1004"/>
      <c r="XEV44" s="1004"/>
      <c r="XEW44" s="1004"/>
      <c r="XEX44" s="1004"/>
      <c r="XEY44" s="1004"/>
      <c r="XEZ44" s="1004"/>
      <c r="XFA44" s="1004"/>
    </row>
    <row r="45" spans="1:16381" ht="18" x14ac:dyDescent="0.25">
      <c r="A45" s="317" t="s">
        <v>191</v>
      </c>
      <c r="B45" s="614">
        <f>GETPIVOTDATA("Sum of WholeTime Operational",StaffingPivot!$A$22,"Year",A45)</f>
        <v>3856</v>
      </c>
      <c r="C45" s="614">
        <f>GETPIVOTDATA("Sum of Retained Duty System",StaffingPivot!$A$22,"Year",A45)</f>
        <v>2669</v>
      </c>
      <c r="D45" s="623"/>
      <c r="E45" s="614">
        <f>GETPIVOTDATA("Sum of Control",StaffingPivot!$A$22,"Year",A45)</f>
        <v>221</v>
      </c>
      <c r="F45" s="614">
        <f>GETPIVOTDATA("Sum of Support",StaffingPivot!$A$22,"Year",A45)</f>
        <v>744</v>
      </c>
      <c r="G45" s="615">
        <f t="shared" si="7"/>
        <v>7490</v>
      </c>
      <c r="I45" s="268"/>
      <c r="J45" s="268"/>
      <c r="K45" s="7"/>
      <c r="U45" s="403"/>
    </row>
    <row r="46" spans="1:16381" ht="18" x14ac:dyDescent="0.25">
      <c r="A46" s="317" t="s">
        <v>190</v>
      </c>
      <c r="B46" s="614">
        <f>GETPIVOTDATA("Sum of WholeTime Operational",StaffingPivot!$A$22,"Year",A46)</f>
        <v>3690</v>
      </c>
      <c r="C46" s="614">
        <f>GETPIVOTDATA("Sum of Retained Duty System",StaffingPivot!$A$22,"Year",A46)</f>
        <v>2527</v>
      </c>
      <c r="D46" s="623"/>
      <c r="E46" s="614">
        <f>GETPIVOTDATA("Sum of Control",StaffingPivot!$A$22,"Year",A46)</f>
        <v>195</v>
      </c>
      <c r="F46" s="614">
        <f>GETPIVOTDATA("Sum of Support",StaffingPivot!$A$22,"Year",A46)</f>
        <v>719</v>
      </c>
      <c r="G46" s="615">
        <f t="shared" si="7"/>
        <v>7131</v>
      </c>
      <c r="I46" s="268"/>
      <c r="J46" s="268"/>
      <c r="K46" s="7"/>
      <c r="U46" s="403"/>
    </row>
    <row r="47" spans="1:16381" ht="18" x14ac:dyDescent="0.25">
      <c r="A47" s="317" t="s">
        <v>257</v>
      </c>
      <c r="B47" s="614">
        <f>GETPIVOTDATA("Sum of WholeTime Operational",StaffingPivot!$A$22,"Year",A47)</f>
        <v>3644</v>
      </c>
      <c r="C47" s="614">
        <f>GETPIVOTDATA("Sum of Retained Duty System",StaffingPivot!$A$22,"Year",A47)</f>
        <v>2546</v>
      </c>
      <c r="D47" s="623"/>
      <c r="E47" s="614">
        <f>GETPIVOTDATA("Sum of Control",StaffingPivot!$A$22,"Year",A47)</f>
        <v>160</v>
      </c>
      <c r="F47" s="614">
        <f>GETPIVOTDATA("Sum of Support",StaffingPivot!$A$22,"Year",A47)</f>
        <v>745</v>
      </c>
      <c r="G47" s="615">
        <f t="shared" si="7"/>
        <v>7095</v>
      </c>
      <c r="I47" s="268"/>
      <c r="J47" s="268"/>
      <c r="K47" s="7"/>
      <c r="U47" s="403"/>
    </row>
    <row r="48" spans="1:16381" ht="18" x14ac:dyDescent="0.25">
      <c r="A48" s="317" t="s">
        <v>240</v>
      </c>
      <c r="B48" s="614">
        <f>GETPIVOTDATA("Sum of WholeTime Operational",StaffingPivot!$A$22,"Year",A48)</f>
        <v>3544</v>
      </c>
      <c r="C48" s="614">
        <f>GETPIVOTDATA("Sum of Retained Duty System",StaffingPivot!$A$22,"Year",A48)</f>
        <v>2545</v>
      </c>
      <c r="D48" s="623"/>
      <c r="E48" s="614">
        <f>GETPIVOTDATA("Sum of Control",StaffingPivot!$A$22,"Year",A48)</f>
        <v>184</v>
      </c>
      <c r="F48" s="614">
        <f>GETPIVOTDATA("Sum of Support",StaffingPivot!$A$22,"Year",A48)</f>
        <v>759</v>
      </c>
      <c r="G48" s="615">
        <f t="shared" si="7"/>
        <v>7032</v>
      </c>
      <c r="I48" s="268"/>
      <c r="J48" s="268"/>
      <c r="K48" s="7"/>
      <c r="U48" s="403"/>
    </row>
    <row r="49" spans="1:1621" ht="18" x14ac:dyDescent="0.25">
      <c r="A49" s="317" t="s">
        <v>239</v>
      </c>
      <c r="B49" s="614">
        <f>GETPIVOTDATA("Sum of WholeTime Operational",StaffingPivot!$A$22,"Year",A49)</f>
        <v>3635.9300000000003</v>
      </c>
      <c r="C49" s="614">
        <f>GETPIVOTDATA("Sum of Retained Duty System",StaffingPivot!$A$22,"Year",A49)</f>
        <v>2583.98</v>
      </c>
      <c r="D49" s="623">
        <f>GETPIVOTDATA("Sum of RDS Fulltime",StaffingPivot!$A$22,"Year",A49)</f>
        <v>18</v>
      </c>
      <c r="E49" s="614">
        <f>GETPIVOTDATA("Sum of Control",StaffingPivot!$A$22,"Year",A49)</f>
        <v>202.32999999999998</v>
      </c>
      <c r="F49" s="614">
        <f>GETPIVOTDATA("Sum of Support",StaffingPivot!$A$22,"Year",A49)</f>
        <v>745.56000000000006</v>
      </c>
      <c r="G49" s="615">
        <f t="shared" si="7"/>
        <v>7185.8</v>
      </c>
      <c r="I49" s="268"/>
      <c r="J49" s="268"/>
      <c r="K49" s="7"/>
      <c r="U49" s="403"/>
    </row>
    <row r="50" spans="1:1621" ht="18" x14ac:dyDescent="0.25">
      <c r="A50" s="317" t="s">
        <v>760</v>
      </c>
      <c r="B50" s="614">
        <f>GETPIVOTDATA("Sum of WholeTime Operational",StaffingPivot!$A$22,"Year",A50)</f>
        <v>3633.93</v>
      </c>
      <c r="C50" s="614">
        <f>GETPIVOTDATA("Sum of Retained Duty System",StaffingPivot!$A$22,"Year",A50)</f>
        <v>2551.73</v>
      </c>
      <c r="D50" s="623">
        <f>GETPIVOTDATA("Sum of RDS Fulltime",StaffingPivot!$A$22,"Year",A50)</f>
        <v>36</v>
      </c>
      <c r="E50" s="614">
        <f>GETPIVOTDATA("Sum of Control",StaffingPivot!$A$22,"Year",A50)</f>
        <v>183.82999999999998</v>
      </c>
      <c r="F50" s="614">
        <f>GETPIVOTDATA("Sum of Support",StaffingPivot!$A$22,"Year",A50)</f>
        <v>764.4</v>
      </c>
      <c r="G50" s="615">
        <f t="shared" si="7"/>
        <v>7169.8899999999994</v>
      </c>
      <c r="I50" s="273"/>
      <c r="J50" s="268"/>
      <c r="K50" s="7"/>
      <c r="U50" s="403"/>
    </row>
    <row r="51" spans="1:1621" s="305" customFormat="1" ht="18" x14ac:dyDescent="0.25">
      <c r="A51" s="317" t="s">
        <v>917</v>
      </c>
      <c r="B51" s="614">
        <f>GETPIVOTDATA("Sum of WholeTime Operational",StaffingPivot!$A$22,"Year",A51)</f>
        <v>3578.43</v>
      </c>
      <c r="C51" s="614">
        <f>GETPIVOTDATA("Sum of Retained Duty System",StaffingPivot!$A$22,"Year",A51)</f>
        <v>2482.48</v>
      </c>
      <c r="D51" s="623">
        <f>GETPIVOTDATA("Sum of RDS Fulltime",StaffingPivot!$A$22,"Year",A51)</f>
        <v>54</v>
      </c>
      <c r="E51" s="614">
        <f>GETPIVOTDATA("Sum of Control",StaffingPivot!$A$22,"Year",A51)</f>
        <v>176.06</v>
      </c>
      <c r="F51" s="614">
        <f>GETPIVOTDATA("Sum of Support",StaffingPivot!$A$22,"Year",A51)</f>
        <v>786.29</v>
      </c>
      <c r="G51" s="615">
        <f t="shared" si="7"/>
        <v>7077.26</v>
      </c>
      <c r="H51"/>
      <c r="I51" s="19"/>
      <c r="J51" s="15"/>
      <c r="K51" s="7"/>
      <c r="L51"/>
      <c r="M51"/>
      <c r="N51"/>
      <c r="O51"/>
      <c r="P51"/>
      <c r="Q51"/>
      <c r="R51"/>
      <c r="S51"/>
      <c r="T51"/>
      <c r="U51" s="403"/>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row>
    <row r="52" spans="1:1621" ht="18" x14ac:dyDescent="0.25">
      <c r="A52" s="317" t="s">
        <v>1010</v>
      </c>
      <c r="B52" s="614">
        <f>GETPIVOTDATA("Sum of WholeTime Operational",StaffingPivot!$A$22,"Year",A52)</f>
        <v>3528.43</v>
      </c>
      <c r="C52" s="614">
        <f>GETPIVOTDATA("Sum of Retained Duty System",StaffingPivot!$A$22,"Year",A52)</f>
        <v>2375.48</v>
      </c>
      <c r="D52" s="623">
        <f>GETPIVOTDATA("Sum of RDS Fulltime",StaffingPivot!$A$22,"Year",A52)</f>
        <v>53</v>
      </c>
      <c r="E52" s="614">
        <f>GETPIVOTDATA("Sum of Control",StaffingPivot!$A$22,"Year",A52)</f>
        <v>170.46</v>
      </c>
      <c r="F52" s="614">
        <f>GETPIVOTDATA("Sum of Support",StaffingPivot!$A$22,"Year",A52)</f>
        <v>862.45999999999992</v>
      </c>
      <c r="G52" s="615">
        <f t="shared" si="7"/>
        <v>6989.83</v>
      </c>
      <c r="I52" s="19"/>
      <c r="J52" s="15"/>
      <c r="K52" s="17"/>
      <c r="U52" s="403"/>
    </row>
    <row r="53" spans="1:1621" ht="18" x14ac:dyDescent="0.25">
      <c r="A53" s="317" t="s">
        <v>1061</v>
      </c>
      <c r="B53" s="614">
        <f>GETPIVOTDATA("Sum of WholeTime Operational",StaffingPivot!$A$22,"Year",A53)</f>
        <v>3487.43</v>
      </c>
      <c r="C53" s="614">
        <f>GETPIVOTDATA("Sum of Retained Duty System",StaffingPivot!$A$22,"Year",A53)</f>
        <v>2333.12</v>
      </c>
      <c r="D53" s="623">
        <f>GETPIVOTDATA("Sum of RDS Fulltime",StaffingPivot!$A$22,"Year",A53)</f>
        <v>55</v>
      </c>
      <c r="E53" s="614">
        <f>GETPIVOTDATA("Sum of Control",StaffingPivot!$A$22,"Year",A53)</f>
        <v>168.06</v>
      </c>
      <c r="F53" s="614">
        <f>GETPIVOTDATA("Sum of Support",StaffingPivot!$A$22,"Year",A53)</f>
        <v>850.35</v>
      </c>
      <c r="G53" s="615">
        <f t="shared" si="7"/>
        <v>6893.96</v>
      </c>
      <c r="I53" s="15"/>
      <c r="J53" s="15"/>
      <c r="K53" s="17"/>
      <c r="U53" s="403"/>
    </row>
    <row r="54" spans="1:1621" ht="15" customHeight="1" thickBot="1" x14ac:dyDescent="0.3">
      <c r="A54" s="839" t="s">
        <v>1108</v>
      </c>
      <c r="B54" s="840">
        <f>GETPIVOTDATA("Sum of WholeTime Operational",StaffingPivot!$A$22,"Year",A54)</f>
        <v>3419.08</v>
      </c>
      <c r="C54" s="840">
        <f>GETPIVOTDATA("Sum of Retained Duty System",StaffingPivot!$A$22,"Year",A54)</f>
        <v>2289.77</v>
      </c>
      <c r="D54" s="838">
        <f>GETPIVOTDATA("Sum of RDS Fulltime",StaffingPivot!$A$22,"Year",A54)</f>
        <v>55</v>
      </c>
      <c r="E54" s="840">
        <f>GETPIVOTDATA("Sum of Control",StaffingPivot!$A$22,"Year",A54)</f>
        <v>166.21</v>
      </c>
      <c r="F54" s="840">
        <f>GETPIVOTDATA("Sum of Support",StaffingPivot!$A$22,"Year",A54)</f>
        <v>829.4</v>
      </c>
      <c r="G54" s="841">
        <f>SUM(B54:F54)</f>
        <v>6759.46</v>
      </c>
      <c r="I54" s="22"/>
      <c r="J54" s="22"/>
      <c r="K54" s="7"/>
      <c r="U54" s="403"/>
    </row>
    <row r="55" spans="1:1621" ht="15" customHeight="1" x14ac:dyDescent="0.25">
      <c r="A55" s="6"/>
      <c r="B55" s="635"/>
      <c r="C55" s="635"/>
      <c r="D55" s="635"/>
      <c r="E55" s="635"/>
      <c r="F55" s="635"/>
      <c r="G55" s="18"/>
      <c r="I55" s="22"/>
      <c r="J55" s="22"/>
      <c r="K55" s="7"/>
      <c r="U55" s="403"/>
    </row>
    <row r="56" spans="1:1621" ht="15" customHeight="1" x14ac:dyDescent="0.25">
      <c r="A56" s="663" t="str">
        <f>"One Year Change "&amp; A53 &amp;" to " &amp; A54</f>
        <v>One Year Change 2022-23 to 2023-24</v>
      </c>
      <c r="B56" s="663"/>
      <c r="C56" s="663"/>
      <c r="D56" s="663"/>
      <c r="E56" s="20"/>
      <c r="F56" s="20"/>
      <c r="G56" s="20"/>
      <c r="I56" s="275"/>
      <c r="J56" s="275"/>
      <c r="K56" s="7"/>
      <c r="U56" s="403"/>
    </row>
    <row r="57" spans="1:1621" ht="15" customHeight="1" x14ac:dyDescent="0.25">
      <c r="A57" s="21" t="s">
        <v>6</v>
      </c>
      <c r="B57" s="9">
        <f>B54-B53</f>
        <v>-68.349999999999909</v>
      </c>
      <c r="C57" s="9">
        <f t="shared" ref="C57:G57" si="8">C54-C53</f>
        <v>-43.349999999999909</v>
      </c>
      <c r="D57" s="9">
        <f t="shared" si="8"/>
        <v>0</v>
      </c>
      <c r="E57" s="9">
        <f t="shared" si="8"/>
        <v>-1.8499999999999943</v>
      </c>
      <c r="F57" s="9">
        <f t="shared" si="8"/>
        <v>-20.950000000000045</v>
      </c>
      <c r="G57" s="9">
        <f t="shared" si="8"/>
        <v>-134.5</v>
      </c>
      <c r="I57" s="15"/>
      <c r="J57" s="24"/>
      <c r="K57" s="7"/>
      <c r="U57" s="403"/>
    </row>
    <row r="58" spans="1:1621" ht="15" customHeight="1" thickBot="1" x14ac:dyDescent="0.3">
      <c r="A58" s="10" t="s">
        <v>7</v>
      </c>
      <c r="B58" s="274">
        <f>B57/B53</f>
        <v>-1.9598959692380898E-2</v>
      </c>
      <c r="C58" s="274">
        <f t="shared" ref="C58:G58" si="9">C57/C53</f>
        <v>-1.8580270196132179E-2</v>
      </c>
      <c r="D58" s="274">
        <f t="shared" si="9"/>
        <v>0</v>
      </c>
      <c r="E58" s="274">
        <f t="shared" si="9"/>
        <v>-1.1007973342853708E-2</v>
      </c>
      <c r="F58" s="274">
        <f t="shared" si="9"/>
        <v>-2.4636914211795195E-2</v>
      </c>
      <c r="G58" s="274">
        <f t="shared" si="9"/>
        <v>-1.950983179478848E-2</v>
      </c>
      <c r="I58" s="15"/>
      <c r="J58" s="24"/>
      <c r="K58" s="15"/>
      <c r="U58" s="403"/>
    </row>
    <row r="59" spans="1:1621" ht="15" customHeight="1" x14ac:dyDescent="0.25">
      <c r="A59" s="23"/>
      <c r="B59" s="15"/>
      <c r="C59" s="15"/>
      <c r="D59" s="15"/>
      <c r="E59" s="15"/>
      <c r="F59" s="15"/>
      <c r="G59" s="15"/>
      <c r="I59" s="15"/>
      <c r="J59" s="24"/>
      <c r="K59" s="15"/>
      <c r="U59" s="403"/>
    </row>
    <row r="60" spans="1:1621" ht="15" customHeight="1" x14ac:dyDescent="0.25">
      <c r="A60" s="663" t="str">
        <f>"Five Year Change "&amp;A49&amp;" to " &amp; A54</f>
        <v>Five Year Change 2018-19 to 2023-24</v>
      </c>
      <c r="B60" s="663"/>
      <c r="C60" s="663"/>
      <c r="D60" s="663"/>
      <c r="E60" s="20"/>
      <c r="F60" s="20"/>
      <c r="G60" s="20"/>
      <c r="I60" s="15"/>
      <c r="J60" s="24"/>
      <c r="K60" s="15"/>
      <c r="U60" s="403"/>
    </row>
    <row r="61" spans="1:1621" ht="15" customHeight="1" x14ac:dyDescent="0.25">
      <c r="A61" s="21" t="s">
        <v>6</v>
      </c>
      <c r="B61" s="9">
        <f>B54-B49</f>
        <v>-216.85000000000036</v>
      </c>
      <c r="C61" s="9">
        <f t="shared" ref="C61:G61" si="10">C54-C49</f>
        <v>-294.21000000000004</v>
      </c>
      <c r="D61" s="9"/>
      <c r="E61" s="9">
        <f t="shared" si="10"/>
        <v>-36.119999999999976</v>
      </c>
      <c r="F61" s="9">
        <f t="shared" si="10"/>
        <v>83.839999999999918</v>
      </c>
      <c r="G61" s="9">
        <f t="shared" si="10"/>
        <v>-426.34000000000015</v>
      </c>
      <c r="H61" s="15"/>
      <c r="I61" s="15"/>
      <c r="J61" s="24"/>
      <c r="K61" s="24"/>
      <c r="U61" s="403"/>
    </row>
    <row r="62" spans="1:1621" ht="15" customHeight="1" thickBot="1" x14ac:dyDescent="0.3">
      <c r="A62" s="10" t="s">
        <v>7</v>
      </c>
      <c r="B62" s="274">
        <f>B61/B49</f>
        <v>-5.9640862172814203E-2</v>
      </c>
      <c r="C62" s="274">
        <f t="shared" ref="C62:G62" si="11">C61/C49</f>
        <v>-0.11385924039659751</v>
      </c>
      <c r="D62" s="274"/>
      <c r="E62" s="274">
        <f t="shared" si="11"/>
        <v>-0.17852023921316651</v>
      </c>
      <c r="F62" s="274">
        <f t="shared" si="11"/>
        <v>0.11245238478459132</v>
      </c>
      <c r="G62" s="274">
        <f t="shared" si="11"/>
        <v>-5.9330902613487731E-2</v>
      </c>
      <c r="K62" s="24"/>
      <c r="U62" s="403"/>
    </row>
    <row r="63" spans="1:1621" ht="15" customHeight="1" x14ac:dyDescent="0.25">
      <c r="A63" s="23"/>
      <c r="B63" s="15"/>
      <c r="C63" s="15"/>
      <c r="D63" s="15"/>
      <c r="E63" s="15"/>
      <c r="F63" s="15"/>
      <c r="G63" s="7"/>
      <c r="H63" s="662"/>
      <c r="I63" s="662"/>
      <c r="J63" s="662"/>
      <c r="K63" s="24"/>
      <c r="U63" s="403"/>
    </row>
    <row r="64" spans="1:1621" ht="15" customHeight="1" x14ac:dyDescent="0.25">
      <c r="A64" s="317" t="s">
        <v>8</v>
      </c>
      <c r="H64" s="662"/>
      <c r="I64" s="662"/>
      <c r="J64" s="662"/>
      <c r="K64" s="24"/>
      <c r="U64" s="403"/>
    </row>
    <row r="65" spans="1:21" ht="17.45" customHeight="1" x14ac:dyDescent="0.25">
      <c r="A65" s="1002" t="s">
        <v>212</v>
      </c>
      <c r="B65" s="1002"/>
      <c r="C65" s="1002"/>
      <c r="D65" s="1002"/>
      <c r="E65" s="1002"/>
      <c r="F65" s="1002"/>
      <c r="G65" s="1002"/>
      <c r="H65" s="1002"/>
      <c r="K65" s="24"/>
      <c r="U65" s="403"/>
    </row>
    <row r="66" spans="1:21" x14ac:dyDescent="0.25">
      <c r="A66" t="s">
        <v>211</v>
      </c>
      <c r="K66" s="24"/>
      <c r="L66" s="403"/>
      <c r="M66" s="403"/>
      <c r="N66" s="403"/>
      <c r="O66" s="403"/>
      <c r="P66" s="403"/>
      <c r="Q66" s="403"/>
      <c r="R66" s="403"/>
      <c r="S66" s="403"/>
      <c r="T66" s="403"/>
      <c r="U66" s="403"/>
    </row>
    <row r="67" spans="1:21" ht="15" customHeight="1" x14ac:dyDescent="0.25">
      <c r="A67" s="377" t="s">
        <v>451</v>
      </c>
      <c r="E67" s="377"/>
      <c r="H67" s="581"/>
      <c r="I67" s="581"/>
      <c r="J67" s="581"/>
      <c r="K67" s="24"/>
      <c r="L67" s="403"/>
      <c r="M67" s="403"/>
      <c r="N67" s="403"/>
      <c r="O67" s="403"/>
      <c r="P67" s="403"/>
      <c r="Q67" s="403"/>
      <c r="R67" s="403"/>
      <c r="S67" s="403"/>
      <c r="T67" s="403"/>
      <c r="U67" s="403"/>
    </row>
    <row r="68" spans="1:21" ht="30.6" customHeight="1" x14ac:dyDescent="0.25">
      <c r="A68" s="1003" t="s">
        <v>830</v>
      </c>
      <c r="B68" s="1003"/>
      <c r="C68" s="1003"/>
      <c r="D68" s="1003"/>
      <c r="E68" s="1003"/>
      <c r="F68" s="1003"/>
      <c r="G68" s="1003"/>
      <c r="K68" s="15"/>
      <c r="L68" s="403"/>
      <c r="M68" s="403"/>
      <c r="N68" s="403"/>
      <c r="O68" s="403"/>
      <c r="P68" s="403"/>
      <c r="Q68" s="403"/>
      <c r="R68" s="403"/>
      <c r="S68" s="403"/>
      <c r="T68" s="403"/>
      <c r="U68" s="403"/>
    </row>
    <row r="69" spans="1:21" x14ac:dyDescent="0.25">
      <c r="K69" s="15"/>
      <c r="L69" s="403"/>
      <c r="M69" s="403"/>
      <c r="N69" s="403"/>
      <c r="O69" s="403"/>
      <c r="P69" s="403"/>
      <c r="Q69" s="403"/>
      <c r="R69" s="403"/>
      <c r="S69" s="403"/>
      <c r="T69" s="403"/>
      <c r="U69" s="403"/>
    </row>
    <row r="70" spans="1:21" x14ac:dyDescent="0.25">
      <c r="K70" s="24"/>
      <c r="L70" s="403"/>
      <c r="M70" s="403"/>
      <c r="N70" s="403"/>
      <c r="O70" s="403"/>
      <c r="P70" s="403"/>
      <c r="Q70" s="403"/>
      <c r="R70" s="403"/>
      <c r="S70" s="403"/>
      <c r="T70" s="403"/>
      <c r="U70" s="403"/>
    </row>
    <row r="71" spans="1:21" ht="14.1" customHeight="1" x14ac:dyDescent="0.25">
      <c r="K71" s="24"/>
      <c r="L71" s="403"/>
      <c r="M71" s="403"/>
      <c r="N71" s="403"/>
      <c r="O71" s="403"/>
      <c r="P71" s="403"/>
      <c r="Q71" s="403"/>
      <c r="R71" s="403"/>
      <c r="S71" s="403"/>
      <c r="T71" s="403"/>
      <c r="U71" s="403"/>
    </row>
    <row r="72" spans="1:21" ht="15.75" customHeight="1" x14ac:dyDescent="0.25">
      <c r="K72" s="15"/>
      <c r="L72" s="403"/>
      <c r="M72" s="403"/>
      <c r="N72" s="403"/>
      <c r="O72" s="403"/>
      <c r="P72" s="403"/>
      <c r="Q72" s="403"/>
      <c r="R72" s="403"/>
      <c r="S72" s="403"/>
      <c r="T72" s="403"/>
      <c r="U72" s="403"/>
    </row>
    <row r="73" spans="1:21" x14ac:dyDescent="0.25">
      <c r="K73" s="15"/>
      <c r="L73" s="403"/>
      <c r="M73" s="403"/>
      <c r="N73" s="403"/>
      <c r="O73" s="403"/>
      <c r="P73" s="403"/>
      <c r="Q73" s="403"/>
      <c r="R73" s="403"/>
      <c r="S73" s="403"/>
      <c r="T73" s="403"/>
      <c r="U73" s="403"/>
    </row>
    <row r="74" spans="1:21" x14ac:dyDescent="0.25">
      <c r="L74" s="403"/>
      <c r="M74" s="403"/>
      <c r="N74" s="403"/>
      <c r="O74" s="403"/>
      <c r="P74" s="403"/>
      <c r="Q74" s="403"/>
      <c r="R74" s="403"/>
      <c r="S74" s="403"/>
      <c r="T74" s="403"/>
      <c r="U74" s="403"/>
    </row>
    <row r="75" spans="1:21" x14ac:dyDescent="0.25">
      <c r="L75" s="403"/>
      <c r="M75" s="403"/>
      <c r="N75" s="403"/>
      <c r="O75" s="403"/>
      <c r="P75" s="403"/>
      <c r="Q75" s="403"/>
      <c r="R75" s="403"/>
      <c r="S75" s="403"/>
      <c r="T75" s="403"/>
      <c r="U75" s="403"/>
    </row>
    <row r="76" spans="1:21" x14ac:dyDescent="0.25">
      <c r="L76" s="403"/>
      <c r="M76" s="403"/>
      <c r="N76" s="403"/>
      <c r="O76" s="403"/>
      <c r="P76" s="403"/>
      <c r="Q76" s="403"/>
      <c r="R76" s="403"/>
      <c r="S76" s="403"/>
      <c r="T76" s="403"/>
      <c r="U76" s="403"/>
    </row>
    <row r="77" spans="1:21" x14ac:dyDescent="0.25">
      <c r="L77" s="403"/>
      <c r="M77" s="403"/>
      <c r="N77" s="403"/>
      <c r="O77" s="403"/>
      <c r="P77" s="403"/>
      <c r="Q77" s="403"/>
      <c r="R77" s="403"/>
      <c r="S77" s="403"/>
      <c r="T77" s="403"/>
      <c r="U77" s="403"/>
    </row>
    <row r="78" spans="1:21" x14ac:dyDescent="0.25">
      <c r="L78" s="403"/>
      <c r="M78" s="403"/>
      <c r="N78" s="403"/>
      <c r="O78" s="403"/>
      <c r="P78" s="403"/>
      <c r="Q78" s="403"/>
      <c r="R78" s="403"/>
      <c r="S78" s="403"/>
      <c r="T78" s="403"/>
      <c r="U78" s="403"/>
    </row>
  </sheetData>
  <sheetProtection algorithmName="SHA-512" hashValue="UImQ+p/9Nq7sGzfhQlgREtsmq/GNnwCaLYsvz+imU9gTFiRb1nxcOU0yPWZUk8TY325CfrrqKvw33pa1qi0PRg==" saltValue="uILJAhrGUlhMsQuKbyGnmQ==" spinCount="100000" sheet="1" scenarios="1" formatCells="0" sort="0" autoFilter="0" pivotTables="0"/>
  <mergeCells count="1824">
    <mergeCell ref="A68:G68"/>
    <mergeCell ref="XDI44:XDQ44"/>
    <mergeCell ref="XDR44:XDZ44"/>
    <mergeCell ref="XEA44:XEI44"/>
    <mergeCell ref="XEJ44:XER44"/>
    <mergeCell ref="XES44:XFA44"/>
    <mergeCell ref="XBP44:XBX44"/>
    <mergeCell ref="XBY44:XCG44"/>
    <mergeCell ref="XCH44:XCP44"/>
    <mergeCell ref="XCQ44:XCY44"/>
    <mergeCell ref="XCZ44:XDH44"/>
    <mergeCell ref="WZW44:XAE44"/>
    <mergeCell ref="XAF44:XAN44"/>
    <mergeCell ref="XAO44:XAW44"/>
    <mergeCell ref="XAX44:XBF44"/>
    <mergeCell ref="XBG44:XBO44"/>
    <mergeCell ref="WYD44:WYL44"/>
    <mergeCell ref="WYM44:WYU44"/>
    <mergeCell ref="WYV44:WZD44"/>
    <mergeCell ref="WZE44:WZM44"/>
    <mergeCell ref="WZN44:WZV44"/>
    <mergeCell ref="WWK44:WWS44"/>
    <mergeCell ref="WWT44:WXB44"/>
    <mergeCell ref="WXC44:WXK44"/>
    <mergeCell ref="WXL44:WXT44"/>
    <mergeCell ref="WXU44:WYC44"/>
    <mergeCell ref="WUR44:WUZ44"/>
    <mergeCell ref="WVA44:WVI44"/>
    <mergeCell ref="WVJ44:WVR44"/>
    <mergeCell ref="WVS44:WWA44"/>
    <mergeCell ref="WWB44:WWJ44"/>
    <mergeCell ref="WSY44:WTG44"/>
    <mergeCell ref="WTH44:WTP44"/>
    <mergeCell ref="WTQ44:WTY44"/>
    <mergeCell ref="WTZ44:WUH44"/>
    <mergeCell ref="WUI44:WUQ44"/>
    <mergeCell ref="WRF44:WRN44"/>
    <mergeCell ref="WRO44:WRW44"/>
    <mergeCell ref="WRX44:WSF44"/>
    <mergeCell ref="WSG44:WSO44"/>
    <mergeCell ref="WSP44:WSX44"/>
    <mergeCell ref="WPM44:WPU44"/>
    <mergeCell ref="WPV44:WQD44"/>
    <mergeCell ref="WQE44:WQM44"/>
    <mergeCell ref="WQN44:WQV44"/>
    <mergeCell ref="WQW44:WRE44"/>
    <mergeCell ref="WNT44:WOB44"/>
    <mergeCell ref="WOC44:WOK44"/>
    <mergeCell ref="WOL44:WOT44"/>
    <mergeCell ref="WOU44:WPC44"/>
    <mergeCell ref="WPD44:WPL44"/>
    <mergeCell ref="WMA44:WMI44"/>
    <mergeCell ref="WMJ44:WMR44"/>
    <mergeCell ref="WMS44:WNA44"/>
    <mergeCell ref="WNB44:WNJ44"/>
    <mergeCell ref="WNK44:WNS44"/>
    <mergeCell ref="WKH44:WKP44"/>
    <mergeCell ref="WKQ44:WKY44"/>
    <mergeCell ref="WKZ44:WLH44"/>
    <mergeCell ref="WLI44:WLQ44"/>
    <mergeCell ref="WLR44:WLZ44"/>
    <mergeCell ref="WIO44:WIW44"/>
    <mergeCell ref="WIX44:WJF44"/>
    <mergeCell ref="WJG44:WJO44"/>
    <mergeCell ref="WJP44:WJX44"/>
    <mergeCell ref="WJY44:WKG44"/>
    <mergeCell ref="WGV44:WHD44"/>
    <mergeCell ref="WHE44:WHM44"/>
    <mergeCell ref="WHN44:WHV44"/>
    <mergeCell ref="WHW44:WIE44"/>
    <mergeCell ref="WIF44:WIN44"/>
    <mergeCell ref="WFC44:WFK44"/>
    <mergeCell ref="WFL44:WFT44"/>
    <mergeCell ref="WFU44:WGC44"/>
    <mergeCell ref="WGD44:WGL44"/>
    <mergeCell ref="WGM44:WGU44"/>
    <mergeCell ref="WDJ44:WDR44"/>
    <mergeCell ref="WDS44:WEA44"/>
    <mergeCell ref="WEB44:WEJ44"/>
    <mergeCell ref="WEK44:WES44"/>
    <mergeCell ref="WET44:WFB44"/>
    <mergeCell ref="WBQ44:WBY44"/>
    <mergeCell ref="WBZ44:WCH44"/>
    <mergeCell ref="WCI44:WCQ44"/>
    <mergeCell ref="WCR44:WCZ44"/>
    <mergeCell ref="WDA44:WDI44"/>
    <mergeCell ref="VZX44:WAF44"/>
    <mergeCell ref="WAG44:WAO44"/>
    <mergeCell ref="WAP44:WAX44"/>
    <mergeCell ref="WAY44:WBG44"/>
    <mergeCell ref="WBH44:WBP44"/>
    <mergeCell ref="VYE44:VYM44"/>
    <mergeCell ref="VYN44:VYV44"/>
    <mergeCell ref="VYW44:VZE44"/>
    <mergeCell ref="VZF44:VZN44"/>
    <mergeCell ref="VZO44:VZW44"/>
    <mergeCell ref="VWL44:VWT44"/>
    <mergeCell ref="VWU44:VXC44"/>
    <mergeCell ref="VXD44:VXL44"/>
    <mergeCell ref="VXM44:VXU44"/>
    <mergeCell ref="VXV44:VYD44"/>
    <mergeCell ref="VUS44:VVA44"/>
    <mergeCell ref="VVB44:VVJ44"/>
    <mergeCell ref="VVK44:VVS44"/>
    <mergeCell ref="VVT44:VWB44"/>
    <mergeCell ref="VWC44:VWK44"/>
    <mergeCell ref="VSZ44:VTH44"/>
    <mergeCell ref="VTI44:VTQ44"/>
    <mergeCell ref="VTR44:VTZ44"/>
    <mergeCell ref="VUA44:VUI44"/>
    <mergeCell ref="VUJ44:VUR44"/>
    <mergeCell ref="VRG44:VRO44"/>
    <mergeCell ref="VRP44:VRX44"/>
    <mergeCell ref="VRY44:VSG44"/>
    <mergeCell ref="VSH44:VSP44"/>
    <mergeCell ref="VSQ44:VSY44"/>
    <mergeCell ref="VPN44:VPV44"/>
    <mergeCell ref="VPW44:VQE44"/>
    <mergeCell ref="VQF44:VQN44"/>
    <mergeCell ref="VQO44:VQW44"/>
    <mergeCell ref="VQX44:VRF44"/>
    <mergeCell ref="VNU44:VOC44"/>
    <mergeCell ref="VOD44:VOL44"/>
    <mergeCell ref="VOM44:VOU44"/>
    <mergeCell ref="VOV44:VPD44"/>
    <mergeCell ref="VPE44:VPM44"/>
    <mergeCell ref="VMB44:VMJ44"/>
    <mergeCell ref="VMK44:VMS44"/>
    <mergeCell ref="VMT44:VNB44"/>
    <mergeCell ref="VNC44:VNK44"/>
    <mergeCell ref="VNL44:VNT44"/>
    <mergeCell ref="VKI44:VKQ44"/>
    <mergeCell ref="VKR44:VKZ44"/>
    <mergeCell ref="VLA44:VLI44"/>
    <mergeCell ref="VLJ44:VLR44"/>
    <mergeCell ref="VLS44:VMA44"/>
    <mergeCell ref="VIP44:VIX44"/>
    <mergeCell ref="VIY44:VJG44"/>
    <mergeCell ref="VJH44:VJP44"/>
    <mergeCell ref="VJQ44:VJY44"/>
    <mergeCell ref="VJZ44:VKH44"/>
    <mergeCell ref="VGW44:VHE44"/>
    <mergeCell ref="VHF44:VHN44"/>
    <mergeCell ref="VHO44:VHW44"/>
    <mergeCell ref="VHX44:VIF44"/>
    <mergeCell ref="VIG44:VIO44"/>
    <mergeCell ref="VFD44:VFL44"/>
    <mergeCell ref="VFM44:VFU44"/>
    <mergeCell ref="VFV44:VGD44"/>
    <mergeCell ref="VGE44:VGM44"/>
    <mergeCell ref="VGN44:VGV44"/>
    <mergeCell ref="VDK44:VDS44"/>
    <mergeCell ref="VDT44:VEB44"/>
    <mergeCell ref="VEC44:VEK44"/>
    <mergeCell ref="VEL44:VET44"/>
    <mergeCell ref="VEU44:VFC44"/>
    <mergeCell ref="VBR44:VBZ44"/>
    <mergeCell ref="VCA44:VCI44"/>
    <mergeCell ref="VCJ44:VCR44"/>
    <mergeCell ref="VCS44:VDA44"/>
    <mergeCell ref="VDB44:VDJ44"/>
    <mergeCell ref="UZY44:VAG44"/>
    <mergeCell ref="VAH44:VAP44"/>
    <mergeCell ref="VAQ44:VAY44"/>
    <mergeCell ref="VAZ44:VBH44"/>
    <mergeCell ref="VBI44:VBQ44"/>
    <mergeCell ref="UYF44:UYN44"/>
    <mergeCell ref="UYO44:UYW44"/>
    <mergeCell ref="UYX44:UZF44"/>
    <mergeCell ref="UZG44:UZO44"/>
    <mergeCell ref="UZP44:UZX44"/>
    <mergeCell ref="UWM44:UWU44"/>
    <mergeCell ref="UWV44:UXD44"/>
    <mergeCell ref="UXE44:UXM44"/>
    <mergeCell ref="UXN44:UXV44"/>
    <mergeCell ref="UXW44:UYE44"/>
    <mergeCell ref="UUT44:UVB44"/>
    <mergeCell ref="UVC44:UVK44"/>
    <mergeCell ref="UVL44:UVT44"/>
    <mergeCell ref="UVU44:UWC44"/>
    <mergeCell ref="UWD44:UWL44"/>
    <mergeCell ref="UTA44:UTI44"/>
    <mergeCell ref="UTJ44:UTR44"/>
    <mergeCell ref="UTS44:UUA44"/>
    <mergeCell ref="UUB44:UUJ44"/>
    <mergeCell ref="UUK44:UUS44"/>
    <mergeCell ref="URH44:URP44"/>
    <mergeCell ref="URQ44:URY44"/>
    <mergeCell ref="URZ44:USH44"/>
    <mergeCell ref="USI44:USQ44"/>
    <mergeCell ref="USR44:USZ44"/>
    <mergeCell ref="UPO44:UPW44"/>
    <mergeCell ref="UPX44:UQF44"/>
    <mergeCell ref="UQG44:UQO44"/>
    <mergeCell ref="UQP44:UQX44"/>
    <mergeCell ref="UQY44:URG44"/>
    <mergeCell ref="UNV44:UOD44"/>
    <mergeCell ref="UOE44:UOM44"/>
    <mergeCell ref="UON44:UOV44"/>
    <mergeCell ref="UOW44:UPE44"/>
    <mergeCell ref="UPF44:UPN44"/>
    <mergeCell ref="UMC44:UMK44"/>
    <mergeCell ref="UML44:UMT44"/>
    <mergeCell ref="UMU44:UNC44"/>
    <mergeCell ref="UND44:UNL44"/>
    <mergeCell ref="UNM44:UNU44"/>
    <mergeCell ref="UKJ44:UKR44"/>
    <mergeCell ref="UKS44:ULA44"/>
    <mergeCell ref="ULB44:ULJ44"/>
    <mergeCell ref="ULK44:ULS44"/>
    <mergeCell ref="ULT44:UMB44"/>
    <mergeCell ref="UIQ44:UIY44"/>
    <mergeCell ref="UIZ44:UJH44"/>
    <mergeCell ref="UJI44:UJQ44"/>
    <mergeCell ref="UJR44:UJZ44"/>
    <mergeCell ref="UKA44:UKI44"/>
    <mergeCell ref="UGX44:UHF44"/>
    <mergeCell ref="UHG44:UHO44"/>
    <mergeCell ref="UHP44:UHX44"/>
    <mergeCell ref="UHY44:UIG44"/>
    <mergeCell ref="UIH44:UIP44"/>
    <mergeCell ref="UFE44:UFM44"/>
    <mergeCell ref="UFN44:UFV44"/>
    <mergeCell ref="UFW44:UGE44"/>
    <mergeCell ref="UGF44:UGN44"/>
    <mergeCell ref="UGO44:UGW44"/>
    <mergeCell ref="UDL44:UDT44"/>
    <mergeCell ref="UDU44:UEC44"/>
    <mergeCell ref="UED44:UEL44"/>
    <mergeCell ref="UEM44:UEU44"/>
    <mergeCell ref="UEV44:UFD44"/>
    <mergeCell ref="UBS44:UCA44"/>
    <mergeCell ref="UCB44:UCJ44"/>
    <mergeCell ref="UCK44:UCS44"/>
    <mergeCell ref="UCT44:UDB44"/>
    <mergeCell ref="UDC44:UDK44"/>
    <mergeCell ref="TZZ44:UAH44"/>
    <mergeCell ref="UAI44:UAQ44"/>
    <mergeCell ref="UAR44:UAZ44"/>
    <mergeCell ref="UBA44:UBI44"/>
    <mergeCell ref="UBJ44:UBR44"/>
    <mergeCell ref="TYG44:TYO44"/>
    <mergeCell ref="TYP44:TYX44"/>
    <mergeCell ref="TYY44:TZG44"/>
    <mergeCell ref="TZH44:TZP44"/>
    <mergeCell ref="TZQ44:TZY44"/>
    <mergeCell ref="TWN44:TWV44"/>
    <mergeCell ref="TWW44:TXE44"/>
    <mergeCell ref="TXF44:TXN44"/>
    <mergeCell ref="TXO44:TXW44"/>
    <mergeCell ref="TXX44:TYF44"/>
    <mergeCell ref="TUU44:TVC44"/>
    <mergeCell ref="TVD44:TVL44"/>
    <mergeCell ref="TVM44:TVU44"/>
    <mergeCell ref="TVV44:TWD44"/>
    <mergeCell ref="TWE44:TWM44"/>
    <mergeCell ref="TTB44:TTJ44"/>
    <mergeCell ref="TTK44:TTS44"/>
    <mergeCell ref="TTT44:TUB44"/>
    <mergeCell ref="TUC44:TUK44"/>
    <mergeCell ref="TUL44:TUT44"/>
    <mergeCell ref="TRI44:TRQ44"/>
    <mergeCell ref="TRR44:TRZ44"/>
    <mergeCell ref="TSA44:TSI44"/>
    <mergeCell ref="TSJ44:TSR44"/>
    <mergeCell ref="TSS44:TTA44"/>
    <mergeCell ref="TPP44:TPX44"/>
    <mergeCell ref="TPY44:TQG44"/>
    <mergeCell ref="TQH44:TQP44"/>
    <mergeCell ref="TQQ44:TQY44"/>
    <mergeCell ref="TQZ44:TRH44"/>
    <mergeCell ref="TNW44:TOE44"/>
    <mergeCell ref="TOF44:TON44"/>
    <mergeCell ref="TOO44:TOW44"/>
    <mergeCell ref="TOX44:TPF44"/>
    <mergeCell ref="TPG44:TPO44"/>
    <mergeCell ref="TMD44:TML44"/>
    <mergeCell ref="TMM44:TMU44"/>
    <mergeCell ref="TMV44:TND44"/>
    <mergeCell ref="TNE44:TNM44"/>
    <mergeCell ref="TNN44:TNV44"/>
    <mergeCell ref="TKK44:TKS44"/>
    <mergeCell ref="TKT44:TLB44"/>
    <mergeCell ref="TLC44:TLK44"/>
    <mergeCell ref="TLL44:TLT44"/>
    <mergeCell ref="TLU44:TMC44"/>
    <mergeCell ref="TIR44:TIZ44"/>
    <mergeCell ref="TJA44:TJI44"/>
    <mergeCell ref="TJJ44:TJR44"/>
    <mergeCell ref="TJS44:TKA44"/>
    <mergeCell ref="TKB44:TKJ44"/>
    <mergeCell ref="TGY44:THG44"/>
    <mergeCell ref="THH44:THP44"/>
    <mergeCell ref="THQ44:THY44"/>
    <mergeCell ref="THZ44:TIH44"/>
    <mergeCell ref="TII44:TIQ44"/>
    <mergeCell ref="TFF44:TFN44"/>
    <mergeCell ref="TFO44:TFW44"/>
    <mergeCell ref="TFX44:TGF44"/>
    <mergeCell ref="TGG44:TGO44"/>
    <mergeCell ref="TGP44:TGX44"/>
    <mergeCell ref="TDM44:TDU44"/>
    <mergeCell ref="TDV44:TED44"/>
    <mergeCell ref="TEE44:TEM44"/>
    <mergeCell ref="TEN44:TEV44"/>
    <mergeCell ref="TEW44:TFE44"/>
    <mergeCell ref="TBT44:TCB44"/>
    <mergeCell ref="TCC44:TCK44"/>
    <mergeCell ref="TCL44:TCT44"/>
    <mergeCell ref="TCU44:TDC44"/>
    <mergeCell ref="TDD44:TDL44"/>
    <mergeCell ref="TAA44:TAI44"/>
    <mergeCell ref="TAJ44:TAR44"/>
    <mergeCell ref="TAS44:TBA44"/>
    <mergeCell ref="TBB44:TBJ44"/>
    <mergeCell ref="TBK44:TBS44"/>
    <mergeCell ref="SYH44:SYP44"/>
    <mergeCell ref="SYQ44:SYY44"/>
    <mergeCell ref="SYZ44:SZH44"/>
    <mergeCell ref="SZI44:SZQ44"/>
    <mergeCell ref="SZR44:SZZ44"/>
    <mergeCell ref="SWO44:SWW44"/>
    <mergeCell ref="SWX44:SXF44"/>
    <mergeCell ref="SXG44:SXO44"/>
    <mergeCell ref="SXP44:SXX44"/>
    <mergeCell ref="SXY44:SYG44"/>
    <mergeCell ref="SUV44:SVD44"/>
    <mergeCell ref="SVE44:SVM44"/>
    <mergeCell ref="SVN44:SVV44"/>
    <mergeCell ref="SVW44:SWE44"/>
    <mergeCell ref="SWF44:SWN44"/>
    <mergeCell ref="STC44:STK44"/>
    <mergeCell ref="STL44:STT44"/>
    <mergeCell ref="STU44:SUC44"/>
    <mergeCell ref="SUD44:SUL44"/>
    <mergeCell ref="SUM44:SUU44"/>
    <mergeCell ref="SRJ44:SRR44"/>
    <mergeCell ref="SRS44:SSA44"/>
    <mergeCell ref="SSB44:SSJ44"/>
    <mergeCell ref="SSK44:SSS44"/>
    <mergeCell ref="SST44:STB44"/>
    <mergeCell ref="SPQ44:SPY44"/>
    <mergeCell ref="SPZ44:SQH44"/>
    <mergeCell ref="SQI44:SQQ44"/>
    <mergeCell ref="SQR44:SQZ44"/>
    <mergeCell ref="SRA44:SRI44"/>
    <mergeCell ref="SNX44:SOF44"/>
    <mergeCell ref="SOG44:SOO44"/>
    <mergeCell ref="SOP44:SOX44"/>
    <mergeCell ref="SOY44:SPG44"/>
    <mergeCell ref="SPH44:SPP44"/>
    <mergeCell ref="SME44:SMM44"/>
    <mergeCell ref="SMN44:SMV44"/>
    <mergeCell ref="SMW44:SNE44"/>
    <mergeCell ref="SNF44:SNN44"/>
    <mergeCell ref="SNO44:SNW44"/>
    <mergeCell ref="SKL44:SKT44"/>
    <mergeCell ref="SKU44:SLC44"/>
    <mergeCell ref="SLD44:SLL44"/>
    <mergeCell ref="SLM44:SLU44"/>
    <mergeCell ref="SLV44:SMD44"/>
    <mergeCell ref="SIS44:SJA44"/>
    <mergeCell ref="SJB44:SJJ44"/>
    <mergeCell ref="SJK44:SJS44"/>
    <mergeCell ref="SJT44:SKB44"/>
    <mergeCell ref="SKC44:SKK44"/>
    <mergeCell ref="SGZ44:SHH44"/>
    <mergeCell ref="SHI44:SHQ44"/>
    <mergeCell ref="SHR44:SHZ44"/>
    <mergeCell ref="SIA44:SII44"/>
    <mergeCell ref="SIJ44:SIR44"/>
    <mergeCell ref="SFG44:SFO44"/>
    <mergeCell ref="SFP44:SFX44"/>
    <mergeCell ref="SFY44:SGG44"/>
    <mergeCell ref="SGH44:SGP44"/>
    <mergeCell ref="SGQ44:SGY44"/>
    <mergeCell ref="SDN44:SDV44"/>
    <mergeCell ref="SDW44:SEE44"/>
    <mergeCell ref="SEF44:SEN44"/>
    <mergeCell ref="SEO44:SEW44"/>
    <mergeCell ref="SEX44:SFF44"/>
    <mergeCell ref="SBU44:SCC44"/>
    <mergeCell ref="SCD44:SCL44"/>
    <mergeCell ref="SCM44:SCU44"/>
    <mergeCell ref="SCV44:SDD44"/>
    <mergeCell ref="SDE44:SDM44"/>
    <mergeCell ref="SAB44:SAJ44"/>
    <mergeCell ref="SAK44:SAS44"/>
    <mergeCell ref="SAT44:SBB44"/>
    <mergeCell ref="SBC44:SBK44"/>
    <mergeCell ref="SBL44:SBT44"/>
    <mergeCell ref="RYI44:RYQ44"/>
    <mergeCell ref="RYR44:RYZ44"/>
    <mergeCell ref="RZA44:RZI44"/>
    <mergeCell ref="RZJ44:RZR44"/>
    <mergeCell ref="RZS44:SAA44"/>
    <mergeCell ref="RWP44:RWX44"/>
    <mergeCell ref="RWY44:RXG44"/>
    <mergeCell ref="RXH44:RXP44"/>
    <mergeCell ref="RXQ44:RXY44"/>
    <mergeCell ref="RXZ44:RYH44"/>
    <mergeCell ref="RUW44:RVE44"/>
    <mergeCell ref="RVF44:RVN44"/>
    <mergeCell ref="RVO44:RVW44"/>
    <mergeCell ref="RVX44:RWF44"/>
    <mergeCell ref="RWG44:RWO44"/>
    <mergeCell ref="RTD44:RTL44"/>
    <mergeCell ref="RTM44:RTU44"/>
    <mergeCell ref="RTV44:RUD44"/>
    <mergeCell ref="RUE44:RUM44"/>
    <mergeCell ref="RUN44:RUV44"/>
    <mergeCell ref="RRK44:RRS44"/>
    <mergeCell ref="RRT44:RSB44"/>
    <mergeCell ref="RSC44:RSK44"/>
    <mergeCell ref="RSL44:RST44"/>
    <mergeCell ref="RSU44:RTC44"/>
    <mergeCell ref="RPR44:RPZ44"/>
    <mergeCell ref="RQA44:RQI44"/>
    <mergeCell ref="RQJ44:RQR44"/>
    <mergeCell ref="RQS44:RRA44"/>
    <mergeCell ref="RRB44:RRJ44"/>
    <mergeCell ref="RNY44:ROG44"/>
    <mergeCell ref="ROH44:ROP44"/>
    <mergeCell ref="ROQ44:ROY44"/>
    <mergeCell ref="ROZ44:RPH44"/>
    <mergeCell ref="RPI44:RPQ44"/>
    <mergeCell ref="RMF44:RMN44"/>
    <mergeCell ref="RMO44:RMW44"/>
    <mergeCell ref="RMX44:RNF44"/>
    <mergeCell ref="RNG44:RNO44"/>
    <mergeCell ref="RNP44:RNX44"/>
    <mergeCell ref="RKM44:RKU44"/>
    <mergeCell ref="RKV44:RLD44"/>
    <mergeCell ref="RLE44:RLM44"/>
    <mergeCell ref="RLN44:RLV44"/>
    <mergeCell ref="RLW44:RME44"/>
    <mergeCell ref="RIT44:RJB44"/>
    <mergeCell ref="RJC44:RJK44"/>
    <mergeCell ref="RJL44:RJT44"/>
    <mergeCell ref="RJU44:RKC44"/>
    <mergeCell ref="RKD44:RKL44"/>
    <mergeCell ref="RHA44:RHI44"/>
    <mergeCell ref="RHJ44:RHR44"/>
    <mergeCell ref="RHS44:RIA44"/>
    <mergeCell ref="RIB44:RIJ44"/>
    <mergeCell ref="RIK44:RIS44"/>
    <mergeCell ref="RFH44:RFP44"/>
    <mergeCell ref="RFQ44:RFY44"/>
    <mergeCell ref="RFZ44:RGH44"/>
    <mergeCell ref="RGI44:RGQ44"/>
    <mergeCell ref="RGR44:RGZ44"/>
    <mergeCell ref="RDO44:RDW44"/>
    <mergeCell ref="RDX44:REF44"/>
    <mergeCell ref="REG44:REO44"/>
    <mergeCell ref="REP44:REX44"/>
    <mergeCell ref="REY44:RFG44"/>
    <mergeCell ref="RBV44:RCD44"/>
    <mergeCell ref="RCE44:RCM44"/>
    <mergeCell ref="RCN44:RCV44"/>
    <mergeCell ref="RCW44:RDE44"/>
    <mergeCell ref="RDF44:RDN44"/>
    <mergeCell ref="RAC44:RAK44"/>
    <mergeCell ref="RAL44:RAT44"/>
    <mergeCell ref="RAU44:RBC44"/>
    <mergeCell ref="RBD44:RBL44"/>
    <mergeCell ref="RBM44:RBU44"/>
    <mergeCell ref="QYJ44:QYR44"/>
    <mergeCell ref="QYS44:QZA44"/>
    <mergeCell ref="QZB44:QZJ44"/>
    <mergeCell ref="QZK44:QZS44"/>
    <mergeCell ref="QZT44:RAB44"/>
    <mergeCell ref="QWQ44:QWY44"/>
    <mergeCell ref="QWZ44:QXH44"/>
    <mergeCell ref="QXI44:QXQ44"/>
    <mergeCell ref="QXR44:QXZ44"/>
    <mergeCell ref="QYA44:QYI44"/>
    <mergeCell ref="QUX44:QVF44"/>
    <mergeCell ref="QVG44:QVO44"/>
    <mergeCell ref="QVP44:QVX44"/>
    <mergeCell ref="QVY44:QWG44"/>
    <mergeCell ref="QWH44:QWP44"/>
    <mergeCell ref="QTE44:QTM44"/>
    <mergeCell ref="QTN44:QTV44"/>
    <mergeCell ref="QTW44:QUE44"/>
    <mergeCell ref="QUF44:QUN44"/>
    <mergeCell ref="QUO44:QUW44"/>
    <mergeCell ref="QRL44:QRT44"/>
    <mergeCell ref="QRU44:QSC44"/>
    <mergeCell ref="QSD44:QSL44"/>
    <mergeCell ref="QSM44:QSU44"/>
    <mergeCell ref="QSV44:QTD44"/>
    <mergeCell ref="QPS44:QQA44"/>
    <mergeCell ref="QQB44:QQJ44"/>
    <mergeCell ref="QQK44:QQS44"/>
    <mergeCell ref="QQT44:QRB44"/>
    <mergeCell ref="QRC44:QRK44"/>
    <mergeCell ref="QNZ44:QOH44"/>
    <mergeCell ref="QOI44:QOQ44"/>
    <mergeCell ref="QOR44:QOZ44"/>
    <mergeCell ref="QPA44:QPI44"/>
    <mergeCell ref="QPJ44:QPR44"/>
    <mergeCell ref="QMG44:QMO44"/>
    <mergeCell ref="QMP44:QMX44"/>
    <mergeCell ref="QMY44:QNG44"/>
    <mergeCell ref="QNH44:QNP44"/>
    <mergeCell ref="QNQ44:QNY44"/>
    <mergeCell ref="QKN44:QKV44"/>
    <mergeCell ref="QKW44:QLE44"/>
    <mergeCell ref="QLF44:QLN44"/>
    <mergeCell ref="QLO44:QLW44"/>
    <mergeCell ref="QLX44:QMF44"/>
    <mergeCell ref="QIU44:QJC44"/>
    <mergeCell ref="QJD44:QJL44"/>
    <mergeCell ref="QJM44:QJU44"/>
    <mergeCell ref="QJV44:QKD44"/>
    <mergeCell ref="QKE44:QKM44"/>
    <mergeCell ref="QHB44:QHJ44"/>
    <mergeCell ref="QHK44:QHS44"/>
    <mergeCell ref="QHT44:QIB44"/>
    <mergeCell ref="QIC44:QIK44"/>
    <mergeCell ref="QIL44:QIT44"/>
    <mergeCell ref="QFI44:QFQ44"/>
    <mergeCell ref="QFR44:QFZ44"/>
    <mergeCell ref="QGA44:QGI44"/>
    <mergeCell ref="QGJ44:QGR44"/>
    <mergeCell ref="QGS44:QHA44"/>
    <mergeCell ref="QDP44:QDX44"/>
    <mergeCell ref="QDY44:QEG44"/>
    <mergeCell ref="QEH44:QEP44"/>
    <mergeCell ref="QEQ44:QEY44"/>
    <mergeCell ref="QEZ44:QFH44"/>
    <mergeCell ref="QBW44:QCE44"/>
    <mergeCell ref="QCF44:QCN44"/>
    <mergeCell ref="QCO44:QCW44"/>
    <mergeCell ref="QCX44:QDF44"/>
    <mergeCell ref="QDG44:QDO44"/>
    <mergeCell ref="QAD44:QAL44"/>
    <mergeCell ref="QAM44:QAU44"/>
    <mergeCell ref="QAV44:QBD44"/>
    <mergeCell ref="QBE44:QBM44"/>
    <mergeCell ref="QBN44:QBV44"/>
    <mergeCell ref="PYK44:PYS44"/>
    <mergeCell ref="PYT44:PZB44"/>
    <mergeCell ref="PZC44:PZK44"/>
    <mergeCell ref="PZL44:PZT44"/>
    <mergeCell ref="PZU44:QAC44"/>
    <mergeCell ref="PWR44:PWZ44"/>
    <mergeCell ref="PXA44:PXI44"/>
    <mergeCell ref="PXJ44:PXR44"/>
    <mergeCell ref="PXS44:PYA44"/>
    <mergeCell ref="PYB44:PYJ44"/>
    <mergeCell ref="PUY44:PVG44"/>
    <mergeCell ref="PVH44:PVP44"/>
    <mergeCell ref="PVQ44:PVY44"/>
    <mergeCell ref="PVZ44:PWH44"/>
    <mergeCell ref="PWI44:PWQ44"/>
    <mergeCell ref="PTF44:PTN44"/>
    <mergeCell ref="PTO44:PTW44"/>
    <mergeCell ref="PTX44:PUF44"/>
    <mergeCell ref="PUG44:PUO44"/>
    <mergeCell ref="PUP44:PUX44"/>
    <mergeCell ref="PRM44:PRU44"/>
    <mergeCell ref="PRV44:PSD44"/>
    <mergeCell ref="PSE44:PSM44"/>
    <mergeCell ref="PSN44:PSV44"/>
    <mergeCell ref="PSW44:PTE44"/>
    <mergeCell ref="PPT44:PQB44"/>
    <mergeCell ref="PQC44:PQK44"/>
    <mergeCell ref="PQL44:PQT44"/>
    <mergeCell ref="PQU44:PRC44"/>
    <mergeCell ref="PRD44:PRL44"/>
    <mergeCell ref="POA44:POI44"/>
    <mergeCell ref="POJ44:POR44"/>
    <mergeCell ref="POS44:PPA44"/>
    <mergeCell ref="PPB44:PPJ44"/>
    <mergeCell ref="PPK44:PPS44"/>
    <mergeCell ref="PMH44:PMP44"/>
    <mergeCell ref="PMQ44:PMY44"/>
    <mergeCell ref="PMZ44:PNH44"/>
    <mergeCell ref="PNI44:PNQ44"/>
    <mergeCell ref="PNR44:PNZ44"/>
    <mergeCell ref="PKO44:PKW44"/>
    <mergeCell ref="PKX44:PLF44"/>
    <mergeCell ref="PLG44:PLO44"/>
    <mergeCell ref="PLP44:PLX44"/>
    <mergeCell ref="PLY44:PMG44"/>
    <mergeCell ref="PIV44:PJD44"/>
    <mergeCell ref="PJE44:PJM44"/>
    <mergeCell ref="PJN44:PJV44"/>
    <mergeCell ref="PJW44:PKE44"/>
    <mergeCell ref="PKF44:PKN44"/>
    <mergeCell ref="PHC44:PHK44"/>
    <mergeCell ref="PHL44:PHT44"/>
    <mergeCell ref="PHU44:PIC44"/>
    <mergeCell ref="PID44:PIL44"/>
    <mergeCell ref="PIM44:PIU44"/>
    <mergeCell ref="PFJ44:PFR44"/>
    <mergeCell ref="PFS44:PGA44"/>
    <mergeCell ref="PGB44:PGJ44"/>
    <mergeCell ref="PGK44:PGS44"/>
    <mergeCell ref="PGT44:PHB44"/>
    <mergeCell ref="PDQ44:PDY44"/>
    <mergeCell ref="PDZ44:PEH44"/>
    <mergeCell ref="PEI44:PEQ44"/>
    <mergeCell ref="PER44:PEZ44"/>
    <mergeCell ref="PFA44:PFI44"/>
    <mergeCell ref="PBX44:PCF44"/>
    <mergeCell ref="PCG44:PCO44"/>
    <mergeCell ref="PCP44:PCX44"/>
    <mergeCell ref="PCY44:PDG44"/>
    <mergeCell ref="PDH44:PDP44"/>
    <mergeCell ref="PAE44:PAM44"/>
    <mergeCell ref="PAN44:PAV44"/>
    <mergeCell ref="PAW44:PBE44"/>
    <mergeCell ref="PBF44:PBN44"/>
    <mergeCell ref="PBO44:PBW44"/>
    <mergeCell ref="OYL44:OYT44"/>
    <mergeCell ref="OYU44:OZC44"/>
    <mergeCell ref="OZD44:OZL44"/>
    <mergeCell ref="OZM44:OZU44"/>
    <mergeCell ref="OZV44:PAD44"/>
    <mergeCell ref="OWS44:OXA44"/>
    <mergeCell ref="OXB44:OXJ44"/>
    <mergeCell ref="OXK44:OXS44"/>
    <mergeCell ref="OXT44:OYB44"/>
    <mergeCell ref="OYC44:OYK44"/>
    <mergeCell ref="OUZ44:OVH44"/>
    <mergeCell ref="OVI44:OVQ44"/>
    <mergeCell ref="OVR44:OVZ44"/>
    <mergeCell ref="OWA44:OWI44"/>
    <mergeCell ref="OWJ44:OWR44"/>
    <mergeCell ref="OTG44:OTO44"/>
    <mergeCell ref="OTP44:OTX44"/>
    <mergeCell ref="OTY44:OUG44"/>
    <mergeCell ref="OUH44:OUP44"/>
    <mergeCell ref="OUQ44:OUY44"/>
    <mergeCell ref="ORN44:ORV44"/>
    <mergeCell ref="ORW44:OSE44"/>
    <mergeCell ref="OSF44:OSN44"/>
    <mergeCell ref="OSO44:OSW44"/>
    <mergeCell ref="OSX44:OTF44"/>
    <mergeCell ref="OPU44:OQC44"/>
    <mergeCell ref="OQD44:OQL44"/>
    <mergeCell ref="OQM44:OQU44"/>
    <mergeCell ref="OQV44:ORD44"/>
    <mergeCell ref="ORE44:ORM44"/>
    <mergeCell ref="OOB44:OOJ44"/>
    <mergeCell ref="OOK44:OOS44"/>
    <mergeCell ref="OOT44:OPB44"/>
    <mergeCell ref="OPC44:OPK44"/>
    <mergeCell ref="OPL44:OPT44"/>
    <mergeCell ref="OMI44:OMQ44"/>
    <mergeCell ref="OMR44:OMZ44"/>
    <mergeCell ref="ONA44:ONI44"/>
    <mergeCell ref="ONJ44:ONR44"/>
    <mergeCell ref="ONS44:OOA44"/>
    <mergeCell ref="OKP44:OKX44"/>
    <mergeCell ref="OKY44:OLG44"/>
    <mergeCell ref="OLH44:OLP44"/>
    <mergeCell ref="OLQ44:OLY44"/>
    <mergeCell ref="OLZ44:OMH44"/>
    <mergeCell ref="OIW44:OJE44"/>
    <mergeCell ref="OJF44:OJN44"/>
    <mergeCell ref="OJO44:OJW44"/>
    <mergeCell ref="OJX44:OKF44"/>
    <mergeCell ref="OKG44:OKO44"/>
    <mergeCell ref="OHD44:OHL44"/>
    <mergeCell ref="OHM44:OHU44"/>
    <mergeCell ref="OHV44:OID44"/>
    <mergeCell ref="OIE44:OIM44"/>
    <mergeCell ref="OIN44:OIV44"/>
    <mergeCell ref="OFK44:OFS44"/>
    <mergeCell ref="OFT44:OGB44"/>
    <mergeCell ref="OGC44:OGK44"/>
    <mergeCell ref="OGL44:OGT44"/>
    <mergeCell ref="OGU44:OHC44"/>
    <mergeCell ref="ODR44:ODZ44"/>
    <mergeCell ref="OEA44:OEI44"/>
    <mergeCell ref="OEJ44:OER44"/>
    <mergeCell ref="OES44:OFA44"/>
    <mergeCell ref="OFB44:OFJ44"/>
    <mergeCell ref="OBY44:OCG44"/>
    <mergeCell ref="OCH44:OCP44"/>
    <mergeCell ref="OCQ44:OCY44"/>
    <mergeCell ref="OCZ44:ODH44"/>
    <mergeCell ref="ODI44:ODQ44"/>
    <mergeCell ref="OAF44:OAN44"/>
    <mergeCell ref="OAO44:OAW44"/>
    <mergeCell ref="OAX44:OBF44"/>
    <mergeCell ref="OBG44:OBO44"/>
    <mergeCell ref="OBP44:OBX44"/>
    <mergeCell ref="NYM44:NYU44"/>
    <mergeCell ref="NYV44:NZD44"/>
    <mergeCell ref="NZE44:NZM44"/>
    <mergeCell ref="NZN44:NZV44"/>
    <mergeCell ref="NZW44:OAE44"/>
    <mergeCell ref="NWT44:NXB44"/>
    <mergeCell ref="NXC44:NXK44"/>
    <mergeCell ref="NXL44:NXT44"/>
    <mergeCell ref="NXU44:NYC44"/>
    <mergeCell ref="NYD44:NYL44"/>
    <mergeCell ref="NVA44:NVI44"/>
    <mergeCell ref="NVJ44:NVR44"/>
    <mergeCell ref="NVS44:NWA44"/>
    <mergeCell ref="NWB44:NWJ44"/>
    <mergeCell ref="NWK44:NWS44"/>
    <mergeCell ref="NTH44:NTP44"/>
    <mergeCell ref="NTQ44:NTY44"/>
    <mergeCell ref="NTZ44:NUH44"/>
    <mergeCell ref="NUI44:NUQ44"/>
    <mergeCell ref="NUR44:NUZ44"/>
    <mergeCell ref="NRO44:NRW44"/>
    <mergeCell ref="NRX44:NSF44"/>
    <mergeCell ref="NSG44:NSO44"/>
    <mergeCell ref="NSP44:NSX44"/>
    <mergeCell ref="NSY44:NTG44"/>
    <mergeCell ref="NPV44:NQD44"/>
    <mergeCell ref="NQE44:NQM44"/>
    <mergeCell ref="NQN44:NQV44"/>
    <mergeCell ref="NQW44:NRE44"/>
    <mergeCell ref="NRF44:NRN44"/>
    <mergeCell ref="NOC44:NOK44"/>
    <mergeCell ref="NOL44:NOT44"/>
    <mergeCell ref="NOU44:NPC44"/>
    <mergeCell ref="NPD44:NPL44"/>
    <mergeCell ref="NPM44:NPU44"/>
    <mergeCell ref="NMJ44:NMR44"/>
    <mergeCell ref="NMS44:NNA44"/>
    <mergeCell ref="NNB44:NNJ44"/>
    <mergeCell ref="NNK44:NNS44"/>
    <mergeCell ref="NNT44:NOB44"/>
    <mergeCell ref="NKQ44:NKY44"/>
    <mergeCell ref="NKZ44:NLH44"/>
    <mergeCell ref="NLI44:NLQ44"/>
    <mergeCell ref="NLR44:NLZ44"/>
    <mergeCell ref="NMA44:NMI44"/>
    <mergeCell ref="NIX44:NJF44"/>
    <mergeCell ref="NJG44:NJO44"/>
    <mergeCell ref="NJP44:NJX44"/>
    <mergeCell ref="NJY44:NKG44"/>
    <mergeCell ref="NKH44:NKP44"/>
    <mergeCell ref="NHE44:NHM44"/>
    <mergeCell ref="NHN44:NHV44"/>
    <mergeCell ref="NHW44:NIE44"/>
    <mergeCell ref="NIF44:NIN44"/>
    <mergeCell ref="NIO44:NIW44"/>
    <mergeCell ref="NFL44:NFT44"/>
    <mergeCell ref="NFU44:NGC44"/>
    <mergeCell ref="NGD44:NGL44"/>
    <mergeCell ref="NGM44:NGU44"/>
    <mergeCell ref="NGV44:NHD44"/>
    <mergeCell ref="NDS44:NEA44"/>
    <mergeCell ref="NEB44:NEJ44"/>
    <mergeCell ref="NEK44:NES44"/>
    <mergeCell ref="NET44:NFB44"/>
    <mergeCell ref="NFC44:NFK44"/>
    <mergeCell ref="NBZ44:NCH44"/>
    <mergeCell ref="NCI44:NCQ44"/>
    <mergeCell ref="NCR44:NCZ44"/>
    <mergeCell ref="NDA44:NDI44"/>
    <mergeCell ref="NDJ44:NDR44"/>
    <mergeCell ref="NAG44:NAO44"/>
    <mergeCell ref="NAP44:NAX44"/>
    <mergeCell ref="NAY44:NBG44"/>
    <mergeCell ref="NBH44:NBP44"/>
    <mergeCell ref="NBQ44:NBY44"/>
    <mergeCell ref="MYN44:MYV44"/>
    <mergeCell ref="MYW44:MZE44"/>
    <mergeCell ref="MZF44:MZN44"/>
    <mergeCell ref="MZO44:MZW44"/>
    <mergeCell ref="MZX44:NAF44"/>
    <mergeCell ref="MWU44:MXC44"/>
    <mergeCell ref="MXD44:MXL44"/>
    <mergeCell ref="MXM44:MXU44"/>
    <mergeCell ref="MXV44:MYD44"/>
    <mergeCell ref="MYE44:MYM44"/>
    <mergeCell ref="MVB44:MVJ44"/>
    <mergeCell ref="MVK44:MVS44"/>
    <mergeCell ref="MVT44:MWB44"/>
    <mergeCell ref="MWC44:MWK44"/>
    <mergeCell ref="MWL44:MWT44"/>
    <mergeCell ref="MTI44:MTQ44"/>
    <mergeCell ref="MTR44:MTZ44"/>
    <mergeCell ref="MUA44:MUI44"/>
    <mergeCell ref="MUJ44:MUR44"/>
    <mergeCell ref="MUS44:MVA44"/>
    <mergeCell ref="MRP44:MRX44"/>
    <mergeCell ref="MRY44:MSG44"/>
    <mergeCell ref="MSH44:MSP44"/>
    <mergeCell ref="MSQ44:MSY44"/>
    <mergeCell ref="MSZ44:MTH44"/>
    <mergeCell ref="MPW44:MQE44"/>
    <mergeCell ref="MQF44:MQN44"/>
    <mergeCell ref="MQO44:MQW44"/>
    <mergeCell ref="MQX44:MRF44"/>
    <mergeCell ref="MRG44:MRO44"/>
    <mergeCell ref="MOD44:MOL44"/>
    <mergeCell ref="MOM44:MOU44"/>
    <mergeCell ref="MOV44:MPD44"/>
    <mergeCell ref="MPE44:MPM44"/>
    <mergeCell ref="MPN44:MPV44"/>
    <mergeCell ref="MMK44:MMS44"/>
    <mergeCell ref="MMT44:MNB44"/>
    <mergeCell ref="MNC44:MNK44"/>
    <mergeCell ref="MNL44:MNT44"/>
    <mergeCell ref="MNU44:MOC44"/>
    <mergeCell ref="MKR44:MKZ44"/>
    <mergeCell ref="MLA44:MLI44"/>
    <mergeCell ref="MLJ44:MLR44"/>
    <mergeCell ref="MLS44:MMA44"/>
    <mergeCell ref="MMB44:MMJ44"/>
    <mergeCell ref="MIY44:MJG44"/>
    <mergeCell ref="MJH44:MJP44"/>
    <mergeCell ref="MJQ44:MJY44"/>
    <mergeCell ref="MJZ44:MKH44"/>
    <mergeCell ref="MKI44:MKQ44"/>
    <mergeCell ref="MHF44:MHN44"/>
    <mergeCell ref="MHO44:MHW44"/>
    <mergeCell ref="MHX44:MIF44"/>
    <mergeCell ref="MIG44:MIO44"/>
    <mergeCell ref="MIP44:MIX44"/>
    <mergeCell ref="MFM44:MFU44"/>
    <mergeCell ref="MFV44:MGD44"/>
    <mergeCell ref="MGE44:MGM44"/>
    <mergeCell ref="MGN44:MGV44"/>
    <mergeCell ref="MGW44:MHE44"/>
    <mergeCell ref="MDT44:MEB44"/>
    <mergeCell ref="MEC44:MEK44"/>
    <mergeCell ref="MEL44:MET44"/>
    <mergeCell ref="MEU44:MFC44"/>
    <mergeCell ref="MFD44:MFL44"/>
    <mergeCell ref="MCA44:MCI44"/>
    <mergeCell ref="MCJ44:MCR44"/>
    <mergeCell ref="MCS44:MDA44"/>
    <mergeCell ref="MDB44:MDJ44"/>
    <mergeCell ref="MDK44:MDS44"/>
    <mergeCell ref="MAH44:MAP44"/>
    <mergeCell ref="MAQ44:MAY44"/>
    <mergeCell ref="MAZ44:MBH44"/>
    <mergeCell ref="MBI44:MBQ44"/>
    <mergeCell ref="MBR44:MBZ44"/>
    <mergeCell ref="LYO44:LYW44"/>
    <mergeCell ref="LYX44:LZF44"/>
    <mergeCell ref="LZG44:LZO44"/>
    <mergeCell ref="LZP44:LZX44"/>
    <mergeCell ref="LZY44:MAG44"/>
    <mergeCell ref="LWV44:LXD44"/>
    <mergeCell ref="LXE44:LXM44"/>
    <mergeCell ref="LXN44:LXV44"/>
    <mergeCell ref="LXW44:LYE44"/>
    <mergeCell ref="LYF44:LYN44"/>
    <mergeCell ref="LVC44:LVK44"/>
    <mergeCell ref="LVL44:LVT44"/>
    <mergeCell ref="LVU44:LWC44"/>
    <mergeCell ref="LWD44:LWL44"/>
    <mergeCell ref="LWM44:LWU44"/>
    <mergeCell ref="LTJ44:LTR44"/>
    <mergeCell ref="LTS44:LUA44"/>
    <mergeCell ref="LUB44:LUJ44"/>
    <mergeCell ref="LUK44:LUS44"/>
    <mergeCell ref="LUT44:LVB44"/>
    <mergeCell ref="LRQ44:LRY44"/>
    <mergeCell ref="LRZ44:LSH44"/>
    <mergeCell ref="LSI44:LSQ44"/>
    <mergeCell ref="LSR44:LSZ44"/>
    <mergeCell ref="LTA44:LTI44"/>
    <mergeCell ref="LPX44:LQF44"/>
    <mergeCell ref="LQG44:LQO44"/>
    <mergeCell ref="LQP44:LQX44"/>
    <mergeCell ref="LQY44:LRG44"/>
    <mergeCell ref="LRH44:LRP44"/>
    <mergeCell ref="LOE44:LOM44"/>
    <mergeCell ref="LON44:LOV44"/>
    <mergeCell ref="LOW44:LPE44"/>
    <mergeCell ref="LPF44:LPN44"/>
    <mergeCell ref="LPO44:LPW44"/>
    <mergeCell ref="LML44:LMT44"/>
    <mergeCell ref="LMU44:LNC44"/>
    <mergeCell ref="LND44:LNL44"/>
    <mergeCell ref="LNM44:LNU44"/>
    <mergeCell ref="LNV44:LOD44"/>
    <mergeCell ref="LKS44:LLA44"/>
    <mergeCell ref="LLB44:LLJ44"/>
    <mergeCell ref="LLK44:LLS44"/>
    <mergeCell ref="LLT44:LMB44"/>
    <mergeCell ref="LMC44:LMK44"/>
    <mergeCell ref="LIZ44:LJH44"/>
    <mergeCell ref="LJI44:LJQ44"/>
    <mergeCell ref="LJR44:LJZ44"/>
    <mergeCell ref="LKA44:LKI44"/>
    <mergeCell ref="LKJ44:LKR44"/>
    <mergeCell ref="LHG44:LHO44"/>
    <mergeCell ref="LHP44:LHX44"/>
    <mergeCell ref="LHY44:LIG44"/>
    <mergeCell ref="LIH44:LIP44"/>
    <mergeCell ref="LIQ44:LIY44"/>
    <mergeCell ref="LFN44:LFV44"/>
    <mergeCell ref="LFW44:LGE44"/>
    <mergeCell ref="LGF44:LGN44"/>
    <mergeCell ref="LGO44:LGW44"/>
    <mergeCell ref="LGX44:LHF44"/>
    <mergeCell ref="LDU44:LEC44"/>
    <mergeCell ref="LED44:LEL44"/>
    <mergeCell ref="LEM44:LEU44"/>
    <mergeCell ref="LEV44:LFD44"/>
    <mergeCell ref="LFE44:LFM44"/>
    <mergeCell ref="LCB44:LCJ44"/>
    <mergeCell ref="LCK44:LCS44"/>
    <mergeCell ref="LCT44:LDB44"/>
    <mergeCell ref="LDC44:LDK44"/>
    <mergeCell ref="LDL44:LDT44"/>
    <mergeCell ref="LAI44:LAQ44"/>
    <mergeCell ref="LAR44:LAZ44"/>
    <mergeCell ref="LBA44:LBI44"/>
    <mergeCell ref="LBJ44:LBR44"/>
    <mergeCell ref="LBS44:LCA44"/>
    <mergeCell ref="KYP44:KYX44"/>
    <mergeCell ref="KYY44:KZG44"/>
    <mergeCell ref="KZH44:KZP44"/>
    <mergeCell ref="KZQ44:KZY44"/>
    <mergeCell ref="KZZ44:LAH44"/>
    <mergeCell ref="KWW44:KXE44"/>
    <mergeCell ref="KXF44:KXN44"/>
    <mergeCell ref="KXO44:KXW44"/>
    <mergeCell ref="KXX44:KYF44"/>
    <mergeCell ref="KYG44:KYO44"/>
    <mergeCell ref="KVD44:KVL44"/>
    <mergeCell ref="KVM44:KVU44"/>
    <mergeCell ref="KVV44:KWD44"/>
    <mergeCell ref="KWE44:KWM44"/>
    <mergeCell ref="KWN44:KWV44"/>
    <mergeCell ref="KTK44:KTS44"/>
    <mergeCell ref="KTT44:KUB44"/>
    <mergeCell ref="KUC44:KUK44"/>
    <mergeCell ref="KUL44:KUT44"/>
    <mergeCell ref="KUU44:KVC44"/>
    <mergeCell ref="KRR44:KRZ44"/>
    <mergeCell ref="KSA44:KSI44"/>
    <mergeCell ref="KSJ44:KSR44"/>
    <mergeCell ref="KSS44:KTA44"/>
    <mergeCell ref="KTB44:KTJ44"/>
    <mergeCell ref="KPY44:KQG44"/>
    <mergeCell ref="KQH44:KQP44"/>
    <mergeCell ref="KQQ44:KQY44"/>
    <mergeCell ref="KQZ44:KRH44"/>
    <mergeCell ref="KRI44:KRQ44"/>
    <mergeCell ref="KOF44:KON44"/>
    <mergeCell ref="KOO44:KOW44"/>
    <mergeCell ref="KOX44:KPF44"/>
    <mergeCell ref="KPG44:KPO44"/>
    <mergeCell ref="KPP44:KPX44"/>
    <mergeCell ref="KMM44:KMU44"/>
    <mergeCell ref="KMV44:KND44"/>
    <mergeCell ref="KNE44:KNM44"/>
    <mergeCell ref="KNN44:KNV44"/>
    <mergeCell ref="KNW44:KOE44"/>
    <mergeCell ref="KKT44:KLB44"/>
    <mergeCell ref="KLC44:KLK44"/>
    <mergeCell ref="KLL44:KLT44"/>
    <mergeCell ref="KLU44:KMC44"/>
    <mergeCell ref="KMD44:KML44"/>
    <mergeCell ref="KJA44:KJI44"/>
    <mergeCell ref="KJJ44:KJR44"/>
    <mergeCell ref="KJS44:KKA44"/>
    <mergeCell ref="KKB44:KKJ44"/>
    <mergeCell ref="KKK44:KKS44"/>
    <mergeCell ref="KHH44:KHP44"/>
    <mergeCell ref="KHQ44:KHY44"/>
    <mergeCell ref="KHZ44:KIH44"/>
    <mergeCell ref="KII44:KIQ44"/>
    <mergeCell ref="KIR44:KIZ44"/>
    <mergeCell ref="KFO44:KFW44"/>
    <mergeCell ref="KFX44:KGF44"/>
    <mergeCell ref="KGG44:KGO44"/>
    <mergeCell ref="KGP44:KGX44"/>
    <mergeCell ref="KGY44:KHG44"/>
    <mergeCell ref="KDV44:KED44"/>
    <mergeCell ref="KEE44:KEM44"/>
    <mergeCell ref="KEN44:KEV44"/>
    <mergeCell ref="KEW44:KFE44"/>
    <mergeCell ref="KFF44:KFN44"/>
    <mergeCell ref="KCC44:KCK44"/>
    <mergeCell ref="KCL44:KCT44"/>
    <mergeCell ref="KCU44:KDC44"/>
    <mergeCell ref="KDD44:KDL44"/>
    <mergeCell ref="KDM44:KDU44"/>
    <mergeCell ref="KAJ44:KAR44"/>
    <mergeCell ref="KAS44:KBA44"/>
    <mergeCell ref="KBB44:KBJ44"/>
    <mergeCell ref="KBK44:KBS44"/>
    <mergeCell ref="KBT44:KCB44"/>
    <mergeCell ref="JYQ44:JYY44"/>
    <mergeCell ref="JYZ44:JZH44"/>
    <mergeCell ref="JZI44:JZQ44"/>
    <mergeCell ref="JZR44:JZZ44"/>
    <mergeCell ref="KAA44:KAI44"/>
    <mergeCell ref="JWX44:JXF44"/>
    <mergeCell ref="JXG44:JXO44"/>
    <mergeCell ref="JXP44:JXX44"/>
    <mergeCell ref="JXY44:JYG44"/>
    <mergeCell ref="JYH44:JYP44"/>
    <mergeCell ref="JVE44:JVM44"/>
    <mergeCell ref="JVN44:JVV44"/>
    <mergeCell ref="JVW44:JWE44"/>
    <mergeCell ref="JWF44:JWN44"/>
    <mergeCell ref="JWO44:JWW44"/>
    <mergeCell ref="JTL44:JTT44"/>
    <mergeCell ref="JTU44:JUC44"/>
    <mergeCell ref="JUD44:JUL44"/>
    <mergeCell ref="JUM44:JUU44"/>
    <mergeCell ref="JUV44:JVD44"/>
    <mergeCell ref="JRS44:JSA44"/>
    <mergeCell ref="JSB44:JSJ44"/>
    <mergeCell ref="JSK44:JSS44"/>
    <mergeCell ref="JST44:JTB44"/>
    <mergeCell ref="JTC44:JTK44"/>
    <mergeCell ref="JPZ44:JQH44"/>
    <mergeCell ref="JQI44:JQQ44"/>
    <mergeCell ref="JQR44:JQZ44"/>
    <mergeCell ref="JRA44:JRI44"/>
    <mergeCell ref="JRJ44:JRR44"/>
    <mergeCell ref="JOG44:JOO44"/>
    <mergeCell ref="JOP44:JOX44"/>
    <mergeCell ref="JOY44:JPG44"/>
    <mergeCell ref="JPH44:JPP44"/>
    <mergeCell ref="JPQ44:JPY44"/>
    <mergeCell ref="JMN44:JMV44"/>
    <mergeCell ref="JMW44:JNE44"/>
    <mergeCell ref="JNF44:JNN44"/>
    <mergeCell ref="JNO44:JNW44"/>
    <mergeCell ref="JNX44:JOF44"/>
    <mergeCell ref="JKU44:JLC44"/>
    <mergeCell ref="JLD44:JLL44"/>
    <mergeCell ref="JLM44:JLU44"/>
    <mergeCell ref="JLV44:JMD44"/>
    <mergeCell ref="JME44:JMM44"/>
    <mergeCell ref="JJB44:JJJ44"/>
    <mergeCell ref="JJK44:JJS44"/>
    <mergeCell ref="JJT44:JKB44"/>
    <mergeCell ref="JKC44:JKK44"/>
    <mergeCell ref="JKL44:JKT44"/>
    <mergeCell ref="JHI44:JHQ44"/>
    <mergeCell ref="JHR44:JHZ44"/>
    <mergeCell ref="JIA44:JII44"/>
    <mergeCell ref="JIJ44:JIR44"/>
    <mergeCell ref="JIS44:JJA44"/>
    <mergeCell ref="JFP44:JFX44"/>
    <mergeCell ref="JFY44:JGG44"/>
    <mergeCell ref="JGH44:JGP44"/>
    <mergeCell ref="JGQ44:JGY44"/>
    <mergeCell ref="JGZ44:JHH44"/>
    <mergeCell ref="JDW44:JEE44"/>
    <mergeCell ref="JEF44:JEN44"/>
    <mergeCell ref="JEO44:JEW44"/>
    <mergeCell ref="JEX44:JFF44"/>
    <mergeCell ref="JFG44:JFO44"/>
    <mergeCell ref="JCD44:JCL44"/>
    <mergeCell ref="JCM44:JCU44"/>
    <mergeCell ref="JCV44:JDD44"/>
    <mergeCell ref="JDE44:JDM44"/>
    <mergeCell ref="JDN44:JDV44"/>
    <mergeCell ref="JAK44:JAS44"/>
    <mergeCell ref="JAT44:JBB44"/>
    <mergeCell ref="JBC44:JBK44"/>
    <mergeCell ref="JBL44:JBT44"/>
    <mergeCell ref="JBU44:JCC44"/>
    <mergeCell ref="IYR44:IYZ44"/>
    <mergeCell ref="IZA44:IZI44"/>
    <mergeCell ref="IZJ44:IZR44"/>
    <mergeCell ref="IZS44:JAA44"/>
    <mergeCell ref="JAB44:JAJ44"/>
    <mergeCell ref="IWY44:IXG44"/>
    <mergeCell ref="IXH44:IXP44"/>
    <mergeCell ref="IXQ44:IXY44"/>
    <mergeCell ref="IXZ44:IYH44"/>
    <mergeCell ref="IYI44:IYQ44"/>
    <mergeCell ref="IVF44:IVN44"/>
    <mergeCell ref="IVO44:IVW44"/>
    <mergeCell ref="IVX44:IWF44"/>
    <mergeCell ref="IWG44:IWO44"/>
    <mergeCell ref="IWP44:IWX44"/>
    <mergeCell ref="ITM44:ITU44"/>
    <mergeCell ref="ITV44:IUD44"/>
    <mergeCell ref="IUE44:IUM44"/>
    <mergeCell ref="IUN44:IUV44"/>
    <mergeCell ref="IUW44:IVE44"/>
    <mergeCell ref="IRT44:ISB44"/>
    <mergeCell ref="ISC44:ISK44"/>
    <mergeCell ref="ISL44:IST44"/>
    <mergeCell ref="ISU44:ITC44"/>
    <mergeCell ref="ITD44:ITL44"/>
    <mergeCell ref="IQA44:IQI44"/>
    <mergeCell ref="IQJ44:IQR44"/>
    <mergeCell ref="IQS44:IRA44"/>
    <mergeCell ref="IRB44:IRJ44"/>
    <mergeCell ref="IRK44:IRS44"/>
    <mergeCell ref="IOH44:IOP44"/>
    <mergeCell ref="IOQ44:IOY44"/>
    <mergeCell ref="IOZ44:IPH44"/>
    <mergeCell ref="IPI44:IPQ44"/>
    <mergeCell ref="IPR44:IPZ44"/>
    <mergeCell ref="IMO44:IMW44"/>
    <mergeCell ref="IMX44:INF44"/>
    <mergeCell ref="ING44:INO44"/>
    <mergeCell ref="INP44:INX44"/>
    <mergeCell ref="INY44:IOG44"/>
    <mergeCell ref="IKV44:ILD44"/>
    <mergeCell ref="ILE44:ILM44"/>
    <mergeCell ref="ILN44:ILV44"/>
    <mergeCell ref="ILW44:IME44"/>
    <mergeCell ref="IMF44:IMN44"/>
    <mergeCell ref="IJC44:IJK44"/>
    <mergeCell ref="IJL44:IJT44"/>
    <mergeCell ref="IJU44:IKC44"/>
    <mergeCell ref="IKD44:IKL44"/>
    <mergeCell ref="IKM44:IKU44"/>
    <mergeCell ref="IHJ44:IHR44"/>
    <mergeCell ref="IHS44:IIA44"/>
    <mergeCell ref="IIB44:IIJ44"/>
    <mergeCell ref="IIK44:IIS44"/>
    <mergeCell ref="IIT44:IJB44"/>
    <mergeCell ref="IFQ44:IFY44"/>
    <mergeCell ref="IFZ44:IGH44"/>
    <mergeCell ref="IGI44:IGQ44"/>
    <mergeCell ref="IGR44:IGZ44"/>
    <mergeCell ref="IHA44:IHI44"/>
    <mergeCell ref="IDX44:IEF44"/>
    <mergeCell ref="IEG44:IEO44"/>
    <mergeCell ref="IEP44:IEX44"/>
    <mergeCell ref="IEY44:IFG44"/>
    <mergeCell ref="IFH44:IFP44"/>
    <mergeCell ref="ICE44:ICM44"/>
    <mergeCell ref="ICN44:ICV44"/>
    <mergeCell ref="ICW44:IDE44"/>
    <mergeCell ref="IDF44:IDN44"/>
    <mergeCell ref="IDO44:IDW44"/>
    <mergeCell ref="IAL44:IAT44"/>
    <mergeCell ref="IAU44:IBC44"/>
    <mergeCell ref="IBD44:IBL44"/>
    <mergeCell ref="IBM44:IBU44"/>
    <mergeCell ref="IBV44:ICD44"/>
    <mergeCell ref="HYS44:HZA44"/>
    <mergeCell ref="HZB44:HZJ44"/>
    <mergeCell ref="HZK44:HZS44"/>
    <mergeCell ref="HZT44:IAB44"/>
    <mergeCell ref="IAC44:IAK44"/>
    <mergeCell ref="HWZ44:HXH44"/>
    <mergeCell ref="HXI44:HXQ44"/>
    <mergeCell ref="HXR44:HXZ44"/>
    <mergeCell ref="HYA44:HYI44"/>
    <mergeCell ref="HYJ44:HYR44"/>
    <mergeCell ref="HVG44:HVO44"/>
    <mergeCell ref="HVP44:HVX44"/>
    <mergeCell ref="HVY44:HWG44"/>
    <mergeCell ref="HWH44:HWP44"/>
    <mergeCell ref="HWQ44:HWY44"/>
    <mergeCell ref="HTN44:HTV44"/>
    <mergeCell ref="HTW44:HUE44"/>
    <mergeCell ref="HUF44:HUN44"/>
    <mergeCell ref="HUO44:HUW44"/>
    <mergeCell ref="HUX44:HVF44"/>
    <mergeCell ref="HRU44:HSC44"/>
    <mergeCell ref="HSD44:HSL44"/>
    <mergeCell ref="HSM44:HSU44"/>
    <mergeCell ref="HSV44:HTD44"/>
    <mergeCell ref="HTE44:HTM44"/>
    <mergeCell ref="HQB44:HQJ44"/>
    <mergeCell ref="HQK44:HQS44"/>
    <mergeCell ref="HQT44:HRB44"/>
    <mergeCell ref="HRC44:HRK44"/>
    <mergeCell ref="HRL44:HRT44"/>
    <mergeCell ref="HOI44:HOQ44"/>
    <mergeCell ref="HOR44:HOZ44"/>
    <mergeCell ref="HPA44:HPI44"/>
    <mergeCell ref="HPJ44:HPR44"/>
    <mergeCell ref="HPS44:HQA44"/>
    <mergeCell ref="HMP44:HMX44"/>
    <mergeCell ref="HMY44:HNG44"/>
    <mergeCell ref="HNH44:HNP44"/>
    <mergeCell ref="HNQ44:HNY44"/>
    <mergeCell ref="HNZ44:HOH44"/>
    <mergeCell ref="HKW44:HLE44"/>
    <mergeCell ref="HLF44:HLN44"/>
    <mergeCell ref="HLO44:HLW44"/>
    <mergeCell ref="HLX44:HMF44"/>
    <mergeCell ref="HMG44:HMO44"/>
    <mergeCell ref="HJD44:HJL44"/>
    <mergeCell ref="HJM44:HJU44"/>
    <mergeCell ref="HJV44:HKD44"/>
    <mergeCell ref="HKE44:HKM44"/>
    <mergeCell ref="HKN44:HKV44"/>
    <mergeCell ref="HHK44:HHS44"/>
    <mergeCell ref="HHT44:HIB44"/>
    <mergeCell ref="HIC44:HIK44"/>
    <mergeCell ref="HIL44:HIT44"/>
    <mergeCell ref="HIU44:HJC44"/>
    <mergeCell ref="HFR44:HFZ44"/>
    <mergeCell ref="HGA44:HGI44"/>
    <mergeCell ref="HGJ44:HGR44"/>
    <mergeCell ref="HGS44:HHA44"/>
    <mergeCell ref="HHB44:HHJ44"/>
    <mergeCell ref="HDY44:HEG44"/>
    <mergeCell ref="HEH44:HEP44"/>
    <mergeCell ref="HEQ44:HEY44"/>
    <mergeCell ref="HEZ44:HFH44"/>
    <mergeCell ref="HFI44:HFQ44"/>
    <mergeCell ref="HCF44:HCN44"/>
    <mergeCell ref="HCO44:HCW44"/>
    <mergeCell ref="HCX44:HDF44"/>
    <mergeCell ref="HDG44:HDO44"/>
    <mergeCell ref="HDP44:HDX44"/>
    <mergeCell ref="HAM44:HAU44"/>
    <mergeCell ref="HAV44:HBD44"/>
    <mergeCell ref="HBE44:HBM44"/>
    <mergeCell ref="HBN44:HBV44"/>
    <mergeCell ref="HBW44:HCE44"/>
    <mergeCell ref="GYT44:GZB44"/>
    <mergeCell ref="GZC44:GZK44"/>
    <mergeCell ref="GZL44:GZT44"/>
    <mergeCell ref="GZU44:HAC44"/>
    <mergeCell ref="HAD44:HAL44"/>
    <mergeCell ref="GXA44:GXI44"/>
    <mergeCell ref="GXJ44:GXR44"/>
    <mergeCell ref="GXS44:GYA44"/>
    <mergeCell ref="GYB44:GYJ44"/>
    <mergeCell ref="GYK44:GYS44"/>
    <mergeCell ref="GVH44:GVP44"/>
    <mergeCell ref="GVQ44:GVY44"/>
    <mergeCell ref="GVZ44:GWH44"/>
    <mergeCell ref="GWI44:GWQ44"/>
    <mergeCell ref="GWR44:GWZ44"/>
    <mergeCell ref="GTO44:GTW44"/>
    <mergeCell ref="GTX44:GUF44"/>
    <mergeCell ref="GUG44:GUO44"/>
    <mergeCell ref="GUP44:GUX44"/>
    <mergeCell ref="GUY44:GVG44"/>
    <mergeCell ref="GRV44:GSD44"/>
    <mergeCell ref="GSE44:GSM44"/>
    <mergeCell ref="GSN44:GSV44"/>
    <mergeCell ref="GSW44:GTE44"/>
    <mergeCell ref="GTF44:GTN44"/>
    <mergeCell ref="GQC44:GQK44"/>
    <mergeCell ref="GQL44:GQT44"/>
    <mergeCell ref="GQU44:GRC44"/>
    <mergeCell ref="GRD44:GRL44"/>
    <mergeCell ref="GRM44:GRU44"/>
    <mergeCell ref="GOJ44:GOR44"/>
    <mergeCell ref="GOS44:GPA44"/>
    <mergeCell ref="GPB44:GPJ44"/>
    <mergeCell ref="GPK44:GPS44"/>
    <mergeCell ref="GPT44:GQB44"/>
    <mergeCell ref="GMQ44:GMY44"/>
    <mergeCell ref="GMZ44:GNH44"/>
    <mergeCell ref="GNI44:GNQ44"/>
    <mergeCell ref="GNR44:GNZ44"/>
    <mergeCell ref="GOA44:GOI44"/>
    <mergeCell ref="GKX44:GLF44"/>
    <mergeCell ref="GLG44:GLO44"/>
    <mergeCell ref="GLP44:GLX44"/>
    <mergeCell ref="GLY44:GMG44"/>
    <mergeCell ref="GMH44:GMP44"/>
    <mergeCell ref="GJE44:GJM44"/>
    <mergeCell ref="GJN44:GJV44"/>
    <mergeCell ref="GJW44:GKE44"/>
    <mergeCell ref="GKF44:GKN44"/>
    <mergeCell ref="GKO44:GKW44"/>
    <mergeCell ref="GHL44:GHT44"/>
    <mergeCell ref="GHU44:GIC44"/>
    <mergeCell ref="GID44:GIL44"/>
    <mergeCell ref="GIM44:GIU44"/>
    <mergeCell ref="GIV44:GJD44"/>
    <mergeCell ref="GFS44:GGA44"/>
    <mergeCell ref="GGB44:GGJ44"/>
    <mergeCell ref="GGK44:GGS44"/>
    <mergeCell ref="GGT44:GHB44"/>
    <mergeCell ref="GHC44:GHK44"/>
    <mergeCell ref="GDZ44:GEH44"/>
    <mergeCell ref="GEI44:GEQ44"/>
    <mergeCell ref="GER44:GEZ44"/>
    <mergeCell ref="GFA44:GFI44"/>
    <mergeCell ref="GFJ44:GFR44"/>
    <mergeCell ref="GCG44:GCO44"/>
    <mergeCell ref="GCP44:GCX44"/>
    <mergeCell ref="GCY44:GDG44"/>
    <mergeCell ref="GDH44:GDP44"/>
    <mergeCell ref="GDQ44:GDY44"/>
    <mergeCell ref="GAN44:GAV44"/>
    <mergeCell ref="GAW44:GBE44"/>
    <mergeCell ref="GBF44:GBN44"/>
    <mergeCell ref="GBO44:GBW44"/>
    <mergeCell ref="GBX44:GCF44"/>
    <mergeCell ref="FYU44:FZC44"/>
    <mergeCell ref="FZD44:FZL44"/>
    <mergeCell ref="FZM44:FZU44"/>
    <mergeCell ref="FZV44:GAD44"/>
    <mergeCell ref="GAE44:GAM44"/>
    <mergeCell ref="FXB44:FXJ44"/>
    <mergeCell ref="FXK44:FXS44"/>
    <mergeCell ref="FXT44:FYB44"/>
    <mergeCell ref="FYC44:FYK44"/>
    <mergeCell ref="FYL44:FYT44"/>
    <mergeCell ref="FVI44:FVQ44"/>
    <mergeCell ref="FVR44:FVZ44"/>
    <mergeCell ref="FWA44:FWI44"/>
    <mergeCell ref="FWJ44:FWR44"/>
    <mergeCell ref="FWS44:FXA44"/>
    <mergeCell ref="FTP44:FTX44"/>
    <mergeCell ref="FTY44:FUG44"/>
    <mergeCell ref="FUH44:FUP44"/>
    <mergeCell ref="FUQ44:FUY44"/>
    <mergeCell ref="FUZ44:FVH44"/>
    <mergeCell ref="FRW44:FSE44"/>
    <mergeCell ref="FSF44:FSN44"/>
    <mergeCell ref="FSO44:FSW44"/>
    <mergeCell ref="FSX44:FTF44"/>
    <mergeCell ref="FTG44:FTO44"/>
    <mergeCell ref="FQD44:FQL44"/>
    <mergeCell ref="FQM44:FQU44"/>
    <mergeCell ref="FQV44:FRD44"/>
    <mergeCell ref="FRE44:FRM44"/>
    <mergeCell ref="FRN44:FRV44"/>
    <mergeCell ref="FOK44:FOS44"/>
    <mergeCell ref="FOT44:FPB44"/>
    <mergeCell ref="FPC44:FPK44"/>
    <mergeCell ref="FPL44:FPT44"/>
    <mergeCell ref="FPU44:FQC44"/>
    <mergeCell ref="FMR44:FMZ44"/>
    <mergeCell ref="FNA44:FNI44"/>
    <mergeCell ref="FNJ44:FNR44"/>
    <mergeCell ref="FNS44:FOA44"/>
    <mergeCell ref="FOB44:FOJ44"/>
    <mergeCell ref="FKY44:FLG44"/>
    <mergeCell ref="FLH44:FLP44"/>
    <mergeCell ref="FLQ44:FLY44"/>
    <mergeCell ref="FLZ44:FMH44"/>
    <mergeCell ref="FMI44:FMQ44"/>
    <mergeCell ref="FJF44:FJN44"/>
    <mergeCell ref="FJO44:FJW44"/>
    <mergeCell ref="FJX44:FKF44"/>
    <mergeCell ref="FKG44:FKO44"/>
    <mergeCell ref="FKP44:FKX44"/>
    <mergeCell ref="FHM44:FHU44"/>
    <mergeCell ref="FHV44:FID44"/>
    <mergeCell ref="FIE44:FIM44"/>
    <mergeCell ref="FIN44:FIV44"/>
    <mergeCell ref="FIW44:FJE44"/>
    <mergeCell ref="FFT44:FGB44"/>
    <mergeCell ref="FGC44:FGK44"/>
    <mergeCell ref="FGL44:FGT44"/>
    <mergeCell ref="FGU44:FHC44"/>
    <mergeCell ref="FHD44:FHL44"/>
    <mergeCell ref="FEA44:FEI44"/>
    <mergeCell ref="FEJ44:FER44"/>
    <mergeCell ref="FES44:FFA44"/>
    <mergeCell ref="FFB44:FFJ44"/>
    <mergeCell ref="FFK44:FFS44"/>
    <mergeCell ref="FCH44:FCP44"/>
    <mergeCell ref="FCQ44:FCY44"/>
    <mergeCell ref="FCZ44:FDH44"/>
    <mergeCell ref="FDI44:FDQ44"/>
    <mergeCell ref="FDR44:FDZ44"/>
    <mergeCell ref="FAO44:FAW44"/>
    <mergeCell ref="FAX44:FBF44"/>
    <mergeCell ref="FBG44:FBO44"/>
    <mergeCell ref="FBP44:FBX44"/>
    <mergeCell ref="FBY44:FCG44"/>
    <mergeCell ref="EYV44:EZD44"/>
    <mergeCell ref="EZE44:EZM44"/>
    <mergeCell ref="EZN44:EZV44"/>
    <mergeCell ref="EZW44:FAE44"/>
    <mergeCell ref="FAF44:FAN44"/>
    <mergeCell ref="EXC44:EXK44"/>
    <mergeCell ref="EXL44:EXT44"/>
    <mergeCell ref="EXU44:EYC44"/>
    <mergeCell ref="EYD44:EYL44"/>
    <mergeCell ref="EYM44:EYU44"/>
    <mergeCell ref="EVJ44:EVR44"/>
    <mergeCell ref="EVS44:EWA44"/>
    <mergeCell ref="EWB44:EWJ44"/>
    <mergeCell ref="EWK44:EWS44"/>
    <mergeCell ref="EWT44:EXB44"/>
    <mergeCell ref="ETQ44:ETY44"/>
    <mergeCell ref="ETZ44:EUH44"/>
    <mergeCell ref="EUI44:EUQ44"/>
    <mergeCell ref="EUR44:EUZ44"/>
    <mergeCell ref="EVA44:EVI44"/>
    <mergeCell ref="ERX44:ESF44"/>
    <mergeCell ref="ESG44:ESO44"/>
    <mergeCell ref="ESP44:ESX44"/>
    <mergeCell ref="ESY44:ETG44"/>
    <mergeCell ref="ETH44:ETP44"/>
    <mergeCell ref="EQE44:EQM44"/>
    <mergeCell ref="EQN44:EQV44"/>
    <mergeCell ref="EQW44:ERE44"/>
    <mergeCell ref="ERF44:ERN44"/>
    <mergeCell ref="ERO44:ERW44"/>
    <mergeCell ref="EOL44:EOT44"/>
    <mergeCell ref="EOU44:EPC44"/>
    <mergeCell ref="EPD44:EPL44"/>
    <mergeCell ref="EPM44:EPU44"/>
    <mergeCell ref="EPV44:EQD44"/>
    <mergeCell ref="EMS44:ENA44"/>
    <mergeCell ref="ENB44:ENJ44"/>
    <mergeCell ref="ENK44:ENS44"/>
    <mergeCell ref="ENT44:EOB44"/>
    <mergeCell ref="EOC44:EOK44"/>
    <mergeCell ref="EKZ44:ELH44"/>
    <mergeCell ref="ELI44:ELQ44"/>
    <mergeCell ref="ELR44:ELZ44"/>
    <mergeCell ref="EMA44:EMI44"/>
    <mergeCell ref="EMJ44:EMR44"/>
    <mergeCell ref="EJG44:EJO44"/>
    <mergeCell ref="EJP44:EJX44"/>
    <mergeCell ref="EJY44:EKG44"/>
    <mergeCell ref="EKH44:EKP44"/>
    <mergeCell ref="EKQ44:EKY44"/>
    <mergeCell ref="EHN44:EHV44"/>
    <mergeCell ref="EHW44:EIE44"/>
    <mergeCell ref="EIF44:EIN44"/>
    <mergeCell ref="EIO44:EIW44"/>
    <mergeCell ref="EIX44:EJF44"/>
    <mergeCell ref="EFU44:EGC44"/>
    <mergeCell ref="EGD44:EGL44"/>
    <mergeCell ref="EGM44:EGU44"/>
    <mergeCell ref="EGV44:EHD44"/>
    <mergeCell ref="EHE44:EHM44"/>
    <mergeCell ref="EEB44:EEJ44"/>
    <mergeCell ref="EEK44:EES44"/>
    <mergeCell ref="EET44:EFB44"/>
    <mergeCell ref="EFC44:EFK44"/>
    <mergeCell ref="EFL44:EFT44"/>
    <mergeCell ref="ECI44:ECQ44"/>
    <mergeCell ref="ECR44:ECZ44"/>
    <mergeCell ref="EDA44:EDI44"/>
    <mergeCell ref="EDJ44:EDR44"/>
    <mergeCell ref="EDS44:EEA44"/>
    <mergeCell ref="EAP44:EAX44"/>
    <mergeCell ref="EAY44:EBG44"/>
    <mergeCell ref="EBH44:EBP44"/>
    <mergeCell ref="EBQ44:EBY44"/>
    <mergeCell ref="EBZ44:ECH44"/>
    <mergeCell ref="DYW44:DZE44"/>
    <mergeCell ref="DZF44:DZN44"/>
    <mergeCell ref="DZO44:DZW44"/>
    <mergeCell ref="DZX44:EAF44"/>
    <mergeCell ref="EAG44:EAO44"/>
    <mergeCell ref="DXD44:DXL44"/>
    <mergeCell ref="DXM44:DXU44"/>
    <mergeCell ref="DXV44:DYD44"/>
    <mergeCell ref="DYE44:DYM44"/>
    <mergeCell ref="DYN44:DYV44"/>
    <mergeCell ref="DVK44:DVS44"/>
    <mergeCell ref="DVT44:DWB44"/>
    <mergeCell ref="DWC44:DWK44"/>
    <mergeCell ref="DWL44:DWT44"/>
    <mergeCell ref="DWU44:DXC44"/>
    <mergeCell ref="DTR44:DTZ44"/>
    <mergeCell ref="DUA44:DUI44"/>
    <mergeCell ref="DUJ44:DUR44"/>
    <mergeCell ref="DUS44:DVA44"/>
    <mergeCell ref="DVB44:DVJ44"/>
    <mergeCell ref="DRY44:DSG44"/>
    <mergeCell ref="DSH44:DSP44"/>
    <mergeCell ref="DSQ44:DSY44"/>
    <mergeCell ref="DSZ44:DTH44"/>
    <mergeCell ref="DTI44:DTQ44"/>
    <mergeCell ref="DQF44:DQN44"/>
    <mergeCell ref="DQO44:DQW44"/>
    <mergeCell ref="DQX44:DRF44"/>
    <mergeCell ref="DRG44:DRO44"/>
    <mergeCell ref="DRP44:DRX44"/>
    <mergeCell ref="DOM44:DOU44"/>
    <mergeCell ref="DOV44:DPD44"/>
    <mergeCell ref="DPE44:DPM44"/>
    <mergeCell ref="DPN44:DPV44"/>
    <mergeCell ref="DPW44:DQE44"/>
    <mergeCell ref="DMT44:DNB44"/>
    <mergeCell ref="DNC44:DNK44"/>
    <mergeCell ref="DNL44:DNT44"/>
    <mergeCell ref="DNU44:DOC44"/>
    <mergeCell ref="DOD44:DOL44"/>
    <mergeCell ref="DLA44:DLI44"/>
    <mergeCell ref="DLJ44:DLR44"/>
    <mergeCell ref="DLS44:DMA44"/>
    <mergeCell ref="DMB44:DMJ44"/>
    <mergeCell ref="DMK44:DMS44"/>
    <mergeCell ref="DJH44:DJP44"/>
    <mergeCell ref="DJQ44:DJY44"/>
    <mergeCell ref="DJZ44:DKH44"/>
    <mergeCell ref="DKI44:DKQ44"/>
    <mergeCell ref="DKR44:DKZ44"/>
    <mergeCell ref="DHO44:DHW44"/>
    <mergeCell ref="DHX44:DIF44"/>
    <mergeCell ref="DIG44:DIO44"/>
    <mergeCell ref="DIP44:DIX44"/>
    <mergeCell ref="DIY44:DJG44"/>
    <mergeCell ref="DFV44:DGD44"/>
    <mergeCell ref="DGE44:DGM44"/>
    <mergeCell ref="DGN44:DGV44"/>
    <mergeCell ref="DGW44:DHE44"/>
    <mergeCell ref="DHF44:DHN44"/>
    <mergeCell ref="DEC44:DEK44"/>
    <mergeCell ref="DEL44:DET44"/>
    <mergeCell ref="DEU44:DFC44"/>
    <mergeCell ref="DFD44:DFL44"/>
    <mergeCell ref="DFM44:DFU44"/>
    <mergeCell ref="DCJ44:DCR44"/>
    <mergeCell ref="DCS44:DDA44"/>
    <mergeCell ref="DDB44:DDJ44"/>
    <mergeCell ref="DDK44:DDS44"/>
    <mergeCell ref="DDT44:DEB44"/>
    <mergeCell ref="DAQ44:DAY44"/>
    <mergeCell ref="DAZ44:DBH44"/>
    <mergeCell ref="DBI44:DBQ44"/>
    <mergeCell ref="DBR44:DBZ44"/>
    <mergeCell ref="DCA44:DCI44"/>
    <mergeCell ref="CYX44:CZF44"/>
    <mergeCell ref="CZG44:CZO44"/>
    <mergeCell ref="CZP44:CZX44"/>
    <mergeCell ref="CZY44:DAG44"/>
    <mergeCell ref="DAH44:DAP44"/>
    <mergeCell ref="CXE44:CXM44"/>
    <mergeCell ref="CXN44:CXV44"/>
    <mergeCell ref="CXW44:CYE44"/>
    <mergeCell ref="CYF44:CYN44"/>
    <mergeCell ref="CYO44:CYW44"/>
    <mergeCell ref="CVL44:CVT44"/>
    <mergeCell ref="CVU44:CWC44"/>
    <mergeCell ref="CWD44:CWL44"/>
    <mergeCell ref="CWM44:CWU44"/>
    <mergeCell ref="CWV44:CXD44"/>
    <mergeCell ref="CTS44:CUA44"/>
    <mergeCell ref="CUB44:CUJ44"/>
    <mergeCell ref="CUK44:CUS44"/>
    <mergeCell ref="CUT44:CVB44"/>
    <mergeCell ref="CVC44:CVK44"/>
    <mergeCell ref="CRZ44:CSH44"/>
    <mergeCell ref="CSI44:CSQ44"/>
    <mergeCell ref="CSR44:CSZ44"/>
    <mergeCell ref="CTA44:CTI44"/>
    <mergeCell ref="CTJ44:CTR44"/>
    <mergeCell ref="CQG44:CQO44"/>
    <mergeCell ref="CQP44:CQX44"/>
    <mergeCell ref="CQY44:CRG44"/>
    <mergeCell ref="CRH44:CRP44"/>
    <mergeCell ref="CRQ44:CRY44"/>
    <mergeCell ref="CON44:COV44"/>
    <mergeCell ref="COW44:CPE44"/>
    <mergeCell ref="CPF44:CPN44"/>
    <mergeCell ref="CPO44:CPW44"/>
    <mergeCell ref="CPX44:CQF44"/>
    <mergeCell ref="CMU44:CNC44"/>
    <mergeCell ref="CND44:CNL44"/>
    <mergeCell ref="CNM44:CNU44"/>
    <mergeCell ref="CNV44:COD44"/>
    <mergeCell ref="COE44:COM44"/>
    <mergeCell ref="CLB44:CLJ44"/>
    <mergeCell ref="CLK44:CLS44"/>
    <mergeCell ref="CLT44:CMB44"/>
    <mergeCell ref="CMC44:CMK44"/>
    <mergeCell ref="CML44:CMT44"/>
    <mergeCell ref="CJI44:CJQ44"/>
    <mergeCell ref="CJR44:CJZ44"/>
    <mergeCell ref="CKA44:CKI44"/>
    <mergeCell ref="CKJ44:CKR44"/>
    <mergeCell ref="CKS44:CLA44"/>
    <mergeCell ref="CHP44:CHX44"/>
    <mergeCell ref="CHY44:CIG44"/>
    <mergeCell ref="CIH44:CIP44"/>
    <mergeCell ref="CIQ44:CIY44"/>
    <mergeCell ref="CIZ44:CJH44"/>
    <mergeCell ref="CFW44:CGE44"/>
    <mergeCell ref="CGF44:CGN44"/>
    <mergeCell ref="CGO44:CGW44"/>
    <mergeCell ref="CGX44:CHF44"/>
    <mergeCell ref="CHG44:CHO44"/>
    <mergeCell ref="CED44:CEL44"/>
    <mergeCell ref="CEM44:CEU44"/>
    <mergeCell ref="CEV44:CFD44"/>
    <mergeCell ref="CFE44:CFM44"/>
    <mergeCell ref="CFN44:CFV44"/>
    <mergeCell ref="CCK44:CCS44"/>
    <mergeCell ref="CCT44:CDB44"/>
    <mergeCell ref="CDC44:CDK44"/>
    <mergeCell ref="CDL44:CDT44"/>
    <mergeCell ref="CDU44:CEC44"/>
    <mergeCell ref="CAR44:CAZ44"/>
    <mergeCell ref="CBA44:CBI44"/>
    <mergeCell ref="CBJ44:CBR44"/>
    <mergeCell ref="CBS44:CCA44"/>
    <mergeCell ref="CCB44:CCJ44"/>
    <mergeCell ref="BYY44:BZG44"/>
    <mergeCell ref="BZH44:BZP44"/>
    <mergeCell ref="BZQ44:BZY44"/>
    <mergeCell ref="BZZ44:CAH44"/>
    <mergeCell ref="CAI44:CAQ44"/>
    <mergeCell ref="BXF44:BXN44"/>
    <mergeCell ref="BXO44:BXW44"/>
    <mergeCell ref="BXX44:BYF44"/>
    <mergeCell ref="BYG44:BYO44"/>
    <mergeCell ref="BYP44:BYX44"/>
    <mergeCell ref="BVM44:BVU44"/>
    <mergeCell ref="BVV44:BWD44"/>
    <mergeCell ref="BWE44:BWM44"/>
    <mergeCell ref="BWN44:BWV44"/>
    <mergeCell ref="BWW44:BXE44"/>
    <mergeCell ref="BTT44:BUB44"/>
    <mergeCell ref="BUC44:BUK44"/>
    <mergeCell ref="BUL44:BUT44"/>
    <mergeCell ref="BUU44:BVC44"/>
    <mergeCell ref="BVD44:BVL44"/>
    <mergeCell ref="BSA44:BSI44"/>
    <mergeCell ref="BSJ44:BSR44"/>
    <mergeCell ref="BSS44:BTA44"/>
    <mergeCell ref="BTB44:BTJ44"/>
    <mergeCell ref="BTK44:BTS44"/>
    <mergeCell ref="BQH44:BQP44"/>
    <mergeCell ref="BQQ44:BQY44"/>
    <mergeCell ref="BQZ44:BRH44"/>
    <mergeCell ref="BRI44:BRQ44"/>
    <mergeCell ref="BRR44:BRZ44"/>
    <mergeCell ref="BOO44:BOW44"/>
    <mergeCell ref="BOX44:BPF44"/>
    <mergeCell ref="BPG44:BPO44"/>
    <mergeCell ref="BPP44:BPX44"/>
    <mergeCell ref="BPY44:BQG44"/>
    <mergeCell ref="BMV44:BND44"/>
    <mergeCell ref="BNE44:BNM44"/>
    <mergeCell ref="BNN44:BNV44"/>
    <mergeCell ref="BNW44:BOE44"/>
    <mergeCell ref="BOF44:BON44"/>
    <mergeCell ref="BLC44:BLK44"/>
    <mergeCell ref="BLL44:BLT44"/>
    <mergeCell ref="BLU44:BMC44"/>
    <mergeCell ref="BMD44:BML44"/>
    <mergeCell ref="BMM44:BMU44"/>
    <mergeCell ref="BJJ44:BJR44"/>
    <mergeCell ref="BJS44:BKA44"/>
    <mergeCell ref="BKB44:BKJ44"/>
    <mergeCell ref="BKK44:BKS44"/>
    <mergeCell ref="BKT44:BLB44"/>
    <mergeCell ref="BHQ44:BHY44"/>
    <mergeCell ref="BHZ44:BIH44"/>
    <mergeCell ref="BII44:BIQ44"/>
    <mergeCell ref="BIR44:BIZ44"/>
    <mergeCell ref="BJA44:BJI44"/>
    <mergeCell ref="BFX44:BGF44"/>
    <mergeCell ref="BGG44:BGO44"/>
    <mergeCell ref="BGP44:BGX44"/>
    <mergeCell ref="BGY44:BHG44"/>
    <mergeCell ref="BHH44:BHP44"/>
    <mergeCell ref="BEE44:BEM44"/>
    <mergeCell ref="BEN44:BEV44"/>
    <mergeCell ref="BEW44:BFE44"/>
    <mergeCell ref="BFF44:BFN44"/>
    <mergeCell ref="BFO44:BFW44"/>
    <mergeCell ref="BCL44:BCT44"/>
    <mergeCell ref="BCU44:BDC44"/>
    <mergeCell ref="BDD44:BDL44"/>
    <mergeCell ref="BDM44:BDU44"/>
    <mergeCell ref="BDV44:BED44"/>
    <mergeCell ref="BAS44:BBA44"/>
    <mergeCell ref="BBB44:BBJ44"/>
    <mergeCell ref="BBK44:BBS44"/>
    <mergeCell ref="BBT44:BCB44"/>
    <mergeCell ref="BCC44:BCK44"/>
    <mergeCell ref="AYZ44:AZH44"/>
    <mergeCell ref="AZI44:AZQ44"/>
    <mergeCell ref="AZR44:AZZ44"/>
    <mergeCell ref="BAA44:BAI44"/>
    <mergeCell ref="BAJ44:BAR44"/>
    <mergeCell ref="AXG44:AXO44"/>
    <mergeCell ref="AXP44:AXX44"/>
    <mergeCell ref="AXY44:AYG44"/>
    <mergeCell ref="AYH44:AYP44"/>
    <mergeCell ref="AYQ44:AYY44"/>
    <mergeCell ref="AVN44:AVV44"/>
    <mergeCell ref="AVW44:AWE44"/>
    <mergeCell ref="AWF44:AWN44"/>
    <mergeCell ref="AWO44:AWW44"/>
    <mergeCell ref="AWX44:AXF44"/>
    <mergeCell ref="ATU44:AUC44"/>
    <mergeCell ref="AUD44:AUL44"/>
    <mergeCell ref="AUM44:AUU44"/>
    <mergeCell ref="AUV44:AVD44"/>
    <mergeCell ref="AVE44:AVM44"/>
    <mergeCell ref="ASB44:ASJ44"/>
    <mergeCell ref="ASK44:ASS44"/>
    <mergeCell ref="AST44:ATB44"/>
    <mergeCell ref="ATC44:ATK44"/>
    <mergeCell ref="ATL44:ATT44"/>
    <mergeCell ref="AQI44:AQQ44"/>
    <mergeCell ref="AQR44:AQZ44"/>
    <mergeCell ref="ARA44:ARI44"/>
    <mergeCell ref="ARJ44:ARR44"/>
    <mergeCell ref="ARS44:ASA44"/>
    <mergeCell ref="AOP44:AOX44"/>
    <mergeCell ref="AOY44:APG44"/>
    <mergeCell ref="APH44:APP44"/>
    <mergeCell ref="APQ44:APY44"/>
    <mergeCell ref="APZ44:AQH44"/>
    <mergeCell ref="AMW44:ANE44"/>
    <mergeCell ref="ANF44:ANN44"/>
    <mergeCell ref="ANO44:ANW44"/>
    <mergeCell ref="ANX44:AOF44"/>
    <mergeCell ref="AOG44:AOO44"/>
    <mergeCell ref="ALD44:ALL44"/>
    <mergeCell ref="ALM44:ALU44"/>
    <mergeCell ref="ALV44:AMD44"/>
    <mergeCell ref="AME44:AMM44"/>
    <mergeCell ref="AMN44:AMV44"/>
    <mergeCell ref="AJK44:AJS44"/>
    <mergeCell ref="AJT44:AKB44"/>
    <mergeCell ref="AKC44:AKK44"/>
    <mergeCell ref="AKL44:AKT44"/>
    <mergeCell ref="AKU44:ALC44"/>
    <mergeCell ref="AHR44:AHZ44"/>
    <mergeCell ref="AIA44:AII44"/>
    <mergeCell ref="AIJ44:AIR44"/>
    <mergeCell ref="AIS44:AJA44"/>
    <mergeCell ref="AJB44:AJJ44"/>
    <mergeCell ref="AFY44:AGG44"/>
    <mergeCell ref="AGH44:AGP44"/>
    <mergeCell ref="AGQ44:AGY44"/>
    <mergeCell ref="AGZ44:AHH44"/>
    <mergeCell ref="AHI44:AHQ44"/>
    <mergeCell ref="AEF44:AEN44"/>
    <mergeCell ref="AEO44:AEW44"/>
    <mergeCell ref="AEX44:AFF44"/>
    <mergeCell ref="AFG44:AFO44"/>
    <mergeCell ref="AFP44:AFX44"/>
    <mergeCell ref="ACM44:ACU44"/>
    <mergeCell ref="ACV44:ADD44"/>
    <mergeCell ref="ADE44:ADM44"/>
    <mergeCell ref="ADN44:ADV44"/>
    <mergeCell ref="ADW44:AEE44"/>
    <mergeCell ref="AAT44:ABB44"/>
    <mergeCell ref="ABC44:ABK44"/>
    <mergeCell ref="ABL44:ABT44"/>
    <mergeCell ref="ABU44:ACC44"/>
    <mergeCell ref="ACD44:ACL44"/>
    <mergeCell ref="ZA44:ZI44"/>
    <mergeCell ref="ZJ44:ZR44"/>
    <mergeCell ref="ZS44:AAA44"/>
    <mergeCell ref="AAB44:AAJ44"/>
    <mergeCell ref="AAK44:AAS44"/>
    <mergeCell ref="XH44:XP44"/>
    <mergeCell ref="XQ44:XY44"/>
    <mergeCell ref="XZ44:YH44"/>
    <mergeCell ref="YI44:YQ44"/>
    <mergeCell ref="YR44:YZ44"/>
    <mergeCell ref="VO44:VW44"/>
    <mergeCell ref="VX44:WF44"/>
    <mergeCell ref="WG44:WO44"/>
    <mergeCell ref="WP44:WX44"/>
    <mergeCell ref="WY44:XG44"/>
    <mergeCell ref="TV44:UD44"/>
    <mergeCell ref="UE44:UM44"/>
    <mergeCell ref="UN44:UV44"/>
    <mergeCell ref="UW44:VE44"/>
    <mergeCell ref="VF44:VN44"/>
    <mergeCell ref="SC44:SK44"/>
    <mergeCell ref="SL44:ST44"/>
    <mergeCell ref="SU44:TC44"/>
    <mergeCell ref="TD44:TL44"/>
    <mergeCell ref="TM44:TU44"/>
    <mergeCell ref="QJ44:QR44"/>
    <mergeCell ref="QS44:RA44"/>
    <mergeCell ref="RB44:RJ44"/>
    <mergeCell ref="RK44:RS44"/>
    <mergeCell ref="RT44:SB44"/>
    <mergeCell ref="OQ44:OY44"/>
    <mergeCell ref="OZ44:PH44"/>
    <mergeCell ref="PI44:PQ44"/>
    <mergeCell ref="PR44:PZ44"/>
    <mergeCell ref="QA44:QI44"/>
    <mergeCell ref="MX44:NF44"/>
    <mergeCell ref="NG44:NO44"/>
    <mergeCell ref="NP44:NX44"/>
    <mergeCell ref="NY44:OG44"/>
    <mergeCell ref="OH44:OP44"/>
    <mergeCell ref="LE44:LM44"/>
    <mergeCell ref="EG44:EO44"/>
    <mergeCell ref="EP44:EX44"/>
    <mergeCell ref="EY44:FG44"/>
    <mergeCell ref="FH44:FP44"/>
    <mergeCell ref="FQ44:FY44"/>
    <mergeCell ref="LN44:LV44"/>
    <mergeCell ref="LW44:ME44"/>
    <mergeCell ref="MF44:MN44"/>
    <mergeCell ref="MO44:MW44"/>
    <mergeCell ref="JL44:JT44"/>
    <mergeCell ref="JU44:KC44"/>
    <mergeCell ref="KD44:KL44"/>
    <mergeCell ref="KM44:KU44"/>
    <mergeCell ref="KV44:LD44"/>
    <mergeCell ref="HS44:IA44"/>
    <mergeCell ref="IB44:IJ44"/>
    <mergeCell ref="IK44:IS44"/>
    <mergeCell ref="IT44:JB44"/>
    <mergeCell ref="JC44:JK44"/>
    <mergeCell ref="FZ44:GH44"/>
    <mergeCell ref="GI44:GQ44"/>
    <mergeCell ref="A65:H65"/>
    <mergeCell ref="A34:D34"/>
    <mergeCell ref="GR44:GZ44"/>
    <mergeCell ref="HA44:HI44"/>
    <mergeCell ref="HJ44:HR44"/>
    <mergeCell ref="CN44:CV44"/>
    <mergeCell ref="CW44:DE44"/>
    <mergeCell ref="DF44:DN44"/>
    <mergeCell ref="DO44:DW44"/>
    <mergeCell ref="DX44:EF44"/>
    <mergeCell ref="AU44:BC44"/>
    <mergeCell ref="BD44:BL44"/>
    <mergeCell ref="BM44:BU44"/>
    <mergeCell ref="BV44:CD44"/>
    <mergeCell ref="CE44:CM44"/>
    <mergeCell ref="A1:J1"/>
    <mergeCell ref="K44:S44"/>
    <mergeCell ref="T44:AB44"/>
    <mergeCell ref="AC44:AK44"/>
    <mergeCell ref="AL44:AT44"/>
    <mergeCell ref="A33:G33"/>
  </mergeCells>
  <hyperlinks>
    <hyperlink ref="A2" location="'Table of Contents'!A1" display="Back to Table of Contents" xr:uid="{00000000-0004-0000-1900-000000000000}"/>
  </hyperlinks>
  <pageMargins left="0.70866141732283472" right="0.70866141732283472" top="0.74803149606299213" bottom="0.74803149606299213" header="0.31496062992125984" footer="0.31496062992125984"/>
  <pageSetup paperSize="9" scale="77" orientation="portrait" r:id="rId1"/>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10195-8724-4DAE-A433-8A2BDC654C10}">
  <sheetPr>
    <tabColor theme="9" tint="0.39997558519241921"/>
  </sheetPr>
  <dimension ref="A1:E8"/>
  <sheetViews>
    <sheetView workbookViewId="0">
      <selection activeCell="C5" sqref="C5"/>
    </sheetView>
  </sheetViews>
  <sheetFormatPr defaultRowHeight="15" x14ac:dyDescent="0.25"/>
  <cols>
    <col min="1" max="1" width="12.42578125" bestFit="1" customWidth="1"/>
    <col min="2" max="2" width="24.5703125" bestFit="1" customWidth="1"/>
    <col min="3" max="3" width="30.42578125" bestFit="1" customWidth="1"/>
    <col min="4" max="4" width="18" bestFit="1" customWidth="1"/>
    <col min="5" max="5" width="14.28515625" bestFit="1" customWidth="1"/>
  </cols>
  <sheetData>
    <row r="1" spans="1:5" x14ac:dyDescent="0.25">
      <c r="A1" s="394" t="s">
        <v>231</v>
      </c>
      <c r="B1" t="s">
        <v>986</v>
      </c>
      <c r="C1" t="s">
        <v>987</v>
      </c>
      <c r="D1" t="s">
        <v>988</v>
      </c>
      <c r="E1" t="s">
        <v>989</v>
      </c>
    </row>
    <row r="2" spans="1:5" x14ac:dyDescent="0.25">
      <c r="A2" s="395" t="s">
        <v>239</v>
      </c>
      <c r="B2">
        <v>2955</v>
      </c>
      <c r="C2">
        <v>264</v>
      </c>
      <c r="D2">
        <v>358</v>
      </c>
      <c r="E2">
        <v>60</v>
      </c>
    </row>
    <row r="3" spans="1:5" x14ac:dyDescent="0.25">
      <c r="A3" s="395" t="s">
        <v>760</v>
      </c>
      <c r="B3">
        <v>2966</v>
      </c>
      <c r="C3">
        <v>270</v>
      </c>
      <c r="D3">
        <v>351</v>
      </c>
      <c r="E3">
        <v>49</v>
      </c>
    </row>
    <row r="4" spans="1:5" x14ac:dyDescent="0.25">
      <c r="A4" s="395" t="s">
        <v>917</v>
      </c>
      <c r="B4">
        <v>2903</v>
      </c>
      <c r="C4">
        <v>271</v>
      </c>
      <c r="D4">
        <v>348</v>
      </c>
      <c r="E4">
        <v>59</v>
      </c>
    </row>
    <row r="5" spans="1:5" x14ac:dyDescent="0.25">
      <c r="A5" s="395" t="s">
        <v>1010</v>
      </c>
      <c r="B5">
        <v>2843</v>
      </c>
      <c r="C5">
        <v>273</v>
      </c>
      <c r="D5">
        <v>349</v>
      </c>
      <c r="E5">
        <v>65</v>
      </c>
    </row>
    <row r="6" spans="1:5" x14ac:dyDescent="0.25">
      <c r="A6" s="395" t="s">
        <v>1061</v>
      </c>
      <c r="B6">
        <v>2798</v>
      </c>
      <c r="C6">
        <v>262</v>
      </c>
      <c r="D6">
        <v>327</v>
      </c>
      <c r="E6">
        <v>103</v>
      </c>
    </row>
    <row r="7" spans="1:5" x14ac:dyDescent="0.25">
      <c r="A7" s="395" t="s">
        <v>1108</v>
      </c>
      <c r="B7">
        <v>2823</v>
      </c>
      <c r="C7">
        <v>263</v>
      </c>
      <c r="D7">
        <v>335</v>
      </c>
      <c r="E7">
        <v>1</v>
      </c>
    </row>
    <row r="8" spans="1:5" x14ac:dyDescent="0.25">
      <c r="A8" s="395" t="s">
        <v>236</v>
      </c>
      <c r="B8">
        <v>17288</v>
      </c>
      <c r="C8">
        <v>1603</v>
      </c>
      <c r="D8">
        <v>2068</v>
      </c>
      <c r="E8">
        <v>337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3DEE-9770-4150-8E6F-38F9CE18A545}">
  <sheetPr>
    <tabColor theme="9" tint="0.39997558519241921"/>
  </sheetPr>
  <dimension ref="A1:E7"/>
  <sheetViews>
    <sheetView workbookViewId="0">
      <selection activeCell="C4" sqref="C4"/>
    </sheetView>
  </sheetViews>
  <sheetFormatPr defaultRowHeight="15" x14ac:dyDescent="0.25"/>
  <cols>
    <col min="1" max="1" width="7.42578125" bestFit="1" customWidth="1"/>
    <col min="2" max="2" width="20.42578125" bestFit="1" customWidth="1"/>
    <col min="3" max="3" width="26.140625" bestFit="1" customWidth="1"/>
    <col min="4" max="4" width="13.85546875" bestFit="1" customWidth="1"/>
    <col min="5" max="5" width="10.140625" bestFit="1" customWidth="1"/>
  </cols>
  <sheetData>
    <row r="1" spans="1:5" x14ac:dyDescent="0.25">
      <c r="A1" t="s">
        <v>1</v>
      </c>
      <c r="B1" t="s">
        <v>767</v>
      </c>
      <c r="C1" t="s">
        <v>768</v>
      </c>
      <c r="D1" t="s">
        <v>770</v>
      </c>
      <c r="E1" t="s">
        <v>771</v>
      </c>
    </row>
    <row r="2" spans="1:5" x14ac:dyDescent="0.25">
      <c r="A2" t="s">
        <v>239</v>
      </c>
      <c r="B2">
        <v>2955</v>
      </c>
      <c r="C2">
        <v>264</v>
      </c>
      <c r="D2">
        <v>358</v>
      </c>
      <c r="E2">
        <v>60</v>
      </c>
    </row>
    <row r="3" spans="1:5" x14ac:dyDescent="0.25">
      <c r="A3" t="s">
        <v>760</v>
      </c>
      <c r="B3">
        <v>2966</v>
      </c>
      <c r="C3">
        <v>270</v>
      </c>
      <c r="D3">
        <v>351</v>
      </c>
      <c r="E3">
        <v>49</v>
      </c>
    </row>
    <row r="4" spans="1:5" x14ac:dyDescent="0.25">
      <c r="A4" t="s">
        <v>917</v>
      </c>
      <c r="B4">
        <v>2903</v>
      </c>
      <c r="C4">
        <v>271</v>
      </c>
      <c r="D4">
        <v>348</v>
      </c>
      <c r="E4">
        <v>59</v>
      </c>
    </row>
    <row r="5" spans="1:5" x14ac:dyDescent="0.25">
      <c r="A5" t="s">
        <v>1010</v>
      </c>
      <c r="B5">
        <v>2843</v>
      </c>
      <c r="C5">
        <v>273</v>
      </c>
      <c r="D5">
        <v>349</v>
      </c>
      <c r="E5">
        <v>65</v>
      </c>
    </row>
    <row r="6" spans="1:5" x14ac:dyDescent="0.25">
      <c r="A6" t="s">
        <v>1061</v>
      </c>
      <c r="B6">
        <v>2798</v>
      </c>
      <c r="C6">
        <v>262</v>
      </c>
      <c r="D6">
        <v>327</v>
      </c>
      <c r="E6">
        <v>103</v>
      </c>
    </row>
    <row r="7" spans="1:5" x14ac:dyDescent="0.25">
      <c r="A7" t="s">
        <v>1108</v>
      </c>
      <c r="B7">
        <v>2823</v>
      </c>
      <c r="C7">
        <v>263</v>
      </c>
      <c r="D7">
        <v>335</v>
      </c>
      <c r="E7">
        <v>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8">
    <tabColor rgb="FFFFAFF0"/>
    <pageSetUpPr fitToPage="1"/>
  </sheetPr>
  <dimension ref="A1:J270"/>
  <sheetViews>
    <sheetView showGridLines="0" zoomScaleNormal="100" workbookViewId="0">
      <pane ySplit="2" topLeftCell="A3" activePane="bottomLeft" state="frozen"/>
      <selection pane="bottomLeft"/>
    </sheetView>
  </sheetViews>
  <sheetFormatPr defaultRowHeight="15" x14ac:dyDescent="0.25"/>
  <cols>
    <col min="1" max="1" width="16.7109375" customWidth="1"/>
    <col min="2" max="2" width="13" customWidth="1"/>
    <col min="3" max="3" width="20.7109375" bestFit="1" customWidth="1"/>
    <col min="4" max="4" width="10.85546875" bestFit="1" customWidth="1"/>
    <col min="5" max="6" width="55.7109375" bestFit="1" customWidth="1"/>
    <col min="7" max="7" width="11.140625" bestFit="1" customWidth="1"/>
    <col min="8" max="8" width="21.28515625" bestFit="1" customWidth="1"/>
  </cols>
  <sheetData>
    <row r="1" spans="1:8" ht="15.75" x14ac:dyDescent="0.25">
      <c r="A1" s="429" t="s">
        <v>452</v>
      </c>
    </row>
    <row r="2" spans="1:8" x14ac:dyDescent="0.25">
      <c r="A2" s="507" t="s">
        <v>511</v>
      </c>
    </row>
    <row r="3" spans="1:8" ht="15.75" x14ac:dyDescent="0.25">
      <c r="B3" s="429"/>
      <c r="C3" s="429"/>
      <c r="D3" s="429"/>
      <c r="E3" s="429"/>
    </row>
    <row r="4" spans="1:8" ht="15" customHeight="1" x14ac:dyDescent="0.25">
      <c r="A4" t="s">
        <v>328</v>
      </c>
      <c r="B4" t="s">
        <v>633</v>
      </c>
      <c r="C4" s="352"/>
      <c r="F4" s="352"/>
      <c r="G4" s="352"/>
    </row>
    <row r="5" spans="1:8" ht="15" customHeight="1" x14ac:dyDescent="0.25">
      <c r="A5" t="s">
        <v>329</v>
      </c>
      <c r="B5" s="352" t="s">
        <v>331</v>
      </c>
      <c r="C5" s="352"/>
      <c r="D5" s="352"/>
      <c r="E5" s="352"/>
      <c r="F5" s="352"/>
      <c r="G5" s="352"/>
    </row>
    <row r="6" spans="1:8" ht="15" customHeight="1" x14ac:dyDescent="0.25">
      <c r="A6" t="s">
        <v>330</v>
      </c>
      <c r="B6" t="s">
        <v>332</v>
      </c>
      <c r="C6" s="352"/>
      <c r="D6" s="352"/>
      <c r="E6" s="352"/>
      <c r="F6" s="352"/>
      <c r="G6" s="352"/>
    </row>
    <row r="7" spans="1:8" ht="15" customHeight="1" x14ac:dyDescent="0.25">
      <c r="B7" s="352"/>
      <c r="C7" s="352"/>
      <c r="D7" s="605"/>
      <c r="E7" s="352"/>
      <c r="F7" s="352"/>
      <c r="G7" s="352"/>
    </row>
    <row r="8" spans="1:8" x14ac:dyDescent="0.25">
      <c r="A8" s="534" t="s">
        <v>1</v>
      </c>
      <c r="B8" s="305" t="s">
        <v>458</v>
      </c>
      <c r="C8" s="534" t="s">
        <v>116</v>
      </c>
      <c r="D8" s="305" t="s">
        <v>459</v>
      </c>
      <c r="E8" s="534" t="s">
        <v>813</v>
      </c>
      <c r="F8" s="534" t="s">
        <v>812</v>
      </c>
      <c r="G8" s="305" t="s">
        <v>333</v>
      </c>
      <c r="H8" s="534" t="s">
        <v>15</v>
      </c>
    </row>
    <row r="9" spans="1:8" hidden="1" x14ac:dyDescent="0.25">
      <c r="A9" s="317" t="s">
        <v>239</v>
      </c>
      <c r="B9" t="s">
        <v>285</v>
      </c>
      <c r="C9" t="s">
        <v>31</v>
      </c>
      <c r="D9" t="s">
        <v>334</v>
      </c>
      <c r="E9" t="s">
        <v>31</v>
      </c>
      <c r="F9" t="s">
        <v>31</v>
      </c>
      <c r="G9" t="s">
        <v>363</v>
      </c>
      <c r="H9" t="s">
        <v>162</v>
      </c>
    </row>
    <row r="10" spans="1:8" hidden="1" x14ac:dyDescent="0.25">
      <c r="A10" s="317" t="s">
        <v>239</v>
      </c>
      <c r="B10" t="s">
        <v>286</v>
      </c>
      <c r="C10" t="s">
        <v>32</v>
      </c>
      <c r="D10" t="s">
        <v>335</v>
      </c>
      <c r="E10" t="s">
        <v>63</v>
      </c>
      <c r="F10" t="s">
        <v>63</v>
      </c>
      <c r="G10" t="s">
        <v>363</v>
      </c>
      <c r="H10" t="s">
        <v>162</v>
      </c>
    </row>
    <row r="11" spans="1:8" hidden="1" x14ac:dyDescent="0.25">
      <c r="A11" s="317" t="s">
        <v>239</v>
      </c>
      <c r="B11" t="s">
        <v>292</v>
      </c>
      <c r="C11" t="s">
        <v>33</v>
      </c>
      <c r="D11" t="s">
        <v>336</v>
      </c>
      <c r="E11" t="s">
        <v>65</v>
      </c>
      <c r="F11" t="s">
        <v>65</v>
      </c>
      <c r="G11" t="s">
        <v>363</v>
      </c>
      <c r="H11" t="s">
        <v>162</v>
      </c>
    </row>
    <row r="12" spans="1:8" hidden="1" x14ac:dyDescent="0.25">
      <c r="A12" s="317" t="s">
        <v>239</v>
      </c>
      <c r="B12" t="s">
        <v>287</v>
      </c>
      <c r="C12" t="s">
        <v>34</v>
      </c>
      <c r="D12" t="s">
        <v>337</v>
      </c>
      <c r="E12" t="s">
        <v>64</v>
      </c>
      <c r="F12" t="s">
        <v>64</v>
      </c>
      <c r="G12" t="s">
        <v>362</v>
      </c>
      <c r="H12" t="s">
        <v>163</v>
      </c>
    </row>
    <row r="13" spans="1:8" hidden="1" x14ac:dyDescent="0.25">
      <c r="A13" s="317" t="s">
        <v>239</v>
      </c>
      <c r="B13" t="s">
        <v>288</v>
      </c>
      <c r="C13" t="s">
        <v>243</v>
      </c>
      <c r="D13" t="s">
        <v>342</v>
      </c>
      <c r="E13" t="s">
        <v>165</v>
      </c>
      <c r="F13" t="s">
        <v>165</v>
      </c>
      <c r="G13" t="s">
        <v>361</v>
      </c>
      <c r="H13" t="s">
        <v>164</v>
      </c>
    </row>
    <row r="14" spans="1:8" hidden="1" x14ac:dyDescent="0.25">
      <c r="A14" s="317" t="s">
        <v>239</v>
      </c>
      <c r="B14" t="s">
        <v>266</v>
      </c>
      <c r="C14" t="s">
        <v>35</v>
      </c>
      <c r="D14" t="s">
        <v>996</v>
      </c>
      <c r="E14" t="s">
        <v>985</v>
      </c>
      <c r="F14" t="s">
        <v>985</v>
      </c>
      <c r="G14" t="s">
        <v>361</v>
      </c>
      <c r="H14" t="s">
        <v>164</v>
      </c>
    </row>
    <row r="15" spans="1:8" hidden="1" x14ac:dyDescent="0.25">
      <c r="A15" s="317" t="s">
        <v>239</v>
      </c>
      <c r="B15" t="s">
        <v>267</v>
      </c>
      <c r="C15" t="s">
        <v>36</v>
      </c>
      <c r="D15" t="s">
        <v>338</v>
      </c>
      <c r="E15" t="s">
        <v>36</v>
      </c>
      <c r="F15" t="s">
        <v>36</v>
      </c>
      <c r="G15" t="s">
        <v>362</v>
      </c>
      <c r="H15" t="s">
        <v>163</v>
      </c>
    </row>
    <row r="16" spans="1:8" hidden="1" x14ac:dyDescent="0.25">
      <c r="A16" s="317" t="s">
        <v>239</v>
      </c>
      <c r="B16" t="s">
        <v>293</v>
      </c>
      <c r="C16" t="s">
        <v>37</v>
      </c>
      <c r="D16" t="s">
        <v>336</v>
      </c>
      <c r="E16" t="s">
        <v>65</v>
      </c>
      <c r="F16" t="s">
        <v>65</v>
      </c>
      <c r="G16" t="s">
        <v>363</v>
      </c>
      <c r="H16" t="s">
        <v>162</v>
      </c>
    </row>
    <row r="17" spans="1:8" hidden="1" x14ac:dyDescent="0.25">
      <c r="A17" s="317" t="s">
        <v>239</v>
      </c>
      <c r="B17" t="s">
        <v>268</v>
      </c>
      <c r="C17" t="s">
        <v>38</v>
      </c>
      <c r="D17" t="s">
        <v>339</v>
      </c>
      <c r="E17" t="s">
        <v>66</v>
      </c>
      <c r="F17" t="s">
        <v>66</v>
      </c>
      <c r="G17" t="s">
        <v>362</v>
      </c>
      <c r="H17" t="s">
        <v>163</v>
      </c>
    </row>
    <row r="18" spans="1:8" hidden="1" x14ac:dyDescent="0.25">
      <c r="A18" s="317" t="s">
        <v>239</v>
      </c>
      <c r="B18" t="s">
        <v>295</v>
      </c>
      <c r="C18" t="s">
        <v>39</v>
      </c>
      <c r="D18" t="s">
        <v>337</v>
      </c>
      <c r="E18" t="s">
        <v>64</v>
      </c>
      <c r="F18" t="s">
        <v>64</v>
      </c>
      <c r="G18" t="s">
        <v>362</v>
      </c>
      <c r="H18" t="s">
        <v>163</v>
      </c>
    </row>
    <row r="19" spans="1:8" hidden="1" x14ac:dyDescent="0.25">
      <c r="A19" s="317" t="s">
        <v>239</v>
      </c>
      <c r="B19" t="s">
        <v>269</v>
      </c>
      <c r="C19" t="s">
        <v>40</v>
      </c>
      <c r="D19" t="s">
        <v>340</v>
      </c>
      <c r="E19" t="s">
        <v>67</v>
      </c>
      <c r="F19" t="s">
        <v>67</v>
      </c>
      <c r="G19" t="s">
        <v>361</v>
      </c>
      <c r="H19" t="s">
        <v>164</v>
      </c>
    </row>
    <row r="20" spans="1:8" hidden="1" x14ac:dyDescent="0.25">
      <c r="A20" s="317" t="s">
        <v>239</v>
      </c>
      <c r="B20" t="s">
        <v>270</v>
      </c>
      <c r="C20" t="s">
        <v>41</v>
      </c>
      <c r="D20" t="s">
        <v>341</v>
      </c>
      <c r="E20" t="s">
        <v>68</v>
      </c>
      <c r="F20" t="s">
        <v>68</v>
      </c>
      <c r="G20" t="s">
        <v>362</v>
      </c>
      <c r="H20" t="s">
        <v>163</v>
      </c>
    </row>
    <row r="21" spans="1:8" hidden="1" x14ac:dyDescent="0.25">
      <c r="A21" s="317" t="s">
        <v>239</v>
      </c>
      <c r="B21" t="s">
        <v>272</v>
      </c>
      <c r="C21" t="s">
        <v>42</v>
      </c>
      <c r="D21" t="s">
        <v>343</v>
      </c>
      <c r="E21" t="s">
        <v>69</v>
      </c>
      <c r="F21" t="s">
        <v>69</v>
      </c>
      <c r="G21" t="s">
        <v>361</v>
      </c>
      <c r="H21" t="s">
        <v>164</v>
      </c>
    </row>
    <row r="22" spans="1:8" hidden="1" x14ac:dyDescent="0.25">
      <c r="A22" s="317" t="s">
        <v>239</v>
      </c>
      <c r="B22" t="s">
        <v>297</v>
      </c>
      <c r="C22" t="s">
        <v>43</v>
      </c>
      <c r="D22" t="s">
        <v>993</v>
      </c>
      <c r="E22" t="s">
        <v>43</v>
      </c>
      <c r="F22" t="s">
        <v>43</v>
      </c>
      <c r="G22" t="s">
        <v>361</v>
      </c>
      <c r="H22" t="s">
        <v>164</v>
      </c>
    </row>
    <row r="23" spans="1:8" hidden="1" x14ac:dyDescent="0.25">
      <c r="A23" s="317" t="s">
        <v>239</v>
      </c>
      <c r="B23" t="s">
        <v>296</v>
      </c>
      <c r="C23" t="s">
        <v>117</v>
      </c>
      <c r="D23" t="s">
        <v>994</v>
      </c>
      <c r="E23" t="s">
        <v>117</v>
      </c>
      <c r="F23" t="s">
        <v>117</v>
      </c>
      <c r="G23" t="s">
        <v>362</v>
      </c>
      <c r="H23" t="s">
        <v>163</v>
      </c>
    </row>
    <row r="24" spans="1:8" hidden="1" x14ac:dyDescent="0.25">
      <c r="A24" s="317" t="s">
        <v>239</v>
      </c>
      <c r="B24" t="s">
        <v>273</v>
      </c>
      <c r="C24" t="s">
        <v>44</v>
      </c>
      <c r="D24" t="s">
        <v>344</v>
      </c>
      <c r="E24" t="s">
        <v>70</v>
      </c>
      <c r="F24" t="s">
        <v>70</v>
      </c>
      <c r="G24" t="s">
        <v>363</v>
      </c>
      <c r="H24" t="s">
        <v>162</v>
      </c>
    </row>
    <row r="25" spans="1:8" hidden="1" x14ac:dyDescent="0.25">
      <c r="A25" s="317" t="s">
        <v>239</v>
      </c>
      <c r="B25" t="s">
        <v>274</v>
      </c>
      <c r="C25" t="s">
        <v>45</v>
      </c>
      <c r="D25" t="s">
        <v>341</v>
      </c>
      <c r="E25" t="s">
        <v>68</v>
      </c>
      <c r="F25" t="s">
        <v>68</v>
      </c>
      <c r="G25" t="s">
        <v>362</v>
      </c>
      <c r="H25" t="s">
        <v>163</v>
      </c>
    </row>
    <row r="26" spans="1:8" hidden="1" x14ac:dyDescent="0.25">
      <c r="A26" s="317" t="s">
        <v>239</v>
      </c>
      <c r="B26" t="s">
        <v>275</v>
      </c>
      <c r="C26" t="s">
        <v>46</v>
      </c>
      <c r="D26" t="s">
        <v>340</v>
      </c>
      <c r="E26" t="s">
        <v>67</v>
      </c>
      <c r="F26" t="s">
        <v>67</v>
      </c>
      <c r="G26" t="s">
        <v>361</v>
      </c>
      <c r="H26" t="s">
        <v>164</v>
      </c>
    </row>
    <row r="27" spans="1:8" hidden="1" x14ac:dyDescent="0.25">
      <c r="A27" s="317" t="s">
        <v>239</v>
      </c>
      <c r="B27" t="s">
        <v>276</v>
      </c>
      <c r="C27" t="s">
        <v>47</v>
      </c>
      <c r="D27" t="s">
        <v>335</v>
      </c>
      <c r="E27" t="s">
        <v>63</v>
      </c>
      <c r="F27" t="s">
        <v>63</v>
      </c>
      <c r="G27" t="s">
        <v>363</v>
      </c>
      <c r="H27" t="s">
        <v>162</v>
      </c>
    </row>
    <row r="28" spans="1:8" hidden="1" x14ac:dyDescent="0.25">
      <c r="A28" s="317" t="s">
        <v>239</v>
      </c>
      <c r="B28" t="s">
        <v>271</v>
      </c>
      <c r="C28" t="s">
        <v>48</v>
      </c>
      <c r="D28" t="s">
        <v>346</v>
      </c>
      <c r="E28" t="s">
        <v>71</v>
      </c>
      <c r="F28" t="s">
        <v>71</v>
      </c>
      <c r="G28" t="s">
        <v>363</v>
      </c>
      <c r="H28" t="s">
        <v>162</v>
      </c>
    </row>
    <row r="29" spans="1:8" hidden="1" x14ac:dyDescent="0.25">
      <c r="A29" s="317" t="s">
        <v>239</v>
      </c>
      <c r="B29" t="s">
        <v>277</v>
      </c>
      <c r="C29" t="s">
        <v>49</v>
      </c>
      <c r="D29" t="s">
        <v>339</v>
      </c>
      <c r="E29" t="s">
        <v>66</v>
      </c>
      <c r="F29" t="s">
        <v>66</v>
      </c>
      <c r="G29" t="s">
        <v>362</v>
      </c>
      <c r="H29" t="s">
        <v>163</v>
      </c>
    </row>
    <row r="30" spans="1:8" hidden="1" x14ac:dyDescent="0.25">
      <c r="A30" s="317" t="s">
        <v>239</v>
      </c>
      <c r="B30" t="s">
        <v>294</v>
      </c>
      <c r="C30" t="s">
        <v>50</v>
      </c>
      <c r="D30" t="s">
        <v>995</v>
      </c>
      <c r="E30" t="s">
        <v>50</v>
      </c>
      <c r="F30" t="s">
        <v>50</v>
      </c>
      <c r="G30" t="s">
        <v>362</v>
      </c>
      <c r="H30" t="s">
        <v>163</v>
      </c>
    </row>
    <row r="31" spans="1:8" hidden="1" x14ac:dyDescent="0.25">
      <c r="A31" s="317" t="s">
        <v>239</v>
      </c>
      <c r="B31" t="s">
        <v>278</v>
      </c>
      <c r="C31" t="s">
        <v>51</v>
      </c>
      <c r="D31" t="s">
        <v>346</v>
      </c>
      <c r="E31" t="s">
        <v>71</v>
      </c>
      <c r="F31" t="s">
        <v>71</v>
      </c>
      <c r="G31" t="s">
        <v>363</v>
      </c>
      <c r="H31" t="s">
        <v>162</v>
      </c>
    </row>
    <row r="32" spans="1:8" hidden="1" x14ac:dyDescent="0.25">
      <c r="A32" s="317" t="s">
        <v>239</v>
      </c>
      <c r="B32" t="s">
        <v>279</v>
      </c>
      <c r="C32" t="s">
        <v>52</v>
      </c>
      <c r="D32" t="s">
        <v>336</v>
      </c>
      <c r="E32" t="s">
        <v>65</v>
      </c>
      <c r="F32" t="s">
        <v>65</v>
      </c>
      <c r="G32" t="s">
        <v>363</v>
      </c>
      <c r="H32" t="s">
        <v>162</v>
      </c>
    </row>
    <row r="33" spans="1:10" hidden="1" x14ac:dyDescent="0.25">
      <c r="A33" s="317" t="s">
        <v>239</v>
      </c>
      <c r="B33" t="s">
        <v>289</v>
      </c>
      <c r="C33" t="s">
        <v>53</v>
      </c>
      <c r="D33" t="s">
        <v>341</v>
      </c>
      <c r="E33" t="s">
        <v>68</v>
      </c>
      <c r="F33" t="s">
        <v>68</v>
      </c>
      <c r="G33" t="s">
        <v>362</v>
      </c>
      <c r="H33" t="s">
        <v>163</v>
      </c>
    </row>
    <row r="34" spans="1:10" hidden="1" x14ac:dyDescent="0.25">
      <c r="A34" s="317" t="s">
        <v>239</v>
      </c>
      <c r="B34" t="s">
        <v>280</v>
      </c>
      <c r="C34" t="s">
        <v>54</v>
      </c>
      <c r="D34" t="s">
        <v>340</v>
      </c>
      <c r="E34" t="s">
        <v>67</v>
      </c>
      <c r="F34" t="s">
        <v>67</v>
      </c>
      <c r="G34" t="s">
        <v>361</v>
      </c>
      <c r="H34" t="s">
        <v>164</v>
      </c>
    </row>
    <row r="35" spans="1:10" hidden="1" x14ac:dyDescent="0.25">
      <c r="A35" s="317" t="s">
        <v>239</v>
      </c>
      <c r="B35" t="s">
        <v>281</v>
      </c>
      <c r="C35" t="s">
        <v>55</v>
      </c>
      <c r="D35" t="s">
        <v>346</v>
      </c>
      <c r="E35" t="s">
        <v>71</v>
      </c>
      <c r="F35" t="s">
        <v>71</v>
      </c>
      <c r="G35" t="s">
        <v>363</v>
      </c>
      <c r="H35" t="s">
        <v>162</v>
      </c>
    </row>
    <row r="36" spans="1:10" hidden="1" x14ac:dyDescent="0.25">
      <c r="A36" s="317" t="s">
        <v>239</v>
      </c>
      <c r="B36" t="s">
        <v>282</v>
      </c>
      <c r="C36" t="s">
        <v>56</v>
      </c>
      <c r="D36" t="s">
        <v>339</v>
      </c>
      <c r="E36" t="s">
        <v>66</v>
      </c>
      <c r="F36" t="s">
        <v>66</v>
      </c>
      <c r="G36" t="s">
        <v>362</v>
      </c>
      <c r="H36" t="s">
        <v>163</v>
      </c>
    </row>
    <row r="37" spans="1:10" hidden="1" x14ac:dyDescent="0.25">
      <c r="A37" s="317" t="s">
        <v>239</v>
      </c>
      <c r="B37" t="s">
        <v>283</v>
      </c>
      <c r="C37" t="s">
        <v>57</v>
      </c>
      <c r="D37" t="s">
        <v>345</v>
      </c>
      <c r="E37" t="s">
        <v>57</v>
      </c>
      <c r="F37" t="s">
        <v>57</v>
      </c>
      <c r="G37" t="s">
        <v>362</v>
      </c>
      <c r="H37" t="s">
        <v>163</v>
      </c>
    </row>
    <row r="38" spans="1:10" hidden="1" x14ac:dyDescent="0.25">
      <c r="A38" s="317" t="s">
        <v>239</v>
      </c>
      <c r="B38" t="s">
        <v>284</v>
      </c>
      <c r="C38" t="s">
        <v>58</v>
      </c>
      <c r="D38" t="s">
        <v>996</v>
      </c>
      <c r="E38" t="s">
        <v>985</v>
      </c>
      <c r="F38" t="s">
        <v>985</v>
      </c>
      <c r="G38" t="s">
        <v>361</v>
      </c>
      <c r="H38" t="s">
        <v>164</v>
      </c>
    </row>
    <row r="39" spans="1:10" hidden="1" x14ac:dyDescent="0.25">
      <c r="A39" s="317" t="s">
        <v>239</v>
      </c>
      <c r="B39" t="s">
        <v>290</v>
      </c>
      <c r="C39" t="s">
        <v>59</v>
      </c>
      <c r="D39" t="s">
        <v>337</v>
      </c>
      <c r="E39" t="s">
        <v>64</v>
      </c>
      <c r="F39" t="s">
        <v>64</v>
      </c>
      <c r="G39" t="s">
        <v>362</v>
      </c>
      <c r="H39" t="s">
        <v>163</v>
      </c>
    </row>
    <row r="40" spans="1:10" hidden="1" x14ac:dyDescent="0.25">
      <c r="A40" s="534" t="s">
        <v>239</v>
      </c>
      <c r="B40" s="305" t="s">
        <v>291</v>
      </c>
      <c r="C40" s="305" t="s">
        <v>60</v>
      </c>
      <c r="D40" s="305" t="s">
        <v>343</v>
      </c>
      <c r="E40" s="305" t="s">
        <v>69</v>
      </c>
      <c r="F40" s="305" t="s">
        <v>69</v>
      </c>
      <c r="G40" s="305" t="s">
        <v>361</v>
      </c>
      <c r="H40" s="305" t="s">
        <v>164</v>
      </c>
    </row>
    <row r="41" spans="1:10" hidden="1" x14ac:dyDescent="0.25">
      <c r="A41" s="317" t="s">
        <v>760</v>
      </c>
      <c r="B41" t="s">
        <v>285</v>
      </c>
      <c r="C41" t="s">
        <v>31</v>
      </c>
      <c r="D41" t="s">
        <v>334</v>
      </c>
      <c r="E41" t="s">
        <v>31</v>
      </c>
      <c r="F41" t="s">
        <v>31</v>
      </c>
      <c r="G41" t="s">
        <v>363</v>
      </c>
      <c r="H41" t="s">
        <v>162</v>
      </c>
    </row>
    <row r="42" spans="1:10" hidden="1" x14ac:dyDescent="0.25">
      <c r="A42" s="317" t="s">
        <v>760</v>
      </c>
      <c r="B42" t="s">
        <v>286</v>
      </c>
      <c r="C42" t="s">
        <v>32</v>
      </c>
      <c r="D42" t="s">
        <v>335</v>
      </c>
      <c r="E42" t="s">
        <v>63</v>
      </c>
      <c r="F42" t="s">
        <v>63</v>
      </c>
      <c r="G42" t="s">
        <v>363</v>
      </c>
      <c r="H42" t="s">
        <v>162</v>
      </c>
    </row>
    <row r="43" spans="1:10" hidden="1" x14ac:dyDescent="0.25">
      <c r="A43" s="317" t="s">
        <v>760</v>
      </c>
      <c r="B43" t="s">
        <v>292</v>
      </c>
      <c r="C43" t="s">
        <v>33</v>
      </c>
      <c r="D43" t="s">
        <v>336</v>
      </c>
      <c r="E43" t="s">
        <v>65</v>
      </c>
      <c r="F43" t="s">
        <v>65</v>
      </c>
      <c r="G43" t="s">
        <v>363</v>
      </c>
      <c r="H43" t="s">
        <v>162</v>
      </c>
      <c r="I43" s="380"/>
      <c r="J43" s="380"/>
    </row>
    <row r="44" spans="1:10" hidden="1" x14ac:dyDescent="0.25">
      <c r="A44" s="317" t="s">
        <v>760</v>
      </c>
      <c r="B44" t="s">
        <v>287</v>
      </c>
      <c r="C44" t="s">
        <v>34</v>
      </c>
      <c r="D44" t="s">
        <v>337</v>
      </c>
      <c r="E44" t="s">
        <v>64</v>
      </c>
      <c r="F44" t="s">
        <v>64</v>
      </c>
      <c r="G44" t="s">
        <v>362</v>
      </c>
      <c r="H44" t="s">
        <v>163</v>
      </c>
    </row>
    <row r="45" spans="1:10" hidden="1" x14ac:dyDescent="0.25">
      <c r="A45" s="317" t="s">
        <v>760</v>
      </c>
      <c r="B45" t="s">
        <v>288</v>
      </c>
      <c r="C45" t="s">
        <v>243</v>
      </c>
      <c r="D45" t="s">
        <v>342</v>
      </c>
      <c r="E45" t="s">
        <v>165</v>
      </c>
      <c r="F45" t="s">
        <v>165</v>
      </c>
      <c r="G45" t="s">
        <v>361</v>
      </c>
      <c r="H45" t="s">
        <v>164</v>
      </c>
    </row>
    <row r="46" spans="1:10" hidden="1" x14ac:dyDescent="0.25">
      <c r="A46" s="317" t="s">
        <v>760</v>
      </c>
      <c r="B46" t="s">
        <v>266</v>
      </c>
      <c r="C46" t="s">
        <v>35</v>
      </c>
      <c r="D46" t="s">
        <v>996</v>
      </c>
      <c r="E46" t="s">
        <v>985</v>
      </c>
      <c r="F46" t="s">
        <v>762</v>
      </c>
      <c r="G46" t="s">
        <v>361</v>
      </c>
      <c r="H46" t="s">
        <v>164</v>
      </c>
    </row>
    <row r="47" spans="1:10" hidden="1" x14ac:dyDescent="0.25">
      <c r="A47" s="317" t="s">
        <v>760</v>
      </c>
      <c r="B47" t="s">
        <v>267</v>
      </c>
      <c r="C47" t="s">
        <v>36</v>
      </c>
      <c r="D47" t="s">
        <v>338</v>
      </c>
      <c r="E47" t="s">
        <v>36</v>
      </c>
      <c r="F47" t="s">
        <v>36</v>
      </c>
      <c r="G47" t="s">
        <v>362</v>
      </c>
      <c r="H47" t="s">
        <v>163</v>
      </c>
    </row>
    <row r="48" spans="1:10" hidden="1" x14ac:dyDescent="0.25">
      <c r="A48" s="317" t="s">
        <v>760</v>
      </c>
      <c r="B48" t="s">
        <v>293</v>
      </c>
      <c r="C48" t="s">
        <v>37</v>
      </c>
      <c r="D48" t="s">
        <v>336</v>
      </c>
      <c r="E48" t="s">
        <v>65</v>
      </c>
      <c r="F48" t="s">
        <v>65</v>
      </c>
      <c r="G48" t="s">
        <v>363</v>
      </c>
      <c r="H48" t="s">
        <v>162</v>
      </c>
    </row>
    <row r="49" spans="1:8" hidden="1" x14ac:dyDescent="0.25">
      <c r="A49" s="317" t="s">
        <v>760</v>
      </c>
      <c r="B49" t="s">
        <v>268</v>
      </c>
      <c r="C49" t="s">
        <v>38</v>
      </c>
      <c r="D49" t="s">
        <v>339</v>
      </c>
      <c r="E49" t="s">
        <v>66</v>
      </c>
      <c r="F49" t="s">
        <v>66</v>
      </c>
      <c r="G49" t="s">
        <v>362</v>
      </c>
      <c r="H49" t="s">
        <v>163</v>
      </c>
    </row>
    <row r="50" spans="1:8" hidden="1" x14ac:dyDescent="0.25">
      <c r="A50" s="317" t="s">
        <v>760</v>
      </c>
      <c r="B50" t="s">
        <v>295</v>
      </c>
      <c r="C50" t="s">
        <v>39</v>
      </c>
      <c r="D50" t="s">
        <v>337</v>
      </c>
      <c r="E50" t="s">
        <v>64</v>
      </c>
      <c r="F50" t="s">
        <v>64</v>
      </c>
      <c r="G50" t="s">
        <v>362</v>
      </c>
      <c r="H50" t="s">
        <v>163</v>
      </c>
    </row>
    <row r="51" spans="1:8" hidden="1" x14ac:dyDescent="0.25">
      <c r="A51" s="317" t="s">
        <v>760</v>
      </c>
      <c r="B51" t="s">
        <v>269</v>
      </c>
      <c r="C51" t="s">
        <v>40</v>
      </c>
      <c r="D51" t="s">
        <v>340</v>
      </c>
      <c r="E51" t="s">
        <v>67</v>
      </c>
      <c r="F51" t="s">
        <v>67</v>
      </c>
      <c r="G51" t="s">
        <v>361</v>
      </c>
      <c r="H51" t="s">
        <v>164</v>
      </c>
    </row>
    <row r="52" spans="1:8" hidden="1" x14ac:dyDescent="0.25">
      <c r="A52" s="317" t="s">
        <v>760</v>
      </c>
      <c r="B52" t="s">
        <v>270</v>
      </c>
      <c r="C52" t="s">
        <v>41</v>
      </c>
      <c r="D52" t="s">
        <v>341</v>
      </c>
      <c r="E52" t="s">
        <v>68</v>
      </c>
      <c r="F52" t="s">
        <v>68</v>
      </c>
      <c r="G52" t="s">
        <v>362</v>
      </c>
      <c r="H52" t="s">
        <v>163</v>
      </c>
    </row>
    <row r="53" spans="1:8" hidden="1" x14ac:dyDescent="0.25">
      <c r="A53" s="317" t="s">
        <v>760</v>
      </c>
      <c r="B53" t="s">
        <v>272</v>
      </c>
      <c r="C53" t="s">
        <v>42</v>
      </c>
      <c r="D53" t="s">
        <v>343</v>
      </c>
      <c r="E53" t="s">
        <v>69</v>
      </c>
      <c r="F53" t="s">
        <v>69</v>
      </c>
      <c r="G53" t="s">
        <v>361</v>
      </c>
      <c r="H53" t="s">
        <v>164</v>
      </c>
    </row>
    <row r="54" spans="1:8" hidden="1" x14ac:dyDescent="0.25">
      <c r="A54" s="317" t="s">
        <v>760</v>
      </c>
      <c r="B54" t="s">
        <v>297</v>
      </c>
      <c r="C54" t="s">
        <v>43</v>
      </c>
      <c r="D54" t="s">
        <v>993</v>
      </c>
      <c r="E54" t="s">
        <v>43</v>
      </c>
      <c r="F54" t="s">
        <v>762</v>
      </c>
      <c r="G54" t="s">
        <v>361</v>
      </c>
      <c r="H54" t="s">
        <v>164</v>
      </c>
    </row>
    <row r="55" spans="1:8" hidden="1" x14ac:dyDescent="0.25">
      <c r="A55" s="317" t="s">
        <v>760</v>
      </c>
      <c r="B55" t="s">
        <v>921</v>
      </c>
      <c r="C55" t="s">
        <v>117</v>
      </c>
      <c r="D55" t="s">
        <v>1035</v>
      </c>
      <c r="E55" t="s">
        <v>117</v>
      </c>
      <c r="F55" t="s">
        <v>117</v>
      </c>
      <c r="G55" t="s">
        <v>362</v>
      </c>
      <c r="H55" t="s">
        <v>163</v>
      </c>
    </row>
    <row r="56" spans="1:8" hidden="1" x14ac:dyDescent="0.25">
      <c r="A56" s="317" t="s">
        <v>760</v>
      </c>
      <c r="B56" t="s">
        <v>273</v>
      </c>
      <c r="C56" t="s">
        <v>44</v>
      </c>
      <c r="D56" t="s">
        <v>344</v>
      </c>
      <c r="E56" t="s">
        <v>70</v>
      </c>
      <c r="F56" t="s">
        <v>70</v>
      </c>
      <c r="G56" t="s">
        <v>363</v>
      </c>
      <c r="H56" t="s">
        <v>162</v>
      </c>
    </row>
    <row r="57" spans="1:8" hidden="1" x14ac:dyDescent="0.25">
      <c r="A57" s="317" t="s">
        <v>760</v>
      </c>
      <c r="B57" t="s">
        <v>274</v>
      </c>
      <c r="C57" t="s">
        <v>45</v>
      </c>
      <c r="D57" t="s">
        <v>341</v>
      </c>
      <c r="E57" t="s">
        <v>68</v>
      </c>
      <c r="F57" t="s">
        <v>68</v>
      </c>
      <c r="G57" t="s">
        <v>362</v>
      </c>
      <c r="H57" t="s">
        <v>163</v>
      </c>
    </row>
    <row r="58" spans="1:8" hidden="1" x14ac:dyDescent="0.25">
      <c r="A58" s="317" t="s">
        <v>760</v>
      </c>
      <c r="B58" t="s">
        <v>275</v>
      </c>
      <c r="C58" t="s">
        <v>46</v>
      </c>
      <c r="D58" t="s">
        <v>340</v>
      </c>
      <c r="E58" t="s">
        <v>67</v>
      </c>
      <c r="F58" t="s">
        <v>67</v>
      </c>
      <c r="G58" t="s">
        <v>361</v>
      </c>
      <c r="H58" t="s">
        <v>164</v>
      </c>
    </row>
    <row r="59" spans="1:8" hidden="1" x14ac:dyDescent="0.25">
      <c r="A59" s="317" t="s">
        <v>760</v>
      </c>
      <c r="B59" t="s">
        <v>276</v>
      </c>
      <c r="C59" t="s">
        <v>47</v>
      </c>
      <c r="D59" t="s">
        <v>335</v>
      </c>
      <c r="E59" t="s">
        <v>63</v>
      </c>
      <c r="F59" t="s">
        <v>63</v>
      </c>
      <c r="G59" t="s">
        <v>363</v>
      </c>
      <c r="H59" t="s">
        <v>162</v>
      </c>
    </row>
    <row r="60" spans="1:8" hidden="1" x14ac:dyDescent="0.25">
      <c r="A60" s="317" t="s">
        <v>760</v>
      </c>
      <c r="B60" t="s">
        <v>271</v>
      </c>
      <c r="C60" t="s">
        <v>48</v>
      </c>
      <c r="D60" t="s">
        <v>346</v>
      </c>
      <c r="E60" t="s">
        <v>71</v>
      </c>
      <c r="F60" t="s">
        <v>71</v>
      </c>
      <c r="G60" t="s">
        <v>363</v>
      </c>
      <c r="H60" t="s">
        <v>162</v>
      </c>
    </row>
    <row r="61" spans="1:8" hidden="1" x14ac:dyDescent="0.25">
      <c r="A61" s="317" t="s">
        <v>760</v>
      </c>
      <c r="B61" t="s">
        <v>277</v>
      </c>
      <c r="C61" t="s">
        <v>49</v>
      </c>
      <c r="D61" t="s">
        <v>339</v>
      </c>
      <c r="E61" t="s">
        <v>66</v>
      </c>
      <c r="F61" t="s">
        <v>66</v>
      </c>
      <c r="G61" t="s">
        <v>362</v>
      </c>
      <c r="H61" t="s">
        <v>163</v>
      </c>
    </row>
    <row r="62" spans="1:8" hidden="1" x14ac:dyDescent="0.25">
      <c r="A62" s="317" t="s">
        <v>760</v>
      </c>
      <c r="B62" t="s">
        <v>922</v>
      </c>
      <c r="C62" t="s">
        <v>50</v>
      </c>
      <c r="D62" t="s">
        <v>1036</v>
      </c>
      <c r="E62" t="s">
        <v>50</v>
      </c>
      <c r="F62" t="s">
        <v>50</v>
      </c>
      <c r="G62" t="s">
        <v>362</v>
      </c>
      <c r="H62" t="s">
        <v>163</v>
      </c>
    </row>
    <row r="63" spans="1:8" hidden="1" x14ac:dyDescent="0.25">
      <c r="A63" s="317" t="s">
        <v>760</v>
      </c>
      <c r="B63" t="s">
        <v>278</v>
      </c>
      <c r="C63" t="s">
        <v>51</v>
      </c>
      <c r="D63" t="s">
        <v>346</v>
      </c>
      <c r="E63" t="s">
        <v>71</v>
      </c>
      <c r="F63" t="s">
        <v>71</v>
      </c>
      <c r="G63" t="s">
        <v>363</v>
      </c>
      <c r="H63" t="s">
        <v>162</v>
      </c>
    </row>
    <row r="64" spans="1:8" hidden="1" x14ac:dyDescent="0.25">
      <c r="A64" s="317" t="s">
        <v>760</v>
      </c>
      <c r="B64" t="s">
        <v>279</v>
      </c>
      <c r="C64" t="s">
        <v>52</v>
      </c>
      <c r="D64" t="s">
        <v>336</v>
      </c>
      <c r="E64" t="s">
        <v>65</v>
      </c>
      <c r="F64" t="s">
        <v>65</v>
      </c>
      <c r="G64" t="s">
        <v>363</v>
      </c>
      <c r="H64" t="s">
        <v>162</v>
      </c>
    </row>
    <row r="65" spans="1:8" hidden="1" x14ac:dyDescent="0.25">
      <c r="A65" s="317" t="s">
        <v>760</v>
      </c>
      <c r="B65" t="s">
        <v>289</v>
      </c>
      <c r="C65" t="s">
        <v>53</v>
      </c>
      <c r="D65" t="s">
        <v>341</v>
      </c>
      <c r="E65" t="s">
        <v>68</v>
      </c>
      <c r="F65" t="s">
        <v>68</v>
      </c>
      <c r="G65" t="s">
        <v>362</v>
      </c>
      <c r="H65" t="s">
        <v>163</v>
      </c>
    </row>
    <row r="66" spans="1:8" hidden="1" x14ac:dyDescent="0.25">
      <c r="A66" s="317" t="s">
        <v>760</v>
      </c>
      <c r="B66" t="s">
        <v>280</v>
      </c>
      <c r="C66" t="s">
        <v>54</v>
      </c>
      <c r="D66" t="s">
        <v>340</v>
      </c>
      <c r="E66" t="s">
        <v>67</v>
      </c>
      <c r="F66" t="s">
        <v>67</v>
      </c>
      <c r="G66" t="s">
        <v>361</v>
      </c>
      <c r="H66" t="s">
        <v>164</v>
      </c>
    </row>
    <row r="67" spans="1:8" hidden="1" x14ac:dyDescent="0.25">
      <c r="A67" s="317" t="s">
        <v>760</v>
      </c>
      <c r="B67" t="s">
        <v>281</v>
      </c>
      <c r="C67" t="s">
        <v>55</v>
      </c>
      <c r="D67" t="s">
        <v>346</v>
      </c>
      <c r="E67" t="s">
        <v>71</v>
      </c>
      <c r="F67" t="s">
        <v>71</v>
      </c>
      <c r="G67" t="s">
        <v>363</v>
      </c>
      <c r="H67" t="s">
        <v>162</v>
      </c>
    </row>
    <row r="68" spans="1:8" hidden="1" x14ac:dyDescent="0.25">
      <c r="A68" s="317" t="s">
        <v>760</v>
      </c>
      <c r="B68" t="s">
        <v>282</v>
      </c>
      <c r="C68" t="s">
        <v>56</v>
      </c>
      <c r="D68" t="s">
        <v>339</v>
      </c>
      <c r="E68" t="s">
        <v>66</v>
      </c>
      <c r="F68" t="s">
        <v>66</v>
      </c>
      <c r="G68" t="s">
        <v>362</v>
      </c>
      <c r="H68" t="s">
        <v>163</v>
      </c>
    </row>
    <row r="69" spans="1:8" hidden="1" x14ac:dyDescent="0.25">
      <c r="A69" s="317" t="s">
        <v>760</v>
      </c>
      <c r="B69" t="s">
        <v>283</v>
      </c>
      <c r="C69" t="s">
        <v>57</v>
      </c>
      <c r="D69" t="s">
        <v>345</v>
      </c>
      <c r="E69" t="s">
        <v>57</v>
      </c>
      <c r="F69" t="s">
        <v>57</v>
      </c>
      <c r="G69" t="s">
        <v>362</v>
      </c>
      <c r="H69" t="s">
        <v>163</v>
      </c>
    </row>
    <row r="70" spans="1:8" hidden="1" x14ac:dyDescent="0.25">
      <c r="A70" s="317" t="s">
        <v>760</v>
      </c>
      <c r="B70" t="s">
        <v>284</v>
      </c>
      <c r="C70" t="s">
        <v>58</v>
      </c>
      <c r="D70" t="s">
        <v>996</v>
      </c>
      <c r="E70" t="s">
        <v>985</v>
      </c>
      <c r="F70" t="s">
        <v>762</v>
      </c>
      <c r="G70" t="s">
        <v>361</v>
      </c>
      <c r="H70" t="s">
        <v>164</v>
      </c>
    </row>
    <row r="71" spans="1:8" hidden="1" x14ac:dyDescent="0.25">
      <c r="A71" s="317" t="s">
        <v>760</v>
      </c>
      <c r="B71" t="s">
        <v>290</v>
      </c>
      <c r="C71" t="s">
        <v>59</v>
      </c>
      <c r="D71" t="s">
        <v>337</v>
      </c>
      <c r="E71" t="s">
        <v>64</v>
      </c>
      <c r="F71" t="s">
        <v>64</v>
      </c>
      <c r="G71" t="s">
        <v>362</v>
      </c>
      <c r="H71" t="s">
        <v>163</v>
      </c>
    </row>
    <row r="72" spans="1:8" hidden="1" x14ac:dyDescent="0.25">
      <c r="A72" s="534" t="s">
        <v>760</v>
      </c>
      <c r="B72" s="305" t="s">
        <v>291</v>
      </c>
      <c r="C72" s="305" t="s">
        <v>60</v>
      </c>
      <c r="D72" s="305" t="s">
        <v>343</v>
      </c>
      <c r="E72" s="305" t="s">
        <v>69</v>
      </c>
      <c r="F72" s="305" t="s">
        <v>69</v>
      </c>
      <c r="G72" s="305" t="s">
        <v>361</v>
      </c>
      <c r="H72" s="305" t="s">
        <v>164</v>
      </c>
    </row>
    <row r="73" spans="1:8" hidden="1" x14ac:dyDescent="0.25">
      <c r="A73" s="317" t="s">
        <v>917</v>
      </c>
      <c r="B73" t="s">
        <v>285</v>
      </c>
      <c r="C73" t="s">
        <v>31</v>
      </c>
      <c r="D73" t="s">
        <v>334</v>
      </c>
      <c r="E73" t="s">
        <v>31</v>
      </c>
      <c r="F73" t="s">
        <v>31</v>
      </c>
      <c r="G73" t="s">
        <v>363</v>
      </c>
      <c r="H73" t="s">
        <v>162</v>
      </c>
    </row>
    <row r="74" spans="1:8" hidden="1" x14ac:dyDescent="0.25">
      <c r="A74" s="317" t="s">
        <v>917</v>
      </c>
      <c r="B74" t="s">
        <v>286</v>
      </c>
      <c r="C74" t="s">
        <v>32</v>
      </c>
      <c r="D74" t="s">
        <v>335</v>
      </c>
      <c r="E74" t="s">
        <v>63</v>
      </c>
      <c r="F74" t="s">
        <v>63</v>
      </c>
      <c r="G74" t="s">
        <v>363</v>
      </c>
      <c r="H74" t="s">
        <v>162</v>
      </c>
    </row>
    <row r="75" spans="1:8" hidden="1" x14ac:dyDescent="0.25">
      <c r="A75" s="317" t="s">
        <v>917</v>
      </c>
      <c r="B75" t="s">
        <v>292</v>
      </c>
      <c r="C75" t="s">
        <v>33</v>
      </c>
      <c r="D75" t="s">
        <v>336</v>
      </c>
      <c r="E75" t="s">
        <v>65</v>
      </c>
      <c r="F75" t="s">
        <v>65</v>
      </c>
      <c r="G75" t="s">
        <v>363</v>
      </c>
      <c r="H75" t="s">
        <v>162</v>
      </c>
    </row>
    <row r="76" spans="1:8" hidden="1" x14ac:dyDescent="0.25">
      <c r="A76" s="317" t="s">
        <v>917</v>
      </c>
      <c r="B76" t="s">
        <v>287</v>
      </c>
      <c r="C76" t="s">
        <v>34</v>
      </c>
      <c r="D76" t="s">
        <v>337</v>
      </c>
      <c r="E76" t="s">
        <v>64</v>
      </c>
      <c r="F76" t="s">
        <v>64</v>
      </c>
      <c r="G76" t="s">
        <v>362</v>
      </c>
      <c r="H76" t="s">
        <v>163</v>
      </c>
    </row>
    <row r="77" spans="1:8" hidden="1" x14ac:dyDescent="0.25">
      <c r="A77" s="317" t="s">
        <v>917</v>
      </c>
      <c r="B77" t="s">
        <v>288</v>
      </c>
      <c r="C77" t="s">
        <v>243</v>
      </c>
      <c r="D77" t="s">
        <v>342</v>
      </c>
      <c r="E77" t="s">
        <v>165</v>
      </c>
      <c r="F77" t="s">
        <v>165</v>
      </c>
      <c r="G77" t="s">
        <v>361</v>
      </c>
      <c r="H77" t="s">
        <v>164</v>
      </c>
    </row>
    <row r="78" spans="1:8" hidden="1" x14ac:dyDescent="0.25">
      <c r="A78" s="317" t="s">
        <v>917</v>
      </c>
      <c r="B78" t="s">
        <v>266</v>
      </c>
      <c r="C78" t="s">
        <v>35</v>
      </c>
      <c r="D78" t="s">
        <v>1037</v>
      </c>
      <c r="E78" t="s">
        <v>762</v>
      </c>
      <c r="F78" t="s">
        <v>762</v>
      </c>
      <c r="G78" t="s">
        <v>361</v>
      </c>
      <c r="H78" t="s">
        <v>164</v>
      </c>
    </row>
    <row r="79" spans="1:8" hidden="1" x14ac:dyDescent="0.25">
      <c r="A79" s="317" t="s">
        <v>917</v>
      </c>
      <c r="B79" t="s">
        <v>267</v>
      </c>
      <c r="C79" t="s">
        <v>36</v>
      </c>
      <c r="D79" t="s">
        <v>338</v>
      </c>
      <c r="E79" t="s">
        <v>36</v>
      </c>
      <c r="F79" t="s">
        <v>36</v>
      </c>
      <c r="G79" t="s">
        <v>362</v>
      </c>
      <c r="H79" t="s">
        <v>163</v>
      </c>
    </row>
    <row r="80" spans="1:8" hidden="1" x14ac:dyDescent="0.25">
      <c r="A80" s="317" t="s">
        <v>917</v>
      </c>
      <c r="B80" t="s">
        <v>293</v>
      </c>
      <c r="C80" t="s">
        <v>37</v>
      </c>
      <c r="D80" t="s">
        <v>336</v>
      </c>
      <c r="E80" t="s">
        <v>65</v>
      </c>
      <c r="F80" t="s">
        <v>65</v>
      </c>
      <c r="G80" t="s">
        <v>363</v>
      </c>
      <c r="H80" t="s">
        <v>162</v>
      </c>
    </row>
    <row r="81" spans="1:8" hidden="1" x14ac:dyDescent="0.25">
      <c r="A81" s="317" t="s">
        <v>917</v>
      </c>
      <c r="B81" t="s">
        <v>268</v>
      </c>
      <c r="C81" t="s">
        <v>38</v>
      </c>
      <c r="D81" t="s">
        <v>339</v>
      </c>
      <c r="E81" t="s">
        <v>66</v>
      </c>
      <c r="F81" t="s">
        <v>66</v>
      </c>
      <c r="G81" t="s">
        <v>362</v>
      </c>
      <c r="H81" t="s">
        <v>163</v>
      </c>
    </row>
    <row r="82" spans="1:8" hidden="1" x14ac:dyDescent="0.25">
      <c r="A82" s="317" t="s">
        <v>917</v>
      </c>
      <c r="B82" t="s">
        <v>295</v>
      </c>
      <c r="C82" t="s">
        <v>39</v>
      </c>
      <c r="D82" t="s">
        <v>337</v>
      </c>
      <c r="E82" t="s">
        <v>64</v>
      </c>
      <c r="F82" t="s">
        <v>64</v>
      </c>
      <c r="G82" t="s">
        <v>362</v>
      </c>
      <c r="H82" t="s">
        <v>163</v>
      </c>
    </row>
    <row r="83" spans="1:8" hidden="1" x14ac:dyDescent="0.25">
      <c r="A83" s="317" t="s">
        <v>917</v>
      </c>
      <c r="B83" t="s">
        <v>269</v>
      </c>
      <c r="C83" t="s">
        <v>40</v>
      </c>
      <c r="D83" t="s">
        <v>340</v>
      </c>
      <c r="E83" t="s">
        <v>67</v>
      </c>
      <c r="F83" t="s">
        <v>67</v>
      </c>
      <c r="G83" t="s">
        <v>361</v>
      </c>
      <c r="H83" t="s">
        <v>164</v>
      </c>
    </row>
    <row r="84" spans="1:8" hidden="1" x14ac:dyDescent="0.25">
      <c r="A84" s="317" t="s">
        <v>917</v>
      </c>
      <c r="B84" t="s">
        <v>270</v>
      </c>
      <c r="C84" t="s">
        <v>41</v>
      </c>
      <c r="D84" t="s">
        <v>341</v>
      </c>
      <c r="E84" t="s">
        <v>68</v>
      </c>
      <c r="F84" t="s">
        <v>68</v>
      </c>
      <c r="G84" t="s">
        <v>362</v>
      </c>
      <c r="H84" t="s">
        <v>163</v>
      </c>
    </row>
    <row r="85" spans="1:8" hidden="1" x14ac:dyDescent="0.25">
      <c r="A85" s="317" t="s">
        <v>917</v>
      </c>
      <c r="B85" t="s">
        <v>272</v>
      </c>
      <c r="C85" t="s">
        <v>42</v>
      </c>
      <c r="D85" t="s">
        <v>343</v>
      </c>
      <c r="E85" t="s">
        <v>69</v>
      </c>
      <c r="F85" t="s">
        <v>69</v>
      </c>
      <c r="G85" t="s">
        <v>361</v>
      </c>
      <c r="H85" t="s">
        <v>164</v>
      </c>
    </row>
    <row r="86" spans="1:8" hidden="1" x14ac:dyDescent="0.25">
      <c r="A86" s="317" t="s">
        <v>917</v>
      </c>
      <c r="B86" t="s">
        <v>297</v>
      </c>
      <c r="C86" t="s">
        <v>43</v>
      </c>
      <c r="D86" t="s">
        <v>1037</v>
      </c>
      <c r="E86" t="s">
        <v>762</v>
      </c>
      <c r="F86" t="s">
        <v>762</v>
      </c>
      <c r="G86" t="s">
        <v>361</v>
      </c>
      <c r="H86" t="s">
        <v>164</v>
      </c>
    </row>
    <row r="87" spans="1:8" hidden="1" x14ac:dyDescent="0.25">
      <c r="A87" s="317" t="s">
        <v>917</v>
      </c>
      <c r="B87" t="s">
        <v>921</v>
      </c>
      <c r="C87" t="s">
        <v>117</v>
      </c>
      <c r="D87" t="s">
        <v>1035</v>
      </c>
      <c r="E87" t="s">
        <v>117</v>
      </c>
      <c r="F87" t="s">
        <v>117</v>
      </c>
      <c r="G87" t="s">
        <v>362</v>
      </c>
      <c r="H87" t="s">
        <v>163</v>
      </c>
    </row>
    <row r="88" spans="1:8" hidden="1" x14ac:dyDescent="0.25">
      <c r="A88" s="317" t="s">
        <v>917</v>
      </c>
      <c r="B88" t="s">
        <v>273</v>
      </c>
      <c r="C88" t="s">
        <v>44</v>
      </c>
      <c r="D88" t="s">
        <v>344</v>
      </c>
      <c r="E88" t="s">
        <v>70</v>
      </c>
      <c r="F88" t="s">
        <v>70</v>
      </c>
      <c r="G88" t="s">
        <v>363</v>
      </c>
      <c r="H88" t="s">
        <v>162</v>
      </c>
    </row>
    <row r="89" spans="1:8" hidden="1" x14ac:dyDescent="0.25">
      <c r="A89" s="317" t="s">
        <v>917</v>
      </c>
      <c r="B89" t="s">
        <v>274</v>
      </c>
      <c r="C89" t="s">
        <v>45</v>
      </c>
      <c r="D89" t="s">
        <v>341</v>
      </c>
      <c r="E89" t="s">
        <v>68</v>
      </c>
      <c r="F89" t="s">
        <v>68</v>
      </c>
      <c r="G89" t="s">
        <v>362</v>
      </c>
      <c r="H89" t="s">
        <v>163</v>
      </c>
    </row>
    <row r="90" spans="1:8" hidden="1" x14ac:dyDescent="0.25">
      <c r="A90" s="317" t="s">
        <v>917</v>
      </c>
      <c r="B90" t="s">
        <v>275</v>
      </c>
      <c r="C90" t="s">
        <v>46</v>
      </c>
      <c r="D90" t="s">
        <v>340</v>
      </c>
      <c r="E90" t="s">
        <v>67</v>
      </c>
      <c r="F90" t="s">
        <v>67</v>
      </c>
      <c r="G90" t="s">
        <v>361</v>
      </c>
      <c r="H90" t="s">
        <v>164</v>
      </c>
    </row>
    <row r="91" spans="1:8" hidden="1" x14ac:dyDescent="0.25">
      <c r="A91" s="317" t="s">
        <v>917</v>
      </c>
      <c r="B91" t="s">
        <v>276</v>
      </c>
      <c r="C91" t="s">
        <v>47</v>
      </c>
      <c r="D91" t="s">
        <v>335</v>
      </c>
      <c r="E91" t="s">
        <v>63</v>
      </c>
      <c r="F91" t="s">
        <v>63</v>
      </c>
      <c r="G91" t="s">
        <v>363</v>
      </c>
      <c r="H91" t="s">
        <v>162</v>
      </c>
    </row>
    <row r="92" spans="1:8" hidden="1" x14ac:dyDescent="0.25">
      <c r="A92" s="317" t="s">
        <v>917</v>
      </c>
      <c r="B92" t="s">
        <v>271</v>
      </c>
      <c r="C92" t="s">
        <v>48</v>
      </c>
      <c r="D92" t="s">
        <v>346</v>
      </c>
      <c r="E92" t="s">
        <v>71</v>
      </c>
      <c r="F92" t="s">
        <v>71</v>
      </c>
      <c r="G92" t="s">
        <v>363</v>
      </c>
      <c r="H92" t="s">
        <v>162</v>
      </c>
    </row>
    <row r="93" spans="1:8" hidden="1" x14ac:dyDescent="0.25">
      <c r="A93" s="317" t="s">
        <v>917</v>
      </c>
      <c r="B93" t="s">
        <v>277</v>
      </c>
      <c r="C93" t="s">
        <v>49</v>
      </c>
      <c r="D93" t="s">
        <v>339</v>
      </c>
      <c r="E93" t="s">
        <v>66</v>
      </c>
      <c r="F93" t="s">
        <v>66</v>
      </c>
      <c r="G93" t="s">
        <v>362</v>
      </c>
      <c r="H93" t="s">
        <v>163</v>
      </c>
    </row>
    <row r="94" spans="1:8" hidden="1" x14ac:dyDescent="0.25">
      <c r="A94" s="317" t="s">
        <v>917</v>
      </c>
      <c r="B94" t="s">
        <v>922</v>
      </c>
      <c r="C94" t="s">
        <v>50</v>
      </c>
      <c r="D94" t="s">
        <v>1036</v>
      </c>
      <c r="E94" t="s">
        <v>50</v>
      </c>
      <c r="F94" t="s">
        <v>50</v>
      </c>
      <c r="G94" t="s">
        <v>362</v>
      </c>
      <c r="H94" t="s">
        <v>163</v>
      </c>
    </row>
    <row r="95" spans="1:8" hidden="1" x14ac:dyDescent="0.25">
      <c r="A95" s="317" t="s">
        <v>917</v>
      </c>
      <c r="B95" t="s">
        <v>278</v>
      </c>
      <c r="C95" t="s">
        <v>51</v>
      </c>
      <c r="D95" t="s">
        <v>346</v>
      </c>
      <c r="E95" t="s">
        <v>71</v>
      </c>
      <c r="F95" t="s">
        <v>71</v>
      </c>
      <c r="G95" t="s">
        <v>363</v>
      </c>
      <c r="H95" t="s">
        <v>162</v>
      </c>
    </row>
    <row r="96" spans="1:8" hidden="1" x14ac:dyDescent="0.25">
      <c r="A96" s="317" t="s">
        <v>917</v>
      </c>
      <c r="B96" t="s">
        <v>279</v>
      </c>
      <c r="C96" t="s">
        <v>52</v>
      </c>
      <c r="D96" t="s">
        <v>336</v>
      </c>
      <c r="E96" t="s">
        <v>65</v>
      </c>
      <c r="F96" t="s">
        <v>65</v>
      </c>
      <c r="G96" t="s">
        <v>363</v>
      </c>
      <c r="H96" t="s">
        <v>162</v>
      </c>
    </row>
    <row r="97" spans="1:8" hidden="1" x14ac:dyDescent="0.25">
      <c r="A97" s="317" t="s">
        <v>917</v>
      </c>
      <c r="B97" t="s">
        <v>289</v>
      </c>
      <c r="C97" t="s">
        <v>53</v>
      </c>
      <c r="D97" t="s">
        <v>341</v>
      </c>
      <c r="E97" t="s">
        <v>68</v>
      </c>
      <c r="F97" t="s">
        <v>68</v>
      </c>
      <c r="G97" t="s">
        <v>362</v>
      </c>
      <c r="H97" t="s">
        <v>163</v>
      </c>
    </row>
    <row r="98" spans="1:8" hidden="1" x14ac:dyDescent="0.25">
      <c r="A98" s="317" t="s">
        <v>917</v>
      </c>
      <c r="B98" t="s">
        <v>280</v>
      </c>
      <c r="C98" t="s">
        <v>54</v>
      </c>
      <c r="D98" t="s">
        <v>340</v>
      </c>
      <c r="E98" t="s">
        <v>67</v>
      </c>
      <c r="F98" t="s">
        <v>67</v>
      </c>
      <c r="G98" t="s">
        <v>361</v>
      </c>
      <c r="H98" t="s">
        <v>164</v>
      </c>
    </row>
    <row r="99" spans="1:8" hidden="1" x14ac:dyDescent="0.25">
      <c r="A99" s="317" t="s">
        <v>917</v>
      </c>
      <c r="B99" t="s">
        <v>281</v>
      </c>
      <c r="C99" t="s">
        <v>55</v>
      </c>
      <c r="D99" t="s">
        <v>346</v>
      </c>
      <c r="E99" t="s">
        <v>71</v>
      </c>
      <c r="F99" t="s">
        <v>71</v>
      </c>
      <c r="G99" t="s">
        <v>363</v>
      </c>
      <c r="H99" t="s">
        <v>162</v>
      </c>
    </row>
    <row r="100" spans="1:8" hidden="1" x14ac:dyDescent="0.25">
      <c r="A100" s="317" t="s">
        <v>917</v>
      </c>
      <c r="B100" t="s">
        <v>282</v>
      </c>
      <c r="C100" t="s">
        <v>56</v>
      </c>
      <c r="D100" t="s">
        <v>339</v>
      </c>
      <c r="E100" t="s">
        <v>66</v>
      </c>
      <c r="F100" t="s">
        <v>66</v>
      </c>
      <c r="G100" t="s">
        <v>362</v>
      </c>
      <c r="H100" t="s">
        <v>163</v>
      </c>
    </row>
    <row r="101" spans="1:8" hidden="1" x14ac:dyDescent="0.25">
      <c r="A101" s="317" t="s">
        <v>917</v>
      </c>
      <c r="B101" t="s">
        <v>283</v>
      </c>
      <c r="C101" t="s">
        <v>57</v>
      </c>
      <c r="D101" t="s">
        <v>345</v>
      </c>
      <c r="E101" t="s">
        <v>57</v>
      </c>
      <c r="F101" t="s">
        <v>57</v>
      </c>
      <c r="G101" t="s">
        <v>362</v>
      </c>
      <c r="H101" t="s">
        <v>163</v>
      </c>
    </row>
    <row r="102" spans="1:8" hidden="1" x14ac:dyDescent="0.25">
      <c r="A102" s="317" t="s">
        <v>917</v>
      </c>
      <c r="B102" t="s">
        <v>284</v>
      </c>
      <c r="C102" t="s">
        <v>58</v>
      </c>
      <c r="D102" t="s">
        <v>1037</v>
      </c>
      <c r="E102" t="s">
        <v>762</v>
      </c>
      <c r="F102" t="s">
        <v>762</v>
      </c>
      <c r="G102" t="s">
        <v>361</v>
      </c>
      <c r="H102" t="s">
        <v>164</v>
      </c>
    </row>
    <row r="103" spans="1:8" hidden="1" x14ac:dyDescent="0.25">
      <c r="A103" s="317" t="s">
        <v>917</v>
      </c>
      <c r="B103" t="s">
        <v>290</v>
      </c>
      <c r="C103" t="s">
        <v>59</v>
      </c>
      <c r="D103" t="s">
        <v>337</v>
      </c>
      <c r="E103" t="s">
        <v>64</v>
      </c>
      <c r="F103" t="s">
        <v>64</v>
      </c>
      <c r="G103" t="s">
        <v>362</v>
      </c>
      <c r="H103" t="s">
        <v>163</v>
      </c>
    </row>
    <row r="104" spans="1:8" hidden="1" x14ac:dyDescent="0.25">
      <c r="A104" s="534" t="s">
        <v>917</v>
      </c>
      <c r="B104" s="305" t="s">
        <v>291</v>
      </c>
      <c r="C104" s="305" t="s">
        <v>60</v>
      </c>
      <c r="D104" s="305" t="s">
        <v>343</v>
      </c>
      <c r="E104" s="305" t="s">
        <v>69</v>
      </c>
      <c r="F104" s="305" t="s">
        <v>69</v>
      </c>
      <c r="G104" s="305" t="s">
        <v>361</v>
      </c>
      <c r="H104" s="305" t="s">
        <v>164</v>
      </c>
    </row>
    <row r="105" spans="1:8" hidden="1" x14ac:dyDescent="0.25">
      <c r="A105" s="317" t="s">
        <v>1010</v>
      </c>
      <c r="B105" t="s">
        <v>285</v>
      </c>
      <c r="C105" t="s">
        <v>31</v>
      </c>
      <c r="D105" t="s">
        <v>1039</v>
      </c>
      <c r="E105" t="s">
        <v>1038</v>
      </c>
      <c r="F105" t="s">
        <v>1038</v>
      </c>
      <c r="G105" t="s">
        <v>363</v>
      </c>
      <c r="H105" t="s">
        <v>162</v>
      </c>
    </row>
    <row r="106" spans="1:8" hidden="1" x14ac:dyDescent="0.25">
      <c r="A106" s="317" t="s">
        <v>1010</v>
      </c>
      <c r="B106" t="s">
        <v>286</v>
      </c>
      <c r="C106" t="s">
        <v>32</v>
      </c>
      <c r="D106" t="s">
        <v>1039</v>
      </c>
      <c r="E106" t="s">
        <v>1038</v>
      </c>
      <c r="F106" t="s">
        <v>1038</v>
      </c>
      <c r="G106" t="s">
        <v>363</v>
      </c>
      <c r="H106" t="s">
        <v>162</v>
      </c>
    </row>
    <row r="107" spans="1:8" hidden="1" x14ac:dyDescent="0.25">
      <c r="A107" s="317" t="s">
        <v>1010</v>
      </c>
      <c r="B107" t="s">
        <v>292</v>
      </c>
      <c r="C107" t="s">
        <v>33</v>
      </c>
      <c r="D107" t="s">
        <v>336</v>
      </c>
      <c r="E107" t="s">
        <v>65</v>
      </c>
      <c r="F107" t="s">
        <v>65</v>
      </c>
      <c r="G107" t="s">
        <v>363</v>
      </c>
      <c r="H107" t="s">
        <v>162</v>
      </c>
    </row>
    <row r="108" spans="1:8" hidden="1" x14ac:dyDescent="0.25">
      <c r="A108" s="317" t="s">
        <v>1010</v>
      </c>
      <c r="B108" t="s">
        <v>287</v>
      </c>
      <c r="C108" t="s">
        <v>34</v>
      </c>
      <c r="D108" t="s">
        <v>337</v>
      </c>
      <c r="E108" t="s">
        <v>64</v>
      </c>
      <c r="F108" t="s">
        <v>64</v>
      </c>
      <c r="G108" t="s">
        <v>362</v>
      </c>
      <c r="H108" t="s">
        <v>163</v>
      </c>
    </row>
    <row r="109" spans="1:8" hidden="1" x14ac:dyDescent="0.25">
      <c r="A109" s="317" t="s">
        <v>1010</v>
      </c>
      <c r="B109" t="s">
        <v>288</v>
      </c>
      <c r="C109" t="s">
        <v>243</v>
      </c>
      <c r="D109" t="s">
        <v>342</v>
      </c>
      <c r="E109" t="s">
        <v>165</v>
      </c>
      <c r="F109" t="s">
        <v>165</v>
      </c>
      <c r="G109" t="s">
        <v>361</v>
      </c>
      <c r="H109" t="s">
        <v>164</v>
      </c>
    </row>
    <row r="110" spans="1:8" hidden="1" x14ac:dyDescent="0.25">
      <c r="A110" s="317" t="s">
        <v>1010</v>
      </c>
      <c r="B110" t="s">
        <v>266</v>
      </c>
      <c r="C110" t="s">
        <v>35</v>
      </c>
      <c r="D110" t="s">
        <v>1037</v>
      </c>
      <c r="E110" t="s">
        <v>762</v>
      </c>
      <c r="F110" t="s">
        <v>762</v>
      </c>
      <c r="G110" t="s">
        <v>361</v>
      </c>
      <c r="H110" t="s">
        <v>164</v>
      </c>
    </row>
    <row r="111" spans="1:8" hidden="1" x14ac:dyDescent="0.25">
      <c r="A111" s="317" t="s">
        <v>1010</v>
      </c>
      <c r="B111" t="s">
        <v>267</v>
      </c>
      <c r="C111" t="s">
        <v>36</v>
      </c>
      <c r="D111" t="s">
        <v>338</v>
      </c>
      <c r="E111" t="s">
        <v>36</v>
      </c>
      <c r="F111" t="s">
        <v>36</v>
      </c>
      <c r="G111" t="s">
        <v>362</v>
      </c>
      <c r="H111" t="s">
        <v>163</v>
      </c>
    </row>
    <row r="112" spans="1:8" hidden="1" x14ac:dyDescent="0.25">
      <c r="A112" s="317" t="s">
        <v>1010</v>
      </c>
      <c r="B112" t="s">
        <v>293</v>
      </c>
      <c r="C112" t="s">
        <v>37</v>
      </c>
      <c r="D112" t="s">
        <v>336</v>
      </c>
      <c r="E112" t="s">
        <v>65</v>
      </c>
      <c r="F112" t="s">
        <v>65</v>
      </c>
      <c r="G112" t="s">
        <v>363</v>
      </c>
      <c r="H112" t="s">
        <v>162</v>
      </c>
    </row>
    <row r="113" spans="1:8" hidden="1" x14ac:dyDescent="0.25">
      <c r="A113" s="317" t="s">
        <v>1010</v>
      </c>
      <c r="B113" t="s">
        <v>268</v>
      </c>
      <c r="C113" t="s">
        <v>38</v>
      </c>
      <c r="D113" t="s">
        <v>339</v>
      </c>
      <c r="E113" t="s">
        <v>66</v>
      </c>
      <c r="F113" t="s">
        <v>66</v>
      </c>
      <c r="G113" t="s">
        <v>362</v>
      </c>
      <c r="H113" t="s">
        <v>163</v>
      </c>
    </row>
    <row r="114" spans="1:8" hidden="1" x14ac:dyDescent="0.25">
      <c r="A114" s="317" t="s">
        <v>1010</v>
      </c>
      <c r="B114" t="s">
        <v>295</v>
      </c>
      <c r="C114" t="s">
        <v>39</v>
      </c>
      <c r="D114" t="s">
        <v>337</v>
      </c>
      <c r="E114" t="s">
        <v>64</v>
      </c>
      <c r="F114" t="s">
        <v>64</v>
      </c>
      <c r="G114" t="s">
        <v>362</v>
      </c>
      <c r="H114" t="s">
        <v>163</v>
      </c>
    </row>
    <row r="115" spans="1:8" hidden="1" x14ac:dyDescent="0.25">
      <c r="A115" s="317" t="s">
        <v>1010</v>
      </c>
      <c r="B115" t="s">
        <v>269</v>
      </c>
      <c r="C115" t="s">
        <v>40</v>
      </c>
      <c r="D115" t="s">
        <v>340</v>
      </c>
      <c r="E115" t="s">
        <v>67</v>
      </c>
      <c r="F115" t="s">
        <v>67</v>
      </c>
      <c r="G115" t="s">
        <v>361</v>
      </c>
      <c r="H115" t="s">
        <v>164</v>
      </c>
    </row>
    <row r="116" spans="1:8" hidden="1" x14ac:dyDescent="0.25">
      <c r="A116" s="317" t="s">
        <v>1010</v>
      </c>
      <c r="B116" t="s">
        <v>270</v>
      </c>
      <c r="C116" t="s">
        <v>41</v>
      </c>
      <c r="D116" t="s">
        <v>341</v>
      </c>
      <c r="E116" t="s">
        <v>68</v>
      </c>
      <c r="F116" t="s">
        <v>68</v>
      </c>
      <c r="G116" t="s">
        <v>362</v>
      </c>
      <c r="H116" t="s">
        <v>163</v>
      </c>
    </row>
    <row r="117" spans="1:8" hidden="1" x14ac:dyDescent="0.25">
      <c r="A117" s="317" t="s">
        <v>1010</v>
      </c>
      <c r="B117" t="s">
        <v>272</v>
      </c>
      <c r="C117" t="s">
        <v>42</v>
      </c>
      <c r="D117" t="s">
        <v>343</v>
      </c>
      <c r="E117" t="s">
        <v>69</v>
      </c>
      <c r="F117" t="s">
        <v>69</v>
      </c>
      <c r="G117" t="s">
        <v>361</v>
      </c>
      <c r="H117" t="s">
        <v>164</v>
      </c>
    </row>
    <row r="118" spans="1:8" hidden="1" x14ac:dyDescent="0.25">
      <c r="A118" s="317" t="s">
        <v>1010</v>
      </c>
      <c r="B118" t="s">
        <v>297</v>
      </c>
      <c r="C118" t="s">
        <v>43</v>
      </c>
      <c r="D118" t="s">
        <v>1037</v>
      </c>
      <c r="E118" t="s">
        <v>762</v>
      </c>
      <c r="F118" t="s">
        <v>762</v>
      </c>
      <c r="G118" t="s">
        <v>361</v>
      </c>
      <c r="H118" t="s">
        <v>164</v>
      </c>
    </row>
    <row r="119" spans="1:8" hidden="1" x14ac:dyDescent="0.25">
      <c r="A119" s="317" t="s">
        <v>1010</v>
      </c>
      <c r="B119" t="s">
        <v>921</v>
      </c>
      <c r="C119" t="s">
        <v>117</v>
      </c>
      <c r="D119" t="s">
        <v>1035</v>
      </c>
      <c r="E119" t="s">
        <v>117</v>
      </c>
      <c r="F119" t="s">
        <v>117</v>
      </c>
      <c r="G119" t="s">
        <v>362</v>
      </c>
      <c r="H119" t="s">
        <v>163</v>
      </c>
    </row>
    <row r="120" spans="1:8" hidden="1" x14ac:dyDescent="0.25">
      <c r="A120" s="317" t="s">
        <v>1010</v>
      </c>
      <c r="B120" t="s">
        <v>273</v>
      </c>
      <c r="C120" t="s">
        <v>44</v>
      </c>
      <c r="D120" t="s">
        <v>344</v>
      </c>
      <c r="E120" t="s">
        <v>70</v>
      </c>
      <c r="F120" t="s">
        <v>70</v>
      </c>
      <c r="G120" t="s">
        <v>363</v>
      </c>
      <c r="H120" t="s">
        <v>162</v>
      </c>
    </row>
    <row r="121" spans="1:8" hidden="1" x14ac:dyDescent="0.25">
      <c r="A121" s="317" t="s">
        <v>1010</v>
      </c>
      <c r="B121" t="s">
        <v>274</v>
      </c>
      <c r="C121" t="s">
        <v>45</v>
      </c>
      <c r="D121" t="s">
        <v>341</v>
      </c>
      <c r="E121" t="s">
        <v>68</v>
      </c>
      <c r="F121" t="s">
        <v>68</v>
      </c>
      <c r="G121" t="s">
        <v>362</v>
      </c>
      <c r="H121" t="s">
        <v>163</v>
      </c>
    </row>
    <row r="122" spans="1:8" hidden="1" x14ac:dyDescent="0.25">
      <c r="A122" s="317" t="s">
        <v>1010</v>
      </c>
      <c r="B122" t="s">
        <v>275</v>
      </c>
      <c r="C122" t="s">
        <v>46</v>
      </c>
      <c r="D122" t="s">
        <v>340</v>
      </c>
      <c r="E122" t="s">
        <v>67</v>
      </c>
      <c r="F122" t="s">
        <v>67</v>
      </c>
      <c r="G122" t="s">
        <v>361</v>
      </c>
      <c r="H122" t="s">
        <v>164</v>
      </c>
    </row>
    <row r="123" spans="1:8" hidden="1" x14ac:dyDescent="0.25">
      <c r="A123" s="317" t="s">
        <v>1010</v>
      </c>
      <c r="B123" t="s">
        <v>276</v>
      </c>
      <c r="C123" t="s">
        <v>47</v>
      </c>
      <c r="D123" t="s">
        <v>1039</v>
      </c>
      <c r="E123" t="s">
        <v>1038</v>
      </c>
      <c r="F123" t="s">
        <v>1038</v>
      </c>
      <c r="G123" t="s">
        <v>363</v>
      </c>
      <c r="H123" t="s">
        <v>162</v>
      </c>
    </row>
    <row r="124" spans="1:8" hidden="1" x14ac:dyDescent="0.25">
      <c r="A124" s="317" t="s">
        <v>1010</v>
      </c>
      <c r="B124" t="s">
        <v>271</v>
      </c>
      <c r="C124" t="s">
        <v>48</v>
      </c>
      <c r="D124" t="s">
        <v>346</v>
      </c>
      <c r="E124" t="s">
        <v>71</v>
      </c>
      <c r="F124" t="s">
        <v>71</v>
      </c>
      <c r="G124" t="s">
        <v>363</v>
      </c>
      <c r="H124" t="s">
        <v>162</v>
      </c>
    </row>
    <row r="125" spans="1:8" hidden="1" x14ac:dyDescent="0.25">
      <c r="A125" s="317" t="s">
        <v>1010</v>
      </c>
      <c r="B125" t="s">
        <v>277</v>
      </c>
      <c r="C125" t="s">
        <v>49</v>
      </c>
      <c r="D125" t="s">
        <v>339</v>
      </c>
      <c r="E125" t="s">
        <v>66</v>
      </c>
      <c r="F125" t="s">
        <v>66</v>
      </c>
      <c r="G125" t="s">
        <v>362</v>
      </c>
      <c r="H125" t="s">
        <v>163</v>
      </c>
    </row>
    <row r="126" spans="1:8" hidden="1" x14ac:dyDescent="0.25">
      <c r="A126" s="317" t="s">
        <v>1010</v>
      </c>
      <c r="B126" t="s">
        <v>922</v>
      </c>
      <c r="C126" t="s">
        <v>50</v>
      </c>
      <c r="D126" t="s">
        <v>1041</v>
      </c>
      <c r="E126" t="s">
        <v>1040</v>
      </c>
      <c r="F126" t="s">
        <v>1040</v>
      </c>
      <c r="G126" t="s">
        <v>362</v>
      </c>
      <c r="H126" t="s">
        <v>163</v>
      </c>
    </row>
    <row r="127" spans="1:8" hidden="1" x14ac:dyDescent="0.25">
      <c r="A127" s="317" t="s">
        <v>1010</v>
      </c>
      <c r="B127" t="s">
        <v>278</v>
      </c>
      <c r="C127" t="s">
        <v>51</v>
      </c>
      <c r="D127" t="s">
        <v>346</v>
      </c>
      <c r="E127" t="s">
        <v>71</v>
      </c>
      <c r="F127" t="s">
        <v>71</v>
      </c>
      <c r="G127" t="s">
        <v>363</v>
      </c>
      <c r="H127" t="s">
        <v>162</v>
      </c>
    </row>
    <row r="128" spans="1:8" hidden="1" x14ac:dyDescent="0.25">
      <c r="A128" s="317" t="s">
        <v>1010</v>
      </c>
      <c r="B128" t="s">
        <v>279</v>
      </c>
      <c r="C128" t="s">
        <v>52</v>
      </c>
      <c r="D128" t="s">
        <v>336</v>
      </c>
      <c r="E128" t="s">
        <v>65</v>
      </c>
      <c r="F128" t="s">
        <v>65</v>
      </c>
      <c r="G128" t="s">
        <v>363</v>
      </c>
      <c r="H128" t="s">
        <v>162</v>
      </c>
    </row>
    <row r="129" spans="1:8" hidden="1" x14ac:dyDescent="0.25">
      <c r="A129" s="317" t="s">
        <v>1010</v>
      </c>
      <c r="B129" t="s">
        <v>289</v>
      </c>
      <c r="C129" t="s">
        <v>53</v>
      </c>
      <c r="D129" t="s">
        <v>341</v>
      </c>
      <c r="E129" t="s">
        <v>68</v>
      </c>
      <c r="F129" t="s">
        <v>68</v>
      </c>
      <c r="G129" t="s">
        <v>362</v>
      </c>
      <c r="H129" t="s">
        <v>163</v>
      </c>
    </row>
    <row r="130" spans="1:8" hidden="1" x14ac:dyDescent="0.25">
      <c r="A130" s="317" t="s">
        <v>1010</v>
      </c>
      <c r="B130" t="s">
        <v>280</v>
      </c>
      <c r="C130" t="s">
        <v>54</v>
      </c>
      <c r="D130" t="s">
        <v>340</v>
      </c>
      <c r="E130" t="s">
        <v>67</v>
      </c>
      <c r="F130" t="s">
        <v>67</v>
      </c>
      <c r="G130" t="s">
        <v>361</v>
      </c>
      <c r="H130" t="s">
        <v>164</v>
      </c>
    </row>
    <row r="131" spans="1:8" hidden="1" x14ac:dyDescent="0.25">
      <c r="A131" s="317" t="s">
        <v>1010</v>
      </c>
      <c r="B131" t="s">
        <v>281</v>
      </c>
      <c r="C131" t="s">
        <v>55</v>
      </c>
      <c r="D131" t="s">
        <v>346</v>
      </c>
      <c r="E131" t="s">
        <v>71</v>
      </c>
      <c r="F131" t="s">
        <v>71</v>
      </c>
      <c r="G131" t="s">
        <v>363</v>
      </c>
      <c r="H131" t="s">
        <v>162</v>
      </c>
    </row>
    <row r="132" spans="1:8" hidden="1" x14ac:dyDescent="0.25">
      <c r="A132" s="317" t="s">
        <v>1010</v>
      </c>
      <c r="B132" t="s">
        <v>282</v>
      </c>
      <c r="C132" t="s">
        <v>56</v>
      </c>
      <c r="D132" t="s">
        <v>339</v>
      </c>
      <c r="E132" t="s">
        <v>66</v>
      </c>
      <c r="F132" t="s">
        <v>66</v>
      </c>
      <c r="G132" t="s">
        <v>362</v>
      </c>
      <c r="H132" t="s">
        <v>163</v>
      </c>
    </row>
    <row r="133" spans="1:8" hidden="1" x14ac:dyDescent="0.25">
      <c r="A133" s="317" t="s">
        <v>1010</v>
      </c>
      <c r="B133" t="s">
        <v>283</v>
      </c>
      <c r="C133" t="s">
        <v>57</v>
      </c>
      <c r="D133" t="s">
        <v>1041</v>
      </c>
      <c r="E133" t="s">
        <v>1040</v>
      </c>
      <c r="F133" t="s">
        <v>1040</v>
      </c>
      <c r="G133" t="s">
        <v>362</v>
      </c>
      <c r="H133" t="s">
        <v>163</v>
      </c>
    </row>
    <row r="134" spans="1:8" hidden="1" x14ac:dyDescent="0.25">
      <c r="A134" s="317" t="s">
        <v>1010</v>
      </c>
      <c r="B134" t="s">
        <v>284</v>
      </c>
      <c r="C134" t="s">
        <v>58</v>
      </c>
      <c r="D134" t="s">
        <v>1037</v>
      </c>
      <c r="E134" t="s">
        <v>762</v>
      </c>
      <c r="F134" t="s">
        <v>762</v>
      </c>
      <c r="G134" t="s">
        <v>361</v>
      </c>
      <c r="H134" t="s">
        <v>164</v>
      </c>
    </row>
    <row r="135" spans="1:8" hidden="1" x14ac:dyDescent="0.25">
      <c r="A135" s="317" t="s">
        <v>1010</v>
      </c>
      <c r="B135" t="s">
        <v>290</v>
      </c>
      <c r="C135" t="s">
        <v>59</v>
      </c>
      <c r="D135" t="s">
        <v>337</v>
      </c>
      <c r="E135" t="s">
        <v>64</v>
      </c>
      <c r="F135" t="s">
        <v>64</v>
      </c>
      <c r="G135" t="s">
        <v>362</v>
      </c>
      <c r="H135" t="s">
        <v>163</v>
      </c>
    </row>
    <row r="136" spans="1:8" hidden="1" x14ac:dyDescent="0.25">
      <c r="A136" s="534" t="s">
        <v>1010</v>
      </c>
      <c r="B136" s="305" t="s">
        <v>291</v>
      </c>
      <c r="C136" s="305" t="s">
        <v>60</v>
      </c>
      <c r="D136" s="305" t="s">
        <v>343</v>
      </c>
      <c r="E136" s="305" t="s">
        <v>69</v>
      </c>
      <c r="F136" s="305" t="s">
        <v>69</v>
      </c>
      <c r="G136" s="305" t="s">
        <v>361</v>
      </c>
      <c r="H136" s="305" t="s">
        <v>164</v>
      </c>
    </row>
    <row r="137" spans="1:8" hidden="1" x14ac:dyDescent="0.25">
      <c r="A137" s="317" t="s">
        <v>1061</v>
      </c>
      <c r="B137" t="s">
        <v>285</v>
      </c>
      <c r="C137" t="s">
        <v>31</v>
      </c>
      <c r="D137" t="s">
        <v>1039</v>
      </c>
      <c r="E137" t="s">
        <v>1038</v>
      </c>
      <c r="F137" t="s">
        <v>1038</v>
      </c>
      <c r="G137" t="s">
        <v>363</v>
      </c>
      <c r="H137" t="s">
        <v>162</v>
      </c>
    </row>
    <row r="138" spans="1:8" hidden="1" x14ac:dyDescent="0.25">
      <c r="A138" s="317" t="s">
        <v>1061</v>
      </c>
      <c r="B138" t="s">
        <v>286</v>
      </c>
      <c r="C138" t="s">
        <v>32</v>
      </c>
      <c r="D138" t="s">
        <v>1039</v>
      </c>
      <c r="E138" t="s">
        <v>1038</v>
      </c>
      <c r="F138" t="s">
        <v>1038</v>
      </c>
      <c r="G138" t="s">
        <v>363</v>
      </c>
      <c r="H138" t="s">
        <v>162</v>
      </c>
    </row>
    <row r="139" spans="1:8" hidden="1" x14ac:dyDescent="0.25">
      <c r="A139" s="317" t="s">
        <v>1061</v>
      </c>
      <c r="B139" t="s">
        <v>292</v>
      </c>
      <c r="C139" t="s">
        <v>33</v>
      </c>
      <c r="D139" t="s">
        <v>336</v>
      </c>
      <c r="E139" t="s">
        <v>65</v>
      </c>
      <c r="F139" t="s">
        <v>65</v>
      </c>
      <c r="G139" t="s">
        <v>363</v>
      </c>
      <c r="H139" t="s">
        <v>162</v>
      </c>
    </row>
    <row r="140" spans="1:8" hidden="1" x14ac:dyDescent="0.25">
      <c r="A140" s="317" t="s">
        <v>1061</v>
      </c>
      <c r="B140" t="s">
        <v>287</v>
      </c>
      <c r="C140" t="s">
        <v>34</v>
      </c>
      <c r="D140" t="s">
        <v>337</v>
      </c>
      <c r="E140" t="s">
        <v>64</v>
      </c>
      <c r="F140" t="s">
        <v>64</v>
      </c>
      <c r="G140" t="s">
        <v>362</v>
      </c>
      <c r="H140" t="s">
        <v>163</v>
      </c>
    </row>
    <row r="141" spans="1:8" hidden="1" x14ac:dyDescent="0.25">
      <c r="A141" s="317" t="s">
        <v>1061</v>
      </c>
      <c r="B141" t="s">
        <v>288</v>
      </c>
      <c r="C141" t="s">
        <v>243</v>
      </c>
      <c r="D141" t="s">
        <v>342</v>
      </c>
      <c r="E141" t="s">
        <v>165</v>
      </c>
      <c r="F141" t="s">
        <v>165</v>
      </c>
      <c r="G141" t="s">
        <v>361</v>
      </c>
      <c r="H141" t="s">
        <v>164</v>
      </c>
    </row>
    <row r="142" spans="1:8" hidden="1" x14ac:dyDescent="0.25">
      <c r="A142" s="317" t="s">
        <v>1061</v>
      </c>
      <c r="B142" t="s">
        <v>266</v>
      </c>
      <c r="C142" t="s">
        <v>35</v>
      </c>
      <c r="D142" t="s">
        <v>1037</v>
      </c>
      <c r="E142" t="s">
        <v>762</v>
      </c>
      <c r="F142" t="s">
        <v>762</v>
      </c>
      <c r="G142" t="s">
        <v>361</v>
      </c>
      <c r="H142" t="s">
        <v>164</v>
      </c>
    </row>
    <row r="143" spans="1:8" hidden="1" x14ac:dyDescent="0.25">
      <c r="A143" s="317" t="s">
        <v>1061</v>
      </c>
      <c r="B143" t="s">
        <v>267</v>
      </c>
      <c r="C143" t="s">
        <v>36</v>
      </c>
      <c r="D143" t="s">
        <v>338</v>
      </c>
      <c r="E143" t="s">
        <v>36</v>
      </c>
      <c r="F143" t="s">
        <v>36</v>
      </c>
      <c r="G143" t="s">
        <v>362</v>
      </c>
      <c r="H143" t="s">
        <v>163</v>
      </c>
    </row>
    <row r="144" spans="1:8" hidden="1" x14ac:dyDescent="0.25">
      <c r="A144" s="317" t="s">
        <v>1061</v>
      </c>
      <c r="B144" t="s">
        <v>293</v>
      </c>
      <c r="C144" t="s">
        <v>37</v>
      </c>
      <c r="D144" t="s">
        <v>336</v>
      </c>
      <c r="E144" t="s">
        <v>65</v>
      </c>
      <c r="F144" t="s">
        <v>65</v>
      </c>
      <c r="G144" t="s">
        <v>363</v>
      </c>
      <c r="H144" t="s">
        <v>162</v>
      </c>
    </row>
    <row r="145" spans="1:8" hidden="1" x14ac:dyDescent="0.25">
      <c r="A145" s="317" t="s">
        <v>1061</v>
      </c>
      <c r="B145" t="s">
        <v>268</v>
      </c>
      <c r="C145" t="s">
        <v>38</v>
      </c>
      <c r="D145" t="s">
        <v>339</v>
      </c>
      <c r="E145" t="s">
        <v>66</v>
      </c>
      <c r="F145" t="s">
        <v>66</v>
      </c>
      <c r="G145" t="s">
        <v>362</v>
      </c>
      <c r="H145" t="s">
        <v>163</v>
      </c>
    </row>
    <row r="146" spans="1:8" hidden="1" x14ac:dyDescent="0.25">
      <c r="A146" s="317" t="s">
        <v>1061</v>
      </c>
      <c r="B146" t="s">
        <v>295</v>
      </c>
      <c r="C146" t="s">
        <v>39</v>
      </c>
      <c r="D146" t="s">
        <v>337</v>
      </c>
      <c r="E146" t="s">
        <v>64</v>
      </c>
      <c r="F146" t="s">
        <v>64</v>
      </c>
      <c r="G146" t="s">
        <v>362</v>
      </c>
      <c r="H146" t="s">
        <v>163</v>
      </c>
    </row>
    <row r="147" spans="1:8" hidden="1" x14ac:dyDescent="0.25">
      <c r="A147" s="317" t="s">
        <v>1061</v>
      </c>
      <c r="B147" t="s">
        <v>269</v>
      </c>
      <c r="C147" t="s">
        <v>40</v>
      </c>
      <c r="D147" t="s">
        <v>340</v>
      </c>
      <c r="E147" t="s">
        <v>67</v>
      </c>
      <c r="F147" t="s">
        <v>67</v>
      </c>
      <c r="G147" t="s">
        <v>361</v>
      </c>
      <c r="H147" t="s">
        <v>164</v>
      </c>
    </row>
    <row r="148" spans="1:8" hidden="1" x14ac:dyDescent="0.25">
      <c r="A148" s="317" t="s">
        <v>1061</v>
      </c>
      <c r="B148" t="s">
        <v>270</v>
      </c>
      <c r="C148" t="s">
        <v>41</v>
      </c>
      <c r="D148" t="s">
        <v>341</v>
      </c>
      <c r="E148" t="s">
        <v>68</v>
      </c>
      <c r="F148" t="s">
        <v>68</v>
      </c>
      <c r="G148" t="s">
        <v>362</v>
      </c>
      <c r="H148" t="s">
        <v>163</v>
      </c>
    </row>
    <row r="149" spans="1:8" hidden="1" x14ac:dyDescent="0.25">
      <c r="A149" s="317" t="s">
        <v>1061</v>
      </c>
      <c r="B149" t="s">
        <v>272</v>
      </c>
      <c r="C149" t="s">
        <v>42</v>
      </c>
      <c r="D149" t="s">
        <v>343</v>
      </c>
      <c r="E149" t="s">
        <v>69</v>
      </c>
      <c r="F149" t="s">
        <v>69</v>
      </c>
      <c r="G149" t="s">
        <v>361</v>
      </c>
      <c r="H149" t="s">
        <v>164</v>
      </c>
    </row>
    <row r="150" spans="1:8" hidden="1" x14ac:dyDescent="0.25">
      <c r="A150" s="317" t="s">
        <v>1061</v>
      </c>
      <c r="B150" t="s">
        <v>297</v>
      </c>
      <c r="C150" t="s">
        <v>43</v>
      </c>
      <c r="D150" t="s">
        <v>1037</v>
      </c>
      <c r="E150" t="s">
        <v>762</v>
      </c>
      <c r="F150" t="s">
        <v>762</v>
      </c>
      <c r="G150" t="s">
        <v>361</v>
      </c>
      <c r="H150" t="s">
        <v>164</v>
      </c>
    </row>
    <row r="151" spans="1:8" hidden="1" x14ac:dyDescent="0.25">
      <c r="A151" s="317" t="s">
        <v>1061</v>
      </c>
      <c r="B151" t="s">
        <v>921</v>
      </c>
      <c r="C151" t="s">
        <v>117</v>
      </c>
      <c r="D151" t="s">
        <v>1035</v>
      </c>
      <c r="E151" t="s">
        <v>117</v>
      </c>
      <c r="F151" t="s">
        <v>117</v>
      </c>
      <c r="G151" t="s">
        <v>362</v>
      </c>
      <c r="H151" t="s">
        <v>163</v>
      </c>
    </row>
    <row r="152" spans="1:8" hidden="1" x14ac:dyDescent="0.25">
      <c r="A152" s="317" t="s">
        <v>1061</v>
      </c>
      <c r="B152" t="s">
        <v>273</v>
      </c>
      <c r="C152" t="s">
        <v>44</v>
      </c>
      <c r="D152" t="s">
        <v>344</v>
      </c>
      <c r="E152" t="s">
        <v>70</v>
      </c>
      <c r="F152" t="s">
        <v>70</v>
      </c>
      <c r="G152" t="s">
        <v>363</v>
      </c>
      <c r="H152" t="s">
        <v>162</v>
      </c>
    </row>
    <row r="153" spans="1:8" hidden="1" x14ac:dyDescent="0.25">
      <c r="A153" s="317" t="s">
        <v>1061</v>
      </c>
      <c r="B153" t="s">
        <v>274</v>
      </c>
      <c r="C153" t="s">
        <v>45</v>
      </c>
      <c r="D153" t="s">
        <v>341</v>
      </c>
      <c r="E153" t="s">
        <v>68</v>
      </c>
      <c r="F153" t="s">
        <v>68</v>
      </c>
      <c r="G153" t="s">
        <v>362</v>
      </c>
      <c r="H153" t="s">
        <v>163</v>
      </c>
    </row>
    <row r="154" spans="1:8" hidden="1" x14ac:dyDescent="0.25">
      <c r="A154" s="317" t="s">
        <v>1061</v>
      </c>
      <c r="B154" t="s">
        <v>275</v>
      </c>
      <c r="C154" t="s">
        <v>46</v>
      </c>
      <c r="D154" t="s">
        <v>340</v>
      </c>
      <c r="E154" t="s">
        <v>67</v>
      </c>
      <c r="F154" t="s">
        <v>67</v>
      </c>
      <c r="G154" t="s">
        <v>361</v>
      </c>
      <c r="H154" t="s">
        <v>164</v>
      </c>
    </row>
    <row r="155" spans="1:8" hidden="1" x14ac:dyDescent="0.25">
      <c r="A155" s="317" t="s">
        <v>1061</v>
      </c>
      <c r="B155" t="s">
        <v>276</v>
      </c>
      <c r="C155" t="s">
        <v>47</v>
      </c>
      <c r="D155" t="s">
        <v>1039</v>
      </c>
      <c r="E155" t="s">
        <v>1038</v>
      </c>
      <c r="F155" t="s">
        <v>1038</v>
      </c>
      <c r="G155" t="s">
        <v>363</v>
      </c>
      <c r="H155" t="s">
        <v>162</v>
      </c>
    </row>
    <row r="156" spans="1:8" hidden="1" x14ac:dyDescent="0.25">
      <c r="A156" s="317" t="s">
        <v>1061</v>
      </c>
      <c r="B156" t="s">
        <v>271</v>
      </c>
      <c r="C156" t="s">
        <v>48</v>
      </c>
      <c r="D156" t="s">
        <v>346</v>
      </c>
      <c r="E156" t="s">
        <v>71</v>
      </c>
      <c r="F156" t="s">
        <v>71</v>
      </c>
      <c r="G156" t="s">
        <v>363</v>
      </c>
      <c r="H156" t="s">
        <v>162</v>
      </c>
    </row>
    <row r="157" spans="1:8" hidden="1" x14ac:dyDescent="0.25">
      <c r="A157" s="317" t="s">
        <v>1061</v>
      </c>
      <c r="B157" t="s">
        <v>277</v>
      </c>
      <c r="C157" t="s">
        <v>49</v>
      </c>
      <c r="D157" t="s">
        <v>339</v>
      </c>
      <c r="E157" t="s">
        <v>66</v>
      </c>
      <c r="F157" t="s">
        <v>66</v>
      </c>
      <c r="G157" t="s">
        <v>362</v>
      </c>
      <c r="H157" t="s">
        <v>163</v>
      </c>
    </row>
    <row r="158" spans="1:8" hidden="1" x14ac:dyDescent="0.25">
      <c r="A158" s="317" t="s">
        <v>1061</v>
      </c>
      <c r="B158" t="s">
        <v>922</v>
      </c>
      <c r="C158" t="s">
        <v>50</v>
      </c>
      <c r="D158" t="s">
        <v>1041</v>
      </c>
      <c r="E158" t="s">
        <v>1040</v>
      </c>
      <c r="F158" t="s">
        <v>1040</v>
      </c>
      <c r="G158" t="s">
        <v>362</v>
      </c>
      <c r="H158" t="s">
        <v>163</v>
      </c>
    </row>
    <row r="159" spans="1:8" hidden="1" x14ac:dyDescent="0.25">
      <c r="A159" s="317" t="s">
        <v>1061</v>
      </c>
      <c r="B159" t="s">
        <v>278</v>
      </c>
      <c r="C159" t="s">
        <v>51</v>
      </c>
      <c r="D159" t="s">
        <v>346</v>
      </c>
      <c r="E159" t="s">
        <v>71</v>
      </c>
      <c r="F159" t="s">
        <v>71</v>
      </c>
      <c r="G159" t="s">
        <v>363</v>
      </c>
      <c r="H159" t="s">
        <v>162</v>
      </c>
    </row>
    <row r="160" spans="1:8" hidden="1" x14ac:dyDescent="0.25">
      <c r="A160" s="317" t="s">
        <v>1061</v>
      </c>
      <c r="B160" t="s">
        <v>279</v>
      </c>
      <c r="C160" t="s">
        <v>52</v>
      </c>
      <c r="D160" t="s">
        <v>336</v>
      </c>
      <c r="E160" t="s">
        <v>65</v>
      </c>
      <c r="F160" t="s">
        <v>65</v>
      </c>
      <c r="G160" t="s">
        <v>363</v>
      </c>
      <c r="H160" t="s">
        <v>162</v>
      </c>
    </row>
    <row r="161" spans="1:8" hidden="1" x14ac:dyDescent="0.25">
      <c r="A161" s="317" t="s">
        <v>1061</v>
      </c>
      <c r="B161" t="s">
        <v>289</v>
      </c>
      <c r="C161" t="s">
        <v>53</v>
      </c>
      <c r="D161" t="s">
        <v>341</v>
      </c>
      <c r="E161" t="s">
        <v>68</v>
      </c>
      <c r="F161" t="s">
        <v>68</v>
      </c>
      <c r="G161" t="s">
        <v>362</v>
      </c>
      <c r="H161" t="s">
        <v>163</v>
      </c>
    </row>
    <row r="162" spans="1:8" hidden="1" x14ac:dyDescent="0.25">
      <c r="A162" s="317" t="s">
        <v>1061</v>
      </c>
      <c r="B162" t="s">
        <v>280</v>
      </c>
      <c r="C162" t="s">
        <v>54</v>
      </c>
      <c r="D162" t="s">
        <v>340</v>
      </c>
      <c r="E162" t="s">
        <v>67</v>
      </c>
      <c r="F162" t="s">
        <v>67</v>
      </c>
      <c r="G162" t="s">
        <v>361</v>
      </c>
      <c r="H162" t="s">
        <v>164</v>
      </c>
    </row>
    <row r="163" spans="1:8" hidden="1" x14ac:dyDescent="0.25">
      <c r="A163" s="317" t="s">
        <v>1061</v>
      </c>
      <c r="B163" t="s">
        <v>281</v>
      </c>
      <c r="C163" t="s">
        <v>55</v>
      </c>
      <c r="D163" t="s">
        <v>346</v>
      </c>
      <c r="E163" t="s">
        <v>71</v>
      </c>
      <c r="F163" t="s">
        <v>71</v>
      </c>
      <c r="G163" t="s">
        <v>363</v>
      </c>
      <c r="H163" t="s">
        <v>162</v>
      </c>
    </row>
    <row r="164" spans="1:8" hidden="1" x14ac:dyDescent="0.25">
      <c r="A164" s="317" t="s">
        <v>1061</v>
      </c>
      <c r="B164" t="s">
        <v>282</v>
      </c>
      <c r="C164" t="s">
        <v>56</v>
      </c>
      <c r="D164" t="s">
        <v>339</v>
      </c>
      <c r="E164" t="s">
        <v>66</v>
      </c>
      <c r="F164" t="s">
        <v>66</v>
      </c>
      <c r="G164" t="s">
        <v>362</v>
      </c>
      <c r="H164" t="s">
        <v>163</v>
      </c>
    </row>
    <row r="165" spans="1:8" hidden="1" x14ac:dyDescent="0.25">
      <c r="A165" s="317" t="s">
        <v>1061</v>
      </c>
      <c r="B165" t="s">
        <v>283</v>
      </c>
      <c r="C165" t="s">
        <v>57</v>
      </c>
      <c r="D165" t="s">
        <v>1041</v>
      </c>
      <c r="E165" t="s">
        <v>1040</v>
      </c>
      <c r="F165" t="s">
        <v>1040</v>
      </c>
      <c r="G165" t="s">
        <v>362</v>
      </c>
      <c r="H165" t="s">
        <v>163</v>
      </c>
    </row>
    <row r="166" spans="1:8" hidden="1" x14ac:dyDescent="0.25">
      <c r="A166" s="317" t="s">
        <v>1061</v>
      </c>
      <c r="B166" t="s">
        <v>284</v>
      </c>
      <c r="C166" t="s">
        <v>58</v>
      </c>
      <c r="D166" t="s">
        <v>1037</v>
      </c>
      <c r="E166" t="s">
        <v>762</v>
      </c>
      <c r="F166" t="s">
        <v>762</v>
      </c>
      <c r="G166" t="s">
        <v>361</v>
      </c>
      <c r="H166" t="s">
        <v>164</v>
      </c>
    </row>
    <row r="167" spans="1:8" hidden="1" x14ac:dyDescent="0.25">
      <c r="A167" s="317" t="s">
        <v>1061</v>
      </c>
      <c r="B167" t="s">
        <v>290</v>
      </c>
      <c r="C167" t="s">
        <v>59</v>
      </c>
      <c r="D167" t="s">
        <v>337</v>
      </c>
      <c r="E167" t="s">
        <v>64</v>
      </c>
      <c r="F167" t="s">
        <v>64</v>
      </c>
      <c r="G167" t="s">
        <v>362</v>
      </c>
      <c r="H167" t="s">
        <v>163</v>
      </c>
    </row>
    <row r="168" spans="1:8" hidden="1" x14ac:dyDescent="0.25">
      <c r="A168" s="534" t="s">
        <v>1061</v>
      </c>
      <c r="B168" s="305" t="s">
        <v>291</v>
      </c>
      <c r="C168" s="305" t="s">
        <v>60</v>
      </c>
      <c r="D168" s="305" t="s">
        <v>343</v>
      </c>
      <c r="E168" s="305" t="s">
        <v>69</v>
      </c>
      <c r="F168" s="305" t="s">
        <v>69</v>
      </c>
      <c r="G168" s="305" t="s">
        <v>361</v>
      </c>
      <c r="H168" s="305" t="s">
        <v>164</v>
      </c>
    </row>
    <row r="169" spans="1:8" x14ac:dyDescent="0.25">
      <c r="A169" s="317" t="s">
        <v>1108</v>
      </c>
      <c r="B169" t="s">
        <v>285</v>
      </c>
      <c r="C169" t="s">
        <v>31</v>
      </c>
      <c r="D169" t="s">
        <v>1039</v>
      </c>
      <c r="E169" t="s">
        <v>1038</v>
      </c>
      <c r="F169" t="s">
        <v>1038</v>
      </c>
      <c r="G169" t="s">
        <v>363</v>
      </c>
      <c r="H169" t="s">
        <v>162</v>
      </c>
    </row>
    <row r="170" spans="1:8" x14ac:dyDescent="0.25">
      <c r="A170" s="317" t="s">
        <v>1108</v>
      </c>
      <c r="B170" t="s">
        <v>286</v>
      </c>
      <c r="C170" t="s">
        <v>32</v>
      </c>
      <c r="D170" t="s">
        <v>1039</v>
      </c>
      <c r="E170" t="s">
        <v>1038</v>
      </c>
      <c r="F170" t="s">
        <v>1038</v>
      </c>
      <c r="G170" t="s">
        <v>363</v>
      </c>
      <c r="H170" t="s">
        <v>162</v>
      </c>
    </row>
    <row r="171" spans="1:8" x14ac:dyDescent="0.25">
      <c r="A171" s="317" t="s">
        <v>1108</v>
      </c>
      <c r="B171" t="s">
        <v>292</v>
      </c>
      <c r="C171" t="s">
        <v>33</v>
      </c>
      <c r="D171" t="s">
        <v>336</v>
      </c>
      <c r="E171" t="s">
        <v>65</v>
      </c>
      <c r="F171" t="s">
        <v>65</v>
      </c>
      <c r="G171" t="s">
        <v>363</v>
      </c>
      <c r="H171" t="s">
        <v>162</v>
      </c>
    </row>
    <row r="172" spans="1:8" x14ac:dyDescent="0.25">
      <c r="A172" s="317" t="s">
        <v>1108</v>
      </c>
      <c r="B172" t="s">
        <v>287</v>
      </c>
      <c r="C172" t="s">
        <v>34</v>
      </c>
      <c r="D172" t="s">
        <v>337</v>
      </c>
      <c r="E172" t="s">
        <v>64</v>
      </c>
      <c r="F172" t="s">
        <v>64</v>
      </c>
      <c r="G172" t="s">
        <v>362</v>
      </c>
      <c r="H172" t="s">
        <v>163</v>
      </c>
    </row>
    <row r="173" spans="1:8" x14ac:dyDescent="0.25">
      <c r="A173" s="317" t="s">
        <v>1108</v>
      </c>
      <c r="B173" t="s">
        <v>288</v>
      </c>
      <c r="C173" t="s">
        <v>243</v>
      </c>
      <c r="D173" t="s">
        <v>342</v>
      </c>
      <c r="E173" t="s">
        <v>165</v>
      </c>
      <c r="F173" t="s">
        <v>165</v>
      </c>
      <c r="G173" t="s">
        <v>361</v>
      </c>
      <c r="H173" t="s">
        <v>164</v>
      </c>
    </row>
    <row r="174" spans="1:8" x14ac:dyDescent="0.25">
      <c r="A174" s="317" t="s">
        <v>1108</v>
      </c>
      <c r="B174" t="s">
        <v>266</v>
      </c>
      <c r="C174" t="s">
        <v>35</v>
      </c>
      <c r="D174" t="s">
        <v>1037</v>
      </c>
      <c r="E174" t="s">
        <v>1246</v>
      </c>
      <c r="F174" t="s">
        <v>1246</v>
      </c>
      <c r="G174" t="s">
        <v>361</v>
      </c>
      <c r="H174" t="s">
        <v>164</v>
      </c>
    </row>
    <row r="175" spans="1:8" x14ac:dyDescent="0.25">
      <c r="A175" s="317" t="s">
        <v>1108</v>
      </c>
      <c r="B175" t="s">
        <v>267</v>
      </c>
      <c r="C175" t="s">
        <v>36</v>
      </c>
      <c r="D175" t="s">
        <v>338</v>
      </c>
      <c r="E175" t="s">
        <v>36</v>
      </c>
      <c r="F175" t="s">
        <v>36</v>
      </c>
      <c r="G175" t="s">
        <v>362</v>
      </c>
      <c r="H175" t="s">
        <v>163</v>
      </c>
    </row>
    <row r="176" spans="1:8" x14ac:dyDescent="0.25">
      <c r="A176" s="317" t="s">
        <v>1108</v>
      </c>
      <c r="B176" t="s">
        <v>293</v>
      </c>
      <c r="C176" t="s">
        <v>37</v>
      </c>
      <c r="D176" t="s">
        <v>336</v>
      </c>
      <c r="E176" t="s">
        <v>65</v>
      </c>
      <c r="F176" t="s">
        <v>65</v>
      </c>
      <c r="G176" t="s">
        <v>363</v>
      </c>
      <c r="H176" t="s">
        <v>162</v>
      </c>
    </row>
    <row r="177" spans="1:8" x14ac:dyDescent="0.25">
      <c r="A177" s="317" t="s">
        <v>1108</v>
      </c>
      <c r="B177" t="s">
        <v>268</v>
      </c>
      <c r="C177" t="s">
        <v>38</v>
      </c>
      <c r="D177" t="s">
        <v>339</v>
      </c>
      <c r="E177" t="s">
        <v>66</v>
      </c>
      <c r="F177" t="s">
        <v>66</v>
      </c>
      <c r="G177" t="s">
        <v>362</v>
      </c>
      <c r="H177" t="s">
        <v>163</v>
      </c>
    </row>
    <row r="178" spans="1:8" x14ac:dyDescent="0.25">
      <c r="A178" s="317" t="s">
        <v>1108</v>
      </c>
      <c r="B178" t="s">
        <v>295</v>
      </c>
      <c r="C178" t="s">
        <v>39</v>
      </c>
      <c r="D178" t="s">
        <v>337</v>
      </c>
      <c r="E178" t="s">
        <v>64</v>
      </c>
      <c r="F178" t="s">
        <v>64</v>
      </c>
      <c r="G178" t="s">
        <v>362</v>
      </c>
      <c r="H178" t="s">
        <v>163</v>
      </c>
    </row>
    <row r="179" spans="1:8" x14ac:dyDescent="0.25">
      <c r="A179" s="317" t="s">
        <v>1108</v>
      </c>
      <c r="B179" t="s">
        <v>269</v>
      </c>
      <c r="C179" t="s">
        <v>40</v>
      </c>
      <c r="D179" t="s">
        <v>340</v>
      </c>
      <c r="E179" t="s">
        <v>67</v>
      </c>
      <c r="F179" t="s">
        <v>67</v>
      </c>
      <c r="G179" t="s">
        <v>361</v>
      </c>
      <c r="H179" t="s">
        <v>164</v>
      </c>
    </row>
    <row r="180" spans="1:8" x14ac:dyDescent="0.25">
      <c r="A180" s="317" t="s">
        <v>1108</v>
      </c>
      <c r="B180" t="s">
        <v>270</v>
      </c>
      <c r="C180" t="s">
        <v>41</v>
      </c>
      <c r="D180" t="s">
        <v>341</v>
      </c>
      <c r="E180" t="s">
        <v>68</v>
      </c>
      <c r="F180" t="s">
        <v>68</v>
      </c>
      <c r="G180" t="s">
        <v>362</v>
      </c>
      <c r="H180" t="s">
        <v>163</v>
      </c>
    </row>
    <row r="181" spans="1:8" x14ac:dyDescent="0.25">
      <c r="A181" s="317" t="s">
        <v>1108</v>
      </c>
      <c r="B181" t="s">
        <v>272</v>
      </c>
      <c r="C181" t="s">
        <v>42</v>
      </c>
      <c r="D181" t="s">
        <v>343</v>
      </c>
      <c r="E181" t="s">
        <v>69</v>
      </c>
      <c r="F181" t="s">
        <v>69</v>
      </c>
      <c r="G181" t="s">
        <v>361</v>
      </c>
      <c r="H181" t="s">
        <v>164</v>
      </c>
    </row>
    <row r="182" spans="1:8" x14ac:dyDescent="0.25">
      <c r="A182" s="317" t="s">
        <v>1108</v>
      </c>
      <c r="B182" t="s">
        <v>297</v>
      </c>
      <c r="C182" t="s">
        <v>43</v>
      </c>
      <c r="D182" t="s">
        <v>1037</v>
      </c>
      <c r="E182" t="s">
        <v>1246</v>
      </c>
      <c r="F182" t="s">
        <v>1246</v>
      </c>
      <c r="G182" t="s">
        <v>361</v>
      </c>
      <c r="H182" t="s">
        <v>164</v>
      </c>
    </row>
    <row r="183" spans="1:8" x14ac:dyDescent="0.25">
      <c r="A183" s="317" t="s">
        <v>1108</v>
      </c>
      <c r="B183" t="s">
        <v>921</v>
      </c>
      <c r="C183" t="s">
        <v>117</v>
      </c>
      <c r="D183" t="s">
        <v>1035</v>
      </c>
      <c r="E183" t="s">
        <v>117</v>
      </c>
      <c r="F183" t="s">
        <v>117</v>
      </c>
      <c r="G183" t="s">
        <v>362</v>
      </c>
      <c r="H183" t="s">
        <v>163</v>
      </c>
    </row>
    <row r="184" spans="1:8" x14ac:dyDescent="0.25">
      <c r="A184" s="317" t="s">
        <v>1108</v>
      </c>
      <c r="B184" t="s">
        <v>273</v>
      </c>
      <c r="C184" t="s">
        <v>44</v>
      </c>
      <c r="D184" t="s">
        <v>344</v>
      </c>
      <c r="E184" t="s">
        <v>70</v>
      </c>
      <c r="F184" t="s">
        <v>70</v>
      </c>
      <c r="G184" t="s">
        <v>363</v>
      </c>
      <c r="H184" t="s">
        <v>162</v>
      </c>
    </row>
    <row r="185" spans="1:8" x14ac:dyDescent="0.25">
      <c r="A185" s="317" t="s">
        <v>1108</v>
      </c>
      <c r="B185" t="s">
        <v>274</v>
      </c>
      <c r="C185" t="s">
        <v>45</v>
      </c>
      <c r="D185" t="s">
        <v>341</v>
      </c>
      <c r="E185" t="s">
        <v>68</v>
      </c>
      <c r="F185" t="s">
        <v>68</v>
      </c>
      <c r="G185" t="s">
        <v>362</v>
      </c>
      <c r="H185" t="s">
        <v>163</v>
      </c>
    </row>
    <row r="186" spans="1:8" x14ac:dyDescent="0.25">
      <c r="A186" s="317" t="s">
        <v>1108</v>
      </c>
      <c r="B186" t="s">
        <v>275</v>
      </c>
      <c r="C186" t="s">
        <v>46</v>
      </c>
      <c r="D186" t="s">
        <v>340</v>
      </c>
      <c r="E186" t="s">
        <v>67</v>
      </c>
      <c r="F186" t="s">
        <v>67</v>
      </c>
      <c r="G186" t="s">
        <v>361</v>
      </c>
      <c r="H186" t="s">
        <v>164</v>
      </c>
    </row>
    <row r="187" spans="1:8" x14ac:dyDescent="0.25">
      <c r="A187" s="317" t="s">
        <v>1108</v>
      </c>
      <c r="B187" t="s">
        <v>276</v>
      </c>
      <c r="C187" t="s">
        <v>47</v>
      </c>
      <c r="D187" t="s">
        <v>1039</v>
      </c>
      <c r="E187" t="s">
        <v>1038</v>
      </c>
      <c r="F187" t="s">
        <v>1038</v>
      </c>
      <c r="G187" t="s">
        <v>363</v>
      </c>
      <c r="H187" t="s">
        <v>162</v>
      </c>
    </row>
    <row r="188" spans="1:8" x14ac:dyDescent="0.25">
      <c r="A188" s="317" t="s">
        <v>1108</v>
      </c>
      <c r="B188" t="s">
        <v>271</v>
      </c>
      <c r="C188" t="s">
        <v>48</v>
      </c>
      <c r="D188" t="s">
        <v>346</v>
      </c>
      <c r="E188" t="s">
        <v>71</v>
      </c>
      <c r="F188" t="s">
        <v>71</v>
      </c>
      <c r="G188" t="s">
        <v>363</v>
      </c>
      <c r="H188" t="s">
        <v>162</v>
      </c>
    </row>
    <row r="189" spans="1:8" x14ac:dyDescent="0.25">
      <c r="A189" s="317" t="s">
        <v>1108</v>
      </c>
      <c r="B189" t="s">
        <v>277</v>
      </c>
      <c r="C189" t="s">
        <v>49</v>
      </c>
      <c r="D189" t="s">
        <v>339</v>
      </c>
      <c r="E189" t="s">
        <v>66</v>
      </c>
      <c r="F189" t="s">
        <v>66</v>
      </c>
      <c r="G189" t="s">
        <v>362</v>
      </c>
      <c r="H189" t="s">
        <v>163</v>
      </c>
    </row>
    <row r="190" spans="1:8" x14ac:dyDescent="0.25">
      <c r="A190" s="317" t="s">
        <v>1108</v>
      </c>
      <c r="B190" t="s">
        <v>922</v>
      </c>
      <c r="C190" t="s">
        <v>50</v>
      </c>
      <c r="D190" t="s">
        <v>1041</v>
      </c>
      <c r="E190" t="s">
        <v>1040</v>
      </c>
      <c r="F190" t="s">
        <v>1040</v>
      </c>
      <c r="G190" t="s">
        <v>362</v>
      </c>
      <c r="H190" t="s">
        <v>163</v>
      </c>
    </row>
    <row r="191" spans="1:8" x14ac:dyDescent="0.25">
      <c r="A191" s="317" t="s">
        <v>1108</v>
      </c>
      <c r="B191" t="s">
        <v>278</v>
      </c>
      <c r="C191" t="s">
        <v>51</v>
      </c>
      <c r="D191" t="s">
        <v>346</v>
      </c>
      <c r="E191" t="s">
        <v>71</v>
      </c>
      <c r="F191" t="s">
        <v>71</v>
      </c>
      <c r="G191" t="s">
        <v>363</v>
      </c>
      <c r="H191" t="s">
        <v>162</v>
      </c>
    </row>
    <row r="192" spans="1:8" x14ac:dyDescent="0.25">
      <c r="A192" s="317" t="s">
        <v>1108</v>
      </c>
      <c r="B192" t="s">
        <v>279</v>
      </c>
      <c r="C192" t="s">
        <v>52</v>
      </c>
      <c r="D192" t="s">
        <v>336</v>
      </c>
      <c r="E192" t="s">
        <v>65</v>
      </c>
      <c r="F192" t="s">
        <v>65</v>
      </c>
      <c r="G192" t="s">
        <v>363</v>
      </c>
      <c r="H192" t="s">
        <v>162</v>
      </c>
    </row>
    <row r="193" spans="1:8" x14ac:dyDescent="0.25">
      <c r="A193" s="317" t="s">
        <v>1108</v>
      </c>
      <c r="B193" t="s">
        <v>289</v>
      </c>
      <c r="C193" t="s">
        <v>53</v>
      </c>
      <c r="D193" t="s">
        <v>341</v>
      </c>
      <c r="E193" t="s">
        <v>68</v>
      </c>
      <c r="F193" t="s">
        <v>68</v>
      </c>
      <c r="G193" t="s">
        <v>362</v>
      </c>
      <c r="H193" t="s">
        <v>163</v>
      </c>
    </row>
    <row r="194" spans="1:8" x14ac:dyDescent="0.25">
      <c r="A194" s="317" t="s">
        <v>1108</v>
      </c>
      <c r="B194" t="s">
        <v>280</v>
      </c>
      <c r="C194" t="s">
        <v>54</v>
      </c>
      <c r="D194" t="s">
        <v>340</v>
      </c>
      <c r="E194" t="s">
        <v>67</v>
      </c>
      <c r="F194" t="s">
        <v>67</v>
      </c>
      <c r="G194" t="s">
        <v>361</v>
      </c>
      <c r="H194" t="s">
        <v>164</v>
      </c>
    </row>
    <row r="195" spans="1:8" x14ac:dyDescent="0.25">
      <c r="A195" s="317" t="s">
        <v>1108</v>
      </c>
      <c r="B195" t="s">
        <v>281</v>
      </c>
      <c r="C195" t="s">
        <v>55</v>
      </c>
      <c r="D195" t="s">
        <v>346</v>
      </c>
      <c r="E195" t="s">
        <v>71</v>
      </c>
      <c r="F195" t="s">
        <v>71</v>
      </c>
      <c r="G195" t="s">
        <v>363</v>
      </c>
      <c r="H195" t="s">
        <v>162</v>
      </c>
    </row>
    <row r="196" spans="1:8" x14ac:dyDescent="0.25">
      <c r="A196" s="317" t="s">
        <v>1108</v>
      </c>
      <c r="B196" t="s">
        <v>282</v>
      </c>
      <c r="C196" t="s">
        <v>56</v>
      </c>
      <c r="D196" t="s">
        <v>339</v>
      </c>
      <c r="E196" t="s">
        <v>66</v>
      </c>
      <c r="F196" t="s">
        <v>66</v>
      </c>
      <c r="G196" t="s">
        <v>362</v>
      </c>
      <c r="H196" t="s">
        <v>163</v>
      </c>
    </row>
    <row r="197" spans="1:8" x14ac:dyDescent="0.25">
      <c r="A197" s="317" t="s">
        <v>1108</v>
      </c>
      <c r="B197" t="s">
        <v>283</v>
      </c>
      <c r="C197" t="s">
        <v>57</v>
      </c>
      <c r="D197" t="s">
        <v>1041</v>
      </c>
      <c r="E197" t="s">
        <v>1040</v>
      </c>
      <c r="F197" t="s">
        <v>1040</v>
      </c>
      <c r="G197" t="s">
        <v>362</v>
      </c>
      <c r="H197" t="s">
        <v>163</v>
      </c>
    </row>
    <row r="198" spans="1:8" x14ac:dyDescent="0.25">
      <c r="A198" s="317" t="s">
        <v>1108</v>
      </c>
      <c r="B198" t="s">
        <v>284</v>
      </c>
      <c r="C198" t="s">
        <v>58</v>
      </c>
      <c r="D198" t="s">
        <v>1037</v>
      </c>
      <c r="E198" t="s">
        <v>1246</v>
      </c>
      <c r="F198" t="s">
        <v>1246</v>
      </c>
      <c r="G198" t="s">
        <v>361</v>
      </c>
      <c r="H198" t="s">
        <v>164</v>
      </c>
    </row>
    <row r="199" spans="1:8" x14ac:dyDescent="0.25">
      <c r="A199" s="317" t="s">
        <v>1108</v>
      </c>
      <c r="B199" t="s">
        <v>290</v>
      </c>
      <c r="C199" t="s">
        <v>59</v>
      </c>
      <c r="D199" t="s">
        <v>337</v>
      </c>
      <c r="E199" t="s">
        <v>64</v>
      </c>
      <c r="F199" t="s">
        <v>64</v>
      </c>
      <c r="G199" t="s">
        <v>362</v>
      </c>
      <c r="H199" t="s">
        <v>163</v>
      </c>
    </row>
    <row r="200" spans="1:8" x14ac:dyDescent="0.25">
      <c r="A200" s="534" t="s">
        <v>1108</v>
      </c>
      <c r="B200" s="305" t="s">
        <v>291</v>
      </c>
      <c r="C200" s="305" t="s">
        <v>60</v>
      </c>
      <c r="D200" s="305" t="s">
        <v>343</v>
      </c>
      <c r="E200" s="305" t="s">
        <v>69</v>
      </c>
      <c r="F200" s="305" t="s">
        <v>69</v>
      </c>
      <c r="G200" s="305" t="s">
        <v>361</v>
      </c>
      <c r="H200" s="305" t="s">
        <v>164</v>
      </c>
    </row>
    <row r="202" spans="1:8" x14ac:dyDescent="0.25">
      <c r="A202" s="317" t="s">
        <v>8</v>
      </c>
    </row>
    <row r="203" spans="1:8" ht="33.6" customHeight="1" x14ac:dyDescent="0.25">
      <c r="A203" s="992" t="s">
        <v>1042</v>
      </c>
      <c r="B203" s="992"/>
      <c r="C203" s="992"/>
      <c r="D203" s="992"/>
      <c r="E203" s="992"/>
      <c r="F203" s="992"/>
    </row>
    <row r="204" spans="1:8" ht="32.450000000000003" customHeight="1" x14ac:dyDescent="0.25">
      <c r="A204" s="992" t="s">
        <v>1043</v>
      </c>
      <c r="B204" s="992"/>
      <c r="C204" s="992"/>
      <c r="D204" s="992"/>
      <c r="E204" s="992"/>
      <c r="F204" s="992"/>
    </row>
    <row r="205" spans="1:8" x14ac:dyDescent="0.25">
      <c r="A205" t="s">
        <v>1250</v>
      </c>
    </row>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sheetData>
  <sheetProtection algorithmName="SHA-512" hashValue="eyO2ebkLY4vzHwKV3bCm951GTXaZKLdJLSX/Rta6bc2bCaRgd9J7rkM0o6P47TNsWCnPhgSpHZOMQXkgJqkFWQ==" saltValue="jvBSLc5FfHsNBpgsL779xw==" spinCount="100000" sheet="1" scenarios="1" formatCells="0" sort="0" autoFilter="0" pivotTables="0"/>
  <mergeCells count="2">
    <mergeCell ref="A203:F203"/>
    <mergeCell ref="A204:F204"/>
  </mergeCells>
  <phoneticPr fontId="53" type="noConversion"/>
  <hyperlinks>
    <hyperlink ref="A2" location="'Table of Contents'!A1" display="Back to Table of Contents" xr:uid="{00000000-0004-0000-0200-000000000000}"/>
  </hyperlinks>
  <pageMargins left="0.70866141732283472" right="0.70866141732283472" top="0.74803149606299213" bottom="0.74803149606299213" header="0.31496062992125984" footer="0.31496062992125984"/>
  <pageSetup paperSize="9" scale="74"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39997558519241921"/>
  </sheetPr>
  <dimension ref="A1:AQ18"/>
  <sheetViews>
    <sheetView showGridLines="0" workbookViewId="0">
      <pane ySplit="2" topLeftCell="A3" activePane="bottomLeft" state="frozen"/>
      <selection pane="bottomLeft" sqref="A1:F1"/>
    </sheetView>
  </sheetViews>
  <sheetFormatPr defaultRowHeight="15" x14ac:dyDescent="0.25"/>
  <cols>
    <col min="1" max="1" width="19.42578125" customWidth="1"/>
    <col min="2" max="2" width="22.140625" customWidth="1"/>
    <col min="3" max="3" width="27.42578125" customWidth="1"/>
    <col min="4" max="4" width="14.140625" customWidth="1"/>
    <col min="5" max="5" width="11.85546875" customWidth="1"/>
    <col min="6" max="6" width="14.5703125" customWidth="1"/>
  </cols>
  <sheetData>
    <row r="1" spans="1:43" ht="15.75" x14ac:dyDescent="0.25">
      <c r="A1" s="993" t="s">
        <v>450</v>
      </c>
      <c r="B1" s="993"/>
      <c r="C1" s="993"/>
      <c r="D1" s="993"/>
      <c r="E1" s="993"/>
      <c r="F1" s="993"/>
    </row>
    <row r="2" spans="1:43" ht="18" x14ac:dyDescent="0.25">
      <c r="A2" s="507" t="s">
        <v>511</v>
      </c>
      <c r="B2" s="1"/>
      <c r="C2" s="1"/>
      <c r="D2" s="1"/>
      <c r="E2" s="1"/>
      <c r="F2" s="1"/>
    </row>
    <row r="3" spans="1:43" ht="18" x14ac:dyDescent="0.25">
      <c r="A3" s="1"/>
      <c r="B3" s="1"/>
      <c r="C3" s="1"/>
      <c r="D3" s="1"/>
      <c r="E3" s="1"/>
      <c r="F3" s="1"/>
    </row>
    <row r="4" spans="1:43" ht="15.75" x14ac:dyDescent="0.25">
      <c r="A4" s="447" t="s">
        <v>769</v>
      </c>
      <c r="B4" s="447"/>
      <c r="C4" s="447"/>
      <c r="D4" s="447"/>
      <c r="E4" s="447"/>
      <c r="F4" s="447"/>
    </row>
    <row r="5" spans="1:43" x14ac:dyDescent="0.25">
      <c r="A5" t="s">
        <v>328</v>
      </c>
      <c r="B5" t="s">
        <v>867</v>
      </c>
    </row>
    <row r="6" spans="1:43" x14ac:dyDescent="0.25">
      <c r="A6" t="s">
        <v>329</v>
      </c>
      <c r="B6" t="s">
        <v>331</v>
      </c>
    </row>
    <row r="7" spans="1:43" x14ac:dyDescent="0.25">
      <c r="A7" t="s">
        <v>330</v>
      </c>
      <c r="B7" t="s">
        <v>332</v>
      </c>
    </row>
    <row r="9" spans="1:43" x14ac:dyDescent="0.25">
      <c r="A9" s="534" t="s">
        <v>1</v>
      </c>
      <c r="B9" s="661" t="s">
        <v>767</v>
      </c>
      <c r="C9" s="661" t="s">
        <v>768</v>
      </c>
      <c r="D9" s="661" t="s">
        <v>1214</v>
      </c>
      <c r="E9" s="661" t="s">
        <v>771</v>
      </c>
      <c r="F9" s="3" t="s">
        <v>4</v>
      </c>
    </row>
    <row r="10" spans="1:43" x14ac:dyDescent="0.25">
      <c r="A10" s="317" t="s">
        <v>239</v>
      </c>
      <c r="B10" s="614">
        <f>GETPIVOTDATA("Sum of Operational Crewing",DutySystemPivot!$A$1,"Year",A10)</f>
        <v>2955</v>
      </c>
      <c r="C10" s="614">
        <f>GETPIVOTDATA("Sum of Incident Command Officers",DutySystemPivot!$A$1,"Year",A10)</f>
        <v>264</v>
      </c>
      <c r="D10" s="614">
        <f>GETPIVOTDATA("Sum of Office Duties",DutySystemPivot!$A$1,"Year",A10)</f>
        <v>358</v>
      </c>
      <c r="E10" s="614">
        <f>GETPIVOTDATA("Sum of Trainees",DutySystemPivot!$A$1,"Year",A10)</f>
        <v>60</v>
      </c>
      <c r="F10" s="270">
        <f>SUM(B10:E10)</f>
        <v>3637</v>
      </c>
    </row>
    <row r="11" spans="1:43" x14ac:dyDescent="0.25">
      <c r="A11" s="317" t="s">
        <v>760</v>
      </c>
      <c r="B11" s="614">
        <f>GETPIVOTDATA("Sum of Operational Crewing",DutySystemPivot!$A$1,"Year",A11)</f>
        <v>2966</v>
      </c>
      <c r="C11" s="614">
        <f>GETPIVOTDATA("Sum of Incident Command Officers",DutySystemPivot!$A$1,"Year",A11)</f>
        <v>270</v>
      </c>
      <c r="D11" s="614">
        <f>GETPIVOTDATA("Sum of Office Duties",DutySystemPivot!$A$1,"Year",A11)</f>
        <v>351</v>
      </c>
      <c r="E11" s="614">
        <f>GETPIVOTDATA("Sum of Trainees",DutySystemPivot!$A$1,"Year",A11)</f>
        <v>49</v>
      </c>
      <c r="F11" s="270">
        <f t="shared" ref="F11:F15" si="0">SUM(B11:E11)</f>
        <v>3636</v>
      </c>
    </row>
    <row r="12" spans="1:43" x14ac:dyDescent="0.25">
      <c r="A12" s="317" t="s">
        <v>917</v>
      </c>
      <c r="B12" s="614">
        <f>GETPIVOTDATA("Sum of Operational Crewing",DutySystemPivot!$A$1,"Year",A12)</f>
        <v>2903</v>
      </c>
      <c r="C12" s="614">
        <f>GETPIVOTDATA("Sum of Incident Command Officers",DutySystemPivot!$A$1,"Year",A12)</f>
        <v>271</v>
      </c>
      <c r="D12" s="614">
        <f>GETPIVOTDATA("Sum of Office Duties",DutySystemPivot!$A$1,"Year",A12)</f>
        <v>348</v>
      </c>
      <c r="E12" s="614">
        <f>GETPIVOTDATA("Sum of Trainees",DutySystemPivot!$A$1,"Year",A12)</f>
        <v>59</v>
      </c>
      <c r="F12" s="270">
        <f t="shared" si="0"/>
        <v>3581</v>
      </c>
    </row>
    <row r="13" spans="1:43" s="305" customFormat="1" x14ac:dyDescent="0.25">
      <c r="A13" s="317" t="s">
        <v>1010</v>
      </c>
      <c r="B13" s="614">
        <f>GETPIVOTDATA("Sum of Operational Crewing",DutySystemPivot!$A$1,"Year",A13)</f>
        <v>2843</v>
      </c>
      <c r="C13" s="614">
        <f>GETPIVOTDATA("Sum of Incident Command Officers",DutySystemPivot!$A$1,"Year",A13)</f>
        <v>273</v>
      </c>
      <c r="D13" s="614">
        <f>GETPIVOTDATA("Sum of Office Duties",DutySystemPivot!$A$1,"Year",A13)</f>
        <v>349</v>
      </c>
      <c r="E13" s="614">
        <f>GETPIVOTDATA("Sum of Trainees",DutySystemPivot!$A$1,"Year",A13)</f>
        <v>65</v>
      </c>
      <c r="F13" s="270">
        <f t="shared" si="0"/>
        <v>3530</v>
      </c>
      <c r="G13"/>
      <c r="H13"/>
      <c r="I13"/>
      <c r="J13"/>
      <c r="K13"/>
      <c r="L13"/>
      <c r="M13"/>
      <c r="N13"/>
      <c r="O13"/>
      <c r="P13"/>
      <c r="Q13"/>
      <c r="R13"/>
      <c r="S13"/>
      <c r="T13"/>
      <c r="U13"/>
      <c r="V13"/>
      <c r="W13"/>
      <c r="X13"/>
      <c r="Y13"/>
      <c r="Z13"/>
      <c r="AA13"/>
      <c r="AB13"/>
      <c r="AC13"/>
      <c r="AD13"/>
      <c r="AE13"/>
      <c r="AF13"/>
      <c r="AG13"/>
      <c r="AH13"/>
      <c r="AI13"/>
      <c r="AJ13"/>
      <c r="AK13"/>
      <c r="AL13"/>
      <c r="AM13"/>
      <c r="AN13"/>
      <c r="AO13"/>
      <c r="AP13"/>
      <c r="AQ13"/>
    </row>
    <row r="14" spans="1:43" x14ac:dyDescent="0.25">
      <c r="A14" s="317" t="s">
        <v>1061</v>
      </c>
      <c r="B14" s="614">
        <f>GETPIVOTDATA("Sum of Operational Crewing",DutySystemPivot!$A$1,"Year",A14)</f>
        <v>2798</v>
      </c>
      <c r="C14" s="614">
        <f>GETPIVOTDATA("Sum of Incident Command Officers",DutySystemPivot!$A$1,"Year",A14)</f>
        <v>262</v>
      </c>
      <c r="D14" s="614">
        <f>GETPIVOTDATA("Sum of Office Duties",DutySystemPivot!$A$1,"Year",A14)</f>
        <v>327</v>
      </c>
      <c r="E14" s="614">
        <f>GETPIVOTDATA("Sum of Trainees",DutySystemPivot!$A$1,"Year",A14)</f>
        <v>103</v>
      </c>
      <c r="F14" s="270">
        <f t="shared" si="0"/>
        <v>3490</v>
      </c>
    </row>
    <row r="15" spans="1:43" ht="15.75" thickBot="1" x14ac:dyDescent="0.3">
      <c r="A15" s="533" t="s">
        <v>1108</v>
      </c>
      <c r="B15" s="619">
        <f>GETPIVOTDATA("Sum of Operational Crewing",DutySystemPivot!$A$1,"Year",A15)</f>
        <v>2823</v>
      </c>
      <c r="C15" s="619">
        <f>GETPIVOTDATA("Sum of Incident Command Officers",DutySystemPivot!$A$1,"Year",A15)</f>
        <v>263</v>
      </c>
      <c r="D15" s="619">
        <f>GETPIVOTDATA("Sum of Office Duties",DutySystemPivot!$A$1,"Year",A15)</f>
        <v>335</v>
      </c>
      <c r="E15" s="619">
        <f>GETPIVOTDATA("Sum of Trainees",DutySystemPivot!$A$1,"Year",A15)</f>
        <v>1</v>
      </c>
      <c r="F15" s="888">
        <f t="shared" si="0"/>
        <v>3422</v>
      </c>
    </row>
    <row r="16" spans="1:43" ht="21" customHeight="1" x14ac:dyDescent="0.25">
      <c r="A16" s="317"/>
      <c r="B16" s="614"/>
      <c r="C16" s="614"/>
      <c r="D16" s="614"/>
      <c r="E16" s="614"/>
      <c r="F16" s="270"/>
    </row>
    <row r="17" spans="1:6" x14ac:dyDescent="0.25">
      <c r="A17" s="317" t="s">
        <v>8</v>
      </c>
      <c r="F17" s="423"/>
    </row>
    <row r="18" spans="1:6" ht="60.6" customHeight="1" x14ac:dyDescent="0.25">
      <c r="A18" s="992" t="s">
        <v>1215</v>
      </c>
      <c r="B18" s="992"/>
      <c r="C18" s="992"/>
      <c r="D18" s="992"/>
      <c r="E18" s="992"/>
    </row>
  </sheetData>
  <sheetProtection algorithmName="SHA-512" hashValue="Lw4eunN/m7/kmRDJXflqAuOpcyCn2oqRRfAOfQlFuaKB8z7kKCjgSYqP2NDxq+8dZ/0tiz6LiBE/nNf5qtb2ZA==" saltValue="y4Y27nZIqdBVRxJu3cg6sA==" spinCount="100000" sheet="1" scenarios="1" formatCells="0" sort="0" autoFilter="0" pivotTables="0"/>
  <mergeCells count="2">
    <mergeCell ref="A1:F1"/>
    <mergeCell ref="A18:E18"/>
  </mergeCells>
  <hyperlinks>
    <hyperlink ref="A2" location="'Table of Contents'!A1" display="Back to Table of Contents" xr:uid="{00000000-0004-0000-1A00-000000000000}"/>
  </hyperlinks>
  <pageMargins left="0.7" right="0.7" top="0.75" bottom="0.75" header="0.3" footer="0.3"/>
  <pageSetup paperSize="9"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39997558519241921"/>
  </sheetPr>
  <dimension ref="A1:E61"/>
  <sheetViews>
    <sheetView topLeftCell="A37" workbookViewId="0">
      <selection activeCell="A45" sqref="A45"/>
    </sheetView>
  </sheetViews>
  <sheetFormatPr defaultRowHeight="15" x14ac:dyDescent="0.25"/>
  <cols>
    <col min="1" max="1" width="59.5703125" bestFit="1" customWidth="1"/>
    <col min="2" max="2" width="25.140625" bestFit="1" customWidth="1"/>
    <col min="3" max="3" width="30.85546875" bestFit="1" customWidth="1"/>
    <col min="4" max="4" width="18.5703125" bestFit="1" customWidth="1"/>
    <col min="5" max="5" width="14.5703125" bestFit="1" customWidth="1"/>
  </cols>
  <sheetData>
    <row r="1" spans="1:5" x14ac:dyDescent="0.25">
      <c r="A1" s="394" t="s">
        <v>1</v>
      </c>
      <c r="B1" t="s">
        <v>1108</v>
      </c>
    </row>
    <row r="3" spans="1:5" x14ac:dyDescent="0.25">
      <c r="A3" s="394" t="s">
        <v>231</v>
      </c>
      <c r="B3" t="s">
        <v>986</v>
      </c>
      <c r="C3" t="s">
        <v>987</v>
      </c>
      <c r="D3" t="s">
        <v>988</v>
      </c>
      <c r="E3" t="s">
        <v>989</v>
      </c>
    </row>
    <row r="4" spans="1:5" x14ac:dyDescent="0.25">
      <c r="A4" s="395" t="s">
        <v>232</v>
      </c>
    </row>
    <row r="5" spans="1:5" x14ac:dyDescent="0.25">
      <c r="A5" s="396" t="s">
        <v>31</v>
      </c>
      <c r="B5">
        <v>155</v>
      </c>
      <c r="C5">
        <v>0</v>
      </c>
      <c r="D5">
        <v>7</v>
      </c>
      <c r="E5">
        <v>0</v>
      </c>
    </row>
    <row r="6" spans="1:5" x14ac:dyDescent="0.25">
      <c r="A6" s="396" t="s">
        <v>32</v>
      </c>
      <c r="B6">
        <v>28</v>
      </c>
      <c r="C6">
        <v>0</v>
      </c>
      <c r="D6">
        <v>0</v>
      </c>
      <c r="E6">
        <v>0</v>
      </c>
    </row>
    <row r="7" spans="1:5" x14ac:dyDescent="0.25">
      <c r="A7" s="396" t="s">
        <v>33</v>
      </c>
      <c r="B7">
        <v>27</v>
      </c>
      <c r="C7">
        <v>0</v>
      </c>
      <c r="D7">
        <v>0</v>
      </c>
      <c r="E7">
        <v>0</v>
      </c>
    </row>
    <row r="8" spans="1:5" x14ac:dyDescent="0.25">
      <c r="A8" s="396" t="s">
        <v>34</v>
      </c>
      <c r="B8">
        <v>54</v>
      </c>
      <c r="C8">
        <v>0</v>
      </c>
      <c r="D8">
        <v>1</v>
      </c>
      <c r="E8">
        <v>0</v>
      </c>
    </row>
    <row r="9" spans="1:5" x14ac:dyDescent="0.25">
      <c r="A9" s="396" t="s">
        <v>35</v>
      </c>
      <c r="B9">
        <v>26</v>
      </c>
      <c r="C9">
        <v>0</v>
      </c>
      <c r="D9">
        <v>1</v>
      </c>
      <c r="E9">
        <v>0</v>
      </c>
    </row>
    <row r="10" spans="1:5" x14ac:dyDescent="0.25">
      <c r="A10" s="396" t="s">
        <v>984</v>
      </c>
      <c r="B10">
        <v>53</v>
      </c>
      <c r="C10">
        <v>0</v>
      </c>
      <c r="D10">
        <v>0</v>
      </c>
      <c r="E10">
        <v>0</v>
      </c>
    </row>
    <row r="11" spans="1:5" x14ac:dyDescent="0.25">
      <c r="A11" s="396" t="s">
        <v>37</v>
      </c>
      <c r="B11">
        <v>166</v>
      </c>
      <c r="C11">
        <v>0</v>
      </c>
      <c r="D11">
        <v>2</v>
      </c>
      <c r="E11">
        <v>0</v>
      </c>
    </row>
    <row r="12" spans="1:5" x14ac:dyDescent="0.25">
      <c r="A12" s="396" t="s">
        <v>38</v>
      </c>
      <c r="B12">
        <v>47</v>
      </c>
      <c r="C12">
        <v>0</v>
      </c>
      <c r="D12">
        <v>1</v>
      </c>
      <c r="E12">
        <v>0</v>
      </c>
    </row>
    <row r="13" spans="1:5" x14ac:dyDescent="0.25">
      <c r="A13" s="396" t="s">
        <v>39</v>
      </c>
      <c r="B13">
        <v>76</v>
      </c>
      <c r="C13">
        <v>0</v>
      </c>
      <c r="D13">
        <v>0</v>
      </c>
      <c r="E13">
        <v>0</v>
      </c>
    </row>
    <row r="14" spans="1:5" x14ac:dyDescent="0.25">
      <c r="A14" s="396" t="s">
        <v>40</v>
      </c>
      <c r="B14">
        <v>25</v>
      </c>
      <c r="C14">
        <v>0</v>
      </c>
      <c r="D14">
        <v>0</v>
      </c>
      <c r="E14">
        <v>0</v>
      </c>
    </row>
    <row r="15" spans="1:5" x14ac:dyDescent="0.25">
      <c r="A15" s="396" t="s">
        <v>41</v>
      </c>
      <c r="B15">
        <v>53</v>
      </c>
      <c r="C15">
        <v>0</v>
      </c>
      <c r="D15">
        <v>0</v>
      </c>
      <c r="E15">
        <v>0</v>
      </c>
    </row>
    <row r="16" spans="1:5" x14ac:dyDescent="0.25">
      <c r="A16" s="396" t="s">
        <v>165</v>
      </c>
      <c r="B16">
        <v>293</v>
      </c>
      <c r="C16">
        <v>0</v>
      </c>
      <c r="D16">
        <v>0</v>
      </c>
      <c r="E16">
        <v>0</v>
      </c>
    </row>
    <row r="17" spans="1:5" x14ac:dyDescent="0.25">
      <c r="A17" s="396" t="s">
        <v>42</v>
      </c>
      <c r="B17">
        <v>91</v>
      </c>
      <c r="C17">
        <v>0</v>
      </c>
      <c r="D17">
        <v>0</v>
      </c>
      <c r="E17">
        <v>0</v>
      </c>
    </row>
    <row r="18" spans="1:5" x14ac:dyDescent="0.25">
      <c r="A18" s="396" t="s">
        <v>43</v>
      </c>
      <c r="B18">
        <v>214</v>
      </c>
      <c r="C18">
        <v>0</v>
      </c>
      <c r="D18">
        <v>2</v>
      </c>
      <c r="E18">
        <v>0</v>
      </c>
    </row>
    <row r="19" spans="1:5" x14ac:dyDescent="0.25">
      <c r="A19" s="396" t="s">
        <v>117</v>
      </c>
      <c r="B19">
        <v>452</v>
      </c>
      <c r="C19">
        <v>0</v>
      </c>
      <c r="D19">
        <v>11</v>
      </c>
      <c r="E19">
        <v>0</v>
      </c>
    </row>
    <row r="20" spans="1:5" x14ac:dyDescent="0.25">
      <c r="A20" s="396" t="s">
        <v>70</v>
      </c>
      <c r="B20">
        <v>72</v>
      </c>
      <c r="C20">
        <v>0</v>
      </c>
      <c r="D20">
        <v>8</v>
      </c>
      <c r="E20">
        <v>0</v>
      </c>
    </row>
    <row r="21" spans="1:5" x14ac:dyDescent="0.25">
      <c r="A21" s="396" t="s">
        <v>45</v>
      </c>
      <c r="B21">
        <v>63</v>
      </c>
      <c r="C21">
        <v>0</v>
      </c>
      <c r="D21">
        <v>0</v>
      </c>
      <c r="E21">
        <v>0</v>
      </c>
    </row>
    <row r="22" spans="1:5" x14ac:dyDescent="0.25">
      <c r="A22" s="396" t="s">
        <v>46</v>
      </c>
      <c r="B22">
        <v>26</v>
      </c>
      <c r="C22">
        <v>0</v>
      </c>
      <c r="D22">
        <v>3</v>
      </c>
      <c r="E22">
        <v>0</v>
      </c>
    </row>
    <row r="23" spans="1:5" x14ac:dyDescent="0.25">
      <c r="A23" s="396" t="s">
        <v>47</v>
      </c>
      <c r="B23">
        <v>30</v>
      </c>
      <c r="C23">
        <v>0</v>
      </c>
      <c r="D23">
        <v>0</v>
      </c>
      <c r="E23">
        <v>0</v>
      </c>
    </row>
    <row r="24" spans="1:5" x14ac:dyDescent="0.25">
      <c r="A24" s="396" t="s">
        <v>48</v>
      </c>
      <c r="B24">
        <v>0</v>
      </c>
      <c r="C24">
        <v>0</v>
      </c>
      <c r="D24">
        <v>3</v>
      </c>
      <c r="E24">
        <v>0</v>
      </c>
    </row>
    <row r="25" spans="1:5" x14ac:dyDescent="0.25">
      <c r="A25" s="396" t="s">
        <v>49</v>
      </c>
      <c r="B25">
        <v>85</v>
      </c>
      <c r="C25">
        <v>0</v>
      </c>
      <c r="D25">
        <v>0</v>
      </c>
      <c r="E25">
        <v>0</v>
      </c>
    </row>
    <row r="26" spans="1:5" x14ac:dyDescent="0.25">
      <c r="A26" s="396" t="s">
        <v>50</v>
      </c>
      <c r="B26">
        <v>167</v>
      </c>
      <c r="C26">
        <v>0</v>
      </c>
      <c r="D26">
        <v>2</v>
      </c>
      <c r="E26">
        <v>0</v>
      </c>
    </row>
    <row r="27" spans="1:5" x14ac:dyDescent="0.25">
      <c r="A27" s="396" t="s">
        <v>52</v>
      </c>
      <c r="B27">
        <v>65</v>
      </c>
      <c r="C27">
        <v>0</v>
      </c>
      <c r="D27">
        <v>1</v>
      </c>
      <c r="E27">
        <v>0</v>
      </c>
    </row>
    <row r="28" spans="1:5" x14ac:dyDescent="0.25">
      <c r="A28" s="396" t="s">
        <v>53</v>
      </c>
      <c r="B28">
        <v>102</v>
      </c>
      <c r="C28">
        <v>0</v>
      </c>
      <c r="D28">
        <v>0</v>
      </c>
      <c r="E28">
        <v>0</v>
      </c>
    </row>
    <row r="29" spans="1:5" x14ac:dyDescent="0.25">
      <c r="A29" s="396" t="s">
        <v>54</v>
      </c>
      <c r="B29">
        <v>57</v>
      </c>
      <c r="C29">
        <v>0</v>
      </c>
      <c r="D29">
        <v>0</v>
      </c>
      <c r="E29">
        <v>0</v>
      </c>
    </row>
    <row r="30" spans="1:5" x14ac:dyDescent="0.25">
      <c r="A30" s="396" t="s">
        <v>55</v>
      </c>
      <c r="B30">
        <v>0</v>
      </c>
      <c r="C30">
        <v>0</v>
      </c>
      <c r="D30">
        <v>1</v>
      </c>
      <c r="E30">
        <v>0</v>
      </c>
    </row>
    <row r="31" spans="1:5" x14ac:dyDescent="0.25">
      <c r="A31" s="396" t="s">
        <v>56</v>
      </c>
      <c r="B31">
        <v>51</v>
      </c>
      <c r="C31">
        <v>0</v>
      </c>
      <c r="D31">
        <v>1</v>
      </c>
      <c r="E31">
        <v>0</v>
      </c>
    </row>
    <row r="32" spans="1:5" x14ac:dyDescent="0.25">
      <c r="A32" s="396" t="s">
        <v>57</v>
      </c>
      <c r="B32">
        <v>161</v>
      </c>
      <c r="C32">
        <v>0</v>
      </c>
      <c r="D32">
        <v>0</v>
      </c>
      <c r="E32">
        <v>0</v>
      </c>
    </row>
    <row r="33" spans="1:5" x14ac:dyDescent="0.25">
      <c r="A33" s="396" t="s">
        <v>58</v>
      </c>
      <c r="B33">
        <v>49</v>
      </c>
      <c r="C33">
        <v>0</v>
      </c>
      <c r="D33">
        <v>0</v>
      </c>
      <c r="E33">
        <v>0</v>
      </c>
    </row>
    <row r="34" spans="1:5" x14ac:dyDescent="0.25">
      <c r="A34" s="396" t="s">
        <v>59</v>
      </c>
      <c r="B34">
        <v>75</v>
      </c>
      <c r="C34">
        <v>0</v>
      </c>
      <c r="D34">
        <v>0</v>
      </c>
      <c r="E34">
        <v>0</v>
      </c>
    </row>
    <row r="35" spans="1:5" x14ac:dyDescent="0.25">
      <c r="A35" s="396" t="s">
        <v>60</v>
      </c>
      <c r="B35">
        <v>60</v>
      </c>
      <c r="C35">
        <v>0</v>
      </c>
      <c r="D35">
        <v>3</v>
      </c>
      <c r="E35">
        <v>0</v>
      </c>
    </row>
    <row r="36" spans="1:5" x14ac:dyDescent="0.25">
      <c r="A36" s="395" t="s">
        <v>832</v>
      </c>
      <c r="B36">
        <v>2823</v>
      </c>
      <c r="C36">
        <v>0</v>
      </c>
      <c r="D36">
        <v>47</v>
      </c>
      <c r="E36">
        <v>0</v>
      </c>
    </row>
    <row r="37" spans="1:5" x14ac:dyDescent="0.25">
      <c r="A37" s="395" t="s">
        <v>233</v>
      </c>
    </row>
    <row r="38" spans="1:5" x14ac:dyDescent="0.25">
      <c r="A38" s="396" t="s">
        <v>1038</v>
      </c>
      <c r="B38">
        <v>0</v>
      </c>
      <c r="C38">
        <v>16</v>
      </c>
      <c r="D38">
        <v>6</v>
      </c>
      <c r="E38">
        <v>0</v>
      </c>
    </row>
    <row r="39" spans="1:5" x14ac:dyDescent="0.25">
      <c r="A39" s="396" t="s">
        <v>64</v>
      </c>
      <c r="B39">
        <v>0</v>
      </c>
      <c r="C39">
        <v>14</v>
      </c>
      <c r="D39">
        <v>14</v>
      </c>
      <c r="E39">
        <v>0</v>
      </c>
    </row>
    <row r="40" spans="1:5" x14ac:dyDescent="0.25">
      <c r="A40" s="396" t="s">
        <v>36</v>
      </c>
      <c r="B40">
        <v>0</v>
      </c>
      <c r="C40">
        <v>8</v>
      </c>
      <c r="D40">
        <v>14</v>
      </c>
      <c r="E40">
        <v>0</v>
      </c>
    </row>
    <row r="41" spans="1:5" x14ac:dyDescent="0.25">
      <c r="A41" s="396" t="s">
        <v>65</v>
      </c>
      <c r="B41">
        <v>0</v>
      </c>
      <c r="C41">
        <v>14</v>
      </c>
      <c r="D41">
        <v>9</v>
      </c>
      <c r="E41">
        <v>0</v>
      </c>
    </row>
    <row r="42" spans="1:5" x14ac:dyDescent="0.25">
      <c r="A42" s="396" t="s">
        <v>66</v>
      </c>
      <c r="B42">
        <v>0</v>
      </c>
      <c r="C42">
        <v>13</v>
      </c>
      <c r="D42">
        <v>12</v>
      </c>
      <c r="E42">
        <v>0</v>
      </c>
    </row>
    <row r="43" spans="1:5" x14ac:dyDescent="0.25">
      <c r="A43" s="396" t="s">
        <v>67</v>
      </c>
      <c r="B43">
        <v>0</v>
      </c>
      <c r="C43">
        <v>10</v>
      </c>
      <c r="D43">
        <v>16</v>
      </c>
      <c r="E43">
        <v>0</v>
      </c>
    </row>
    <row r="44" spans="1:5" x14ac:dyDescent="0.25">
      <c r="A44" s="396" t="s">
        <v>68</v>
      </c>
      <c r="B44">
        <v>0</v>
      </c>
      <c r="C44">
        <v>10</v>
      </c>
      <c r="D44">
        <v>8</v>
      </c>
      <c r="E44">
        <v>0</v>
      </c>
    </row>
    <row r="45" spans="1:5" x14ac:dyDescent="0.25">
      <c r="A45" s="396" t="s">
        <v>165</v>
      </c>
      <c r="B45">
        <v>0</v>
      </c>
      <c r="C45">
        <v>11</v>
      </c>
      <c r="D45">
        <v>16</v>
      </c>
      <c r="E45">
        <v>0</v>
      </c>
    </row>
    <row r="46" spans="1:5" x14ac:dyDescent="0.25">
      <c r="A46" s="396" t="s">
        <v>69</v>
      </c>
      <c r="B46">
        <v>0</v>
      </c>
      <c r="C46">
        <v>9</v>
      </c>
      <c r="D46">
        <v>10</v>
      </c>
      <c r="E46">
        <v>0</v>
      </c>
    </row>
    <row r="47" spans="1:5" x14ac:dyDescent="0.25">
      <c r="A47" s="396" t="s">
        <v>117</v>
      </c>
      <c r="B47">
        <v>0</v>
      </c>
      <c r="C47">
        <v>13</v>
      </c>
      <c r="D47">
        <v>10</v>
      </c>
      <c r="E47">
        <v>0</v>
      </c>
    </row>
    <row r="48" spans="1:5" x14ac:dyDescent="0.25">
      <c r="A48" s="396" t="s">
        <v>70</v>
      </c>
      <c r="B48">
        <v>0</v>
      </c>
      <c r="C48">
        <v>17</v>
      </c>
      <c r="D48">
        <v>6</v>
      </c>
      <c r="E48">
        <v>0</v>
      </c>
    </row>
    <row r="49" spans="1:5" x14ac:dyDescent="0.25">
      <c r="A49" s="396" t="s">
        <v>1040</v>
      </c>
      <c r="B49">
        <v>0</v>
      </c>
      <c r="C49">
        <v>14</v>
      </c>
      <c r="D49">
        <v>13</v>
      </c>
      <c r="E49">
        <v>0</v>
      </c>
    </row>
    <row r="50" spans="1:5" x14ac:dyDescent="0.25">
      <c r="A50" s="396" t="s">
        <v>762</v>
      </c>
      <c r="B50">
        <v>0</v>
      </c>
      <c r="C50">
        <v>14</v>
      </c>
      <c r="D50">
        <v>19</v>
      </c>
      <c r="E50">
        <v>0</v>
      </c>
    </row>
    <row r="51" spans="1:5" x14ac:dyDescent="0.25">
      <c r="A51" s="396" t="s">
        <v>71</v>
      </c>
      <c r="B51">
        <v>0</v>
      </c>
      <c r="C51">
        <v>11</v>
      </c>
      <c r="D51">
        <v>0</v>
      </c>
      <c r="E51">
        <v>0</v>
      </c>
    </row>
    <row r="52" spans="1:5" x14ac:dyDescent="0.25">
      <c r="A52" s="395" t="s">
        <v>833</v>
      </c>
      <c r="B52">
        <v>0</v>
      </c>
      <c r="C52">
        <v>174</v>
      </c>
      <c r="D52">
        <v>153</v>
      </c>
      <c r="E52">
        <v>0</v>
      </c>
    </row>
    <row r="53" spans="1:5" x14ac:dyDescent="0.25">
      <c r="A53" s="395" t="s">
        <v>234</v>
      </c>
    </row>
    <row r="54" spans="1:5" x14ac:dyDescent="0.25">
      <c r="A54" s="396" t="s">
        <v>164</v>
      </c>
      <c r="B54">
        <v>0</v>
      </c>
      <c r="C54">
        <v>8</v>
      </c>
      <c r="D54">
        <v>21</v>
      </c>
      <c r="E54">
        <v>0</v>
      </c>
    </row>
    <row r="55" spans="1:5" x14ac:dyDescent="0.25">
      <c r="A55" s="396" t="s">
        <v>162</v>
      </c>
      <c r="B55">
        <v>0</v>
      </c>
      <c r="C55">
        <v>12</v>
      </c>
      <c r="D55">
        <v>40</v>
      </c>
      <c r="E55">
        <v>0</v>
      </c>
    </row>
    <row r="56" spans="1:5" x14ac:dyDescent="0.25">
      <c r="A56" s="396" t="s">
        <v>163</v>
      </c>
      <c r="B56">
        <v>0</v>
      </c>
      <c r="C56">
        <v>13</v>
      </c>
      <c r="D56">
        <v>46</v>
      </c>
      <c r="E56">
        <v>1</v>
      </c>
    </row>
    <row r="57" spans="1:5" x14ac:dyDescent="0.25">
      <c r="A57" s="395" t="s">
        <v>834</v>
      </c>
      <c r="B57">
        <v>0</v>
      </c>
      <c r="C57">
        <v>33</v>
      </c>
      <c r="D57">
        <v>107</v>
      </c>
      <c r="E57">
        <v>1</v>
      </c>
    </row>
    <row r="58" spans="1:5" x14ac:dyDescent="0.25">
      <c r="A58" s="395" t="s">
        <v>235</v>
      </c>
    </row>
    <row r="59" spans="1:5" x14ac:dyDescent="0.25">
      <c r="A59" s="396" t="s">
        <v>244</v>
      </c>
      <c r="B59">
        <v>0</v>
      </c>
      <c r="C59">
        <v>56</v>
      </c>
      <c r="D59">
        <v>28</v>
      </c>
      <c r="E59">
        <v>0</v>
      </c>
    </row>
    <row r="60" spans="1:5" x14ac:dyDescent="0.25">
      <c r="A60" s="395" t="s">
        <v>835</v>
      </c>
      <c r="B60">
        <v>0</v>
      </c>
      <c r="C60">
        <v>56</v>
      </c>
      <c r="D60">
        <v>28</v>
      </c>
      <c r="E60">
        <v>0</v>
      </c>
    </row>
    <row r="61" spans="1:5" x14ac:dyDescent="0.25">
      <c r="A61" s="395" t="s">
        <v>236</v>
      </c>
      <c r="B61">
        <v>2823</v>
      </c>
      <c r="C61">
        <v>263</v>
      </c>
      <c r="D61">
        <v>335</v>
      </c>
      <c r="E61">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39997558519241921"/>
  </sheetPr>
  <dimension ref="A1:H312"/>
  <sheetViews>
    <sheetView topLeftCell="A2" workbookViewId="0">
      <selection activeCell="C12" sqref="C12"/>
    </sheetView>
  </sheetViews>
  <sheetFormatPr defaultRowHeight="15" x14ac:dyDescent="0.25"/>
  <cols>
    <col min="1" max="1" width="7.42578125" bestFit="1" customWidth="1"/>
    <col min="2" max="2" width="15.5703125" bestFit="1" customWidth="1"/>
    <col min="3" max="3" width="54.42578125" bestFit="1" customWidth="1"/>
    <col min="4" max="4" width="9.7109375" bestFit="1" customWidth="1"/>
    <col min="5" max="5" width="20.42578125" bestFit="1" customWidth="1"/>
    <col min="6" max="6" width="26.140625" bestFit="1" customWidth="1"/>
    <col min="7" max="7" width="13.85546875" bestFit="1" customWidth="1"/>
    <col min="8" max="8" width="10.140625" bestFit="1" customWidth="1"/>
  </cols>
  <sheetData>
    <row r="1" spans="1:8" x14ac:dyDescent="0.25">
      <c r="A1" t="s">
        <v>1</v>
      </c>
      <c r="B1" t="s">
        <v>982</v>
      </c>
      <c r="C1" t="s">
        <v>983</v>
      </c>
      <c r="D1" t="s">
        <v>242</v>
      </c>
      <c r="E1" t="s">
        <v>767</v>
      </c>
      <c r="F1" t="s">
        <v>768</v>
      </c>
      <c r="G1" t="s">
        <v>770</v>
      </c>
      <c r="H1" t="s">
        <v>771</v>
      </c>
    </row>
    <row r="2" spans="1:8" x14ac:dyDescent="0.25">
      <c r="A2" t="s">
        <v>239</v>
      </c>
      <c r="B2" t="s">
        <v>232</v>
      </c>
      <c r="C2" t="s">
        <v>45</v>
      </c>
      <c r="D2" t="s">
        <v>274</v>
      </c>
      <c r="E2">
        <v>72</v>
      </c>
      <c r="F2">
        <v>0</v>
      </c>
      <c r="G2">
        <v>0</v>
      </c>
      <c r="H2">
        <v>0</v>
      </c>
    </row>
    <row r="3" spans="1:8" x14ac:dyDescent="0.25">
      <c r="A3" t="s">
        <v>239</v>
      </c>
      <c r="B3" t="s">
        <v>232</v>
      </c>
      <c r="C3" t="s">
        <v>50</v>
      </c>
      <c r="D3" t="s">
        <v>294</v>
      </c>
      <c r="E3">
        <v>166</v>
      </c>
      <c r="F3">
        <v>0</v>
      </c>
      <c r="G3">
        <v>0</v>
      </c>
      <c r="H3">
        <v>0</v>
      </c>
    </row>
    <row r="4" spans="1:8" x14ac:dyDescent="0.25">
      <c r="A4" t="s">
        <v>239</v>
      </c>
      <c r="B4" t="s">
        <v>232</v>
      </c>
      <c r="C4" t="s">
        <v>52</v>
      </c>
      <c r="D4" t="s">
        <v>945</v>
      </c>
      <c r="E4">
        <v>69</v>
      </c>
      <c r="F4">
        <v>0</v>
      </c>
      <c r="G4">
        <v>0</v>
      </c>
      <c r="H4">
        <v>0</v>
      </c>
    </row>
    <row r="5" spans="1:8" x14ac:dyDescent="0.25">
      <c r="A5" t="s">
        <v>760</v>
      </c>
      <c r="B5" t="s">
        <v>232</v>
      </c>
      <c r="C5" t="s">
        <v>43</v>
      </c>
      <c r="D5" t="s">
        <v>361</v>
      </c>
      <c r="E5">
        <v>269</v>
      </c>
      <c r="F5">
        <v>0</v>
      </c>
      <c r="G5">
        <v>0</v>
      </c>
      <c r="H5">
        <v>0</v>
      </c>
    </row>
    <row r="6" spans="1:8" x14ac:dyDescent="0.25">
      <c r="A6" t="s">
        <v>917</v>
      </c>
      <c r="B6" t="s">
        <v>232</v>
      </c>
      <c r="C6" t="s">
        <v>50</v>
      </c>
      <c r="D6" t="s">
        <v>362</v>
      </c>
      <c r="E6">
        <v>160</v>
      </c>
      <c r="F6">
        <v>0</v>
      </c>
      <c r="G6">
        <v>0</v>
      </c>
      <c r="H6">
        <v>0</v>
      </c>
    </row>
    <row r="7" spans="1:8" x14ac:dyDescent="0.25">
      <c r="A7" t="s">
        <v>917</v>
      </c>
      <c r="B7" t="s">
        <v>233</v>
      </c>
      <c r="C7" t="s">
        <v>64</v>
      </c>
      <c r="D7" t="s">
        <v>362</v>
      </c>
      <c r="E7">
        <v>0</v>
      </c>
      <c r="F7">
        <v>11</v>
      </c>
      <c r="G7">
        <v>15</v>
      </c>
      <c r="H7">
        <v>0</v>
      </c>
    </row>
    <row r="8" spans="1:8" x14ac:dyDescent="0.25">
      <c r="A8" t="s">
        <v>917</v>
      </c>
      <c r="B8" t="s">
        <v>233</v>
      </c>
      <c r="C8" t="s">
        <v>69</v>
      </c>
      <c r="D8" t="s">
        <v>361</v>
      </c>
      <c r="E8">
        <v>0</v>
      </c>
      <c r="F8">
        <v>8</v>
      </c>
      <c r="G8">
        <v>11</v>
      </c>
      <c r="H8">
        <v>0</v>
      </c>
    </row>
    <row r="9" spans="1:8" x14ac:dyDescent="0.25">
      <c r="A9" t="s">
        <v>917</v>
      </c>
      <c r="B9" t="s">
        <v>233</v>
      </c>
      <c r="C9" t="s">
        <v>50</v>
      </c>
      <c r="D9" t="s">
        <v>362</v>
      </c>
      <c r="E9">
        <v>0</v>
      </c>
      <c r="F9">
        <v>8</v>
      </c>
      <c r="G9">
        <v>7</v>
      </c>
      <c r="H9">
        <v>0</v>
      </c>
    </row>
    <row r="10" spans="1:8" x14ac:dyDescent="0.25">
      <c r="A10" t="s">
        <v>1010</v>
      </c>
      <c r="B10" t="s">
        <v>232</v>
      </c>
      <c r="C10" t="s">
        <v>31</v>
      </c>
      <c r="E10">
        <v>154</v>
      </c>
      <c r="F10">
        <v>0</v>
      </c>
      <c r="G10">
        <v>0</v>
      </c>
      <c r="H10">
        <v>0</v>
      </c>
    </row>
    <row r="11" spans="1:8" x14ac:dyDescent="0.25">
      <c r="A11" t="s">
        <v>1010</v>
      </c>
      <c r="B11" t="s">
        <v>232</v>
      </c>
      <c r="C11" t="s">
        <v>47</v>
      </c>
      <c r="E11">
        <v>30</v>
      </c>
      <c r="F11">
        <v>0</v>
      </c>
      <c r="G11">
        <v>0</v>
      </c>
      <c r="H11">
        <v>0</v>
      </c>
    </row>
    <row r="12" spans="1:8" x14ac:dyDescent="0.25">
      <c r="A12" t="s">
        <v>1010</v>
      </c>
      <c r="B12" t="s">
        <v>233</v>
      </c>
      <c r="C12" t="s">
        <v>64</v>
      </c>
      <c r="E12">
        <v>0</v>
      </c>
      <c r="F12">
        <v>13</v>
      </c>
      <c r="G12">
        <v>15</v>
      </c>
      <c r="H12">
        <v>0</v>
      </c>
    </row>
    <row r="13" spans="1:8" x14ac:dyDescent="0.25">
      <c r="A13" t="s">
        <v>1010</v>
      </c>
      <c r="B13" t="s">
        <v>233</v>
      </c>
      <c r="C13" t="s">
        <v>66</v>
      </c>
      <c r="E13">
        <v>0</v>
      </c>
      <c r="F13">
        <v>15</v>
      </c>
      <c r="G13">
        <v>12</v>
      </c>
      <c r="H13">
        <v>0</v>
      </c>
    </row>
    <row r="14" spans="1:8" x14ac:dyDescent="0.25">
      <c r="A14" t="s">
        <v>1010</v>
      </c>
      <c r="B14" t="s">
        <v>233</v>
      </c>
      <c r="C14" t="s">
        <v>69</v>
      </c>
      <c r="D14" t="s">
        <v>361</v>
      </c>
      <c r="E14">
        <v>0</v>
      </c>
      <c r="F14">
        <v>0</v>
      </c>
      <c r="G14">
        <v>2</v>
      </c>
      <c r="H14">
        <v>0</v>
      </c>
    </row>
    <row r="15" spans="1:8" x14ac:dyDescent="0.25">
      <c r="A15" t="s">
        <v>1061</v>
      </c>
      <c r="B15" t="s">
        <v>232</v>
      </c>
      <c r="C15" t="s">
        <v>33</v>
      </c>
      <c r="E15">
        <v>24</v>
      </c>
      <c r="F15">
        <v>0</v>
      </c>
      <c r="G15">
        <v>0</v>
      </c>
      <c r="H15">
        <v>0</v>
      </c>
    </row>
    <row r="16" spans="1:8" x14ac:dyDescent="0.25">
      <c r="A16" t="s">
        <v>1061</v>
      </c>
      <c r="B16" t="s">
        <v>232</v>
      </c>
      <c r="C16" t="s">
        <v>34</v>
      </c>
      <c r="E16">
        <v>50</v>
      </c>
      <c r="F16">
        <v>0</v>
      </c>
      <c r="G16">
        <v>0</v>
      </c>
      <c r="H16">
        <v>0</v>
      </c>
    </row>
    <row r="17" spans="1:8" x14ac:dyDescent="0.25">
      <c r="A17" t="s">
        <v>1061</v>
      </c>
      <c r="B17" t="s">
        <v>232</v>
      </c>
      <c r="C17" t="s">
        <v>984</v>
      </c>
      <c r="E17">
        <v>51</v>
      </c>
      <c r="F17">
        <v>0</v>
      </c>
      <c r="G17">
        <v>0</v>
      </c>
      <c r="H17">
        <v>0</v>
      </c>
    </row>
    <row r="18" spans="1:8" x14ac:dyDescent="0.25">
      <c r="A18" t="s">
        <v>1061</v>
      </c>
      <c r="B18" t="s">
        <v>232</v>
      </c>
      <c r="C18" t="s">
        <v>39</v>
      </c>
      <c r="E18">
        <v>71</v>
      </c>
      <c r="F18">
        <v>0</v>
      </c>
      <c r="G18">
        <v>0</v>
      </c>
      <c r="H18">
        <v>0</v>
      </c>
    </row>
    <row r="19" spans="1:8" x14ac:dyDescent="0.25">
      <c r="A19" t="s">
        <v>1061</v>
      </c>
      <c r="B19" t="s">
        <v>232</v>
      </c>
      <c r="C19" t="s">
        <v>40</v>
      </c>
      <c r="D19" t="s">
        <v>361</v>
      </c>
      <c r="E19">
        <v>24</v>
      </c>
      <c r="F19">
        <v>0</v>
      </c>
      <c r="G19">
        <v>0</v>
      </c>
      <c r="H19">
        <v>0</v>
      </c>
    </row>
    <row r="20" spans="1:8" x14ac:dyDescent="0.25">
      <c r="A20" t="s">
        <v>1061</v>
      </c>
      <c r="B20" t="s">
        <v>232</v>
      </c>
      <c r="C20" t="s">
        <v>117</v>
      </c>
      <c r="E20">
        <v>481</v>
      </c>
      <c r="F20">
        <v>0</v>
      </c>
      <c r="G20">
        <v>10</v>
      </c>
      <c r="H20">
        <v>0</v>
      </c>
    </row>
    <row r="21" spans="1:8" x14ac:dyDescent="0.25">
      <c r="A21" t="s">
        <v>1061</v>
      </c>
      <c r="B21" t="s">
        <v>232</v>
      </c>
      <c r="C21" t="s">
        <v>49</v>
      </c>
      <c r="E21">
        <v>75</v>
      </c>
      <c r="F21">
        <v>0</v>
      </c>
      <c r="G21">
        <v>0</v>
      </c>
      <c r="H21">
        <v>0</v>
      </c>
    </row>
    <row r="22" spans="1:8" x14ac:dyDescent="0.25">
      <c r="A22" t="s">
        <v>1061</v>
      </c>
      <c r="B22" t="s">
        <v>233</v>
      </c>
      <c r="C22" t="s">
        <v>117</v>
      </c>
      <c r="E22">
        <v>0</v>
      </c>
      <c r="F22">
        <v>14</v>
      </c>
      <c r="G22">
        <v>9</v>
      </c>
      <c r="H22">
        <v>0</v>
      </c>
    </row>
    <row r="23" spans="1:8" x14ac:dyDescent="0.25">
      <c r="A23" t="s">
        <v>1061</v>
      </c>
      <c r="B23" t="s">
        <v>234</v>
      </c>
      <c r="C23" t="s">
        <v>162</v>
      </c>
      <c r="E23">
        <v>0</v>
      </c>
      <c r="F23">
        <v>11</v>
      </c>
      <c r="G23">
        <v>34</v>
      </c>
      <c r="H23">
        <v>25</v>
      </c>
    </row>
    <row r="24" spans="1:8" x14ac:dyDescent="0.25">
      <c r="A24" t="s">
        <v>1108</v>
      </c>
      <c r="B24" t="s">
        <v>232</v>
      </c>
      <c r="C24" t="s">
        <v>32</v>
      </c>
      <c r="E24">
        <v>28</v>
      </c>
      <c r="F24">
        <v>0</v>
      </c>
      <c r="G24">
        <v>0</v>
      </c>
      <c r="H24">
        <v>0</v>
      </c>
    </row>
    <row r="25" spans="1:8" x14ac:dyDescent="0.25">
      <c r="A25" t="s">
        <v>1108</v>
      </c>
      <c r="B25" t="s">
        <v>232</v>
      </c>
      <c r="C25" t="s">
        <v>38</v>
      </c>
      <c r="E25">
        <v>47</v>
      </c>
      <c r="F25">
        <v>0</v>
      </c>
      <c r="G25">
        <v>1</v>
      </c>
      <c r="H25">
        <v>0</v>
      </c>
    </row>
    <row r="26" spans="1:8" x14ac:dyDescent="0.25">
      <c r="A26" t="s">
        <v>1108</v>
      </c>
      <c r="B26" t="s">
        <v>232</v>
      </c>
      <c r="C26" t="s">
        <v>50</v>
      </c>
      <c r="E26">
        <v>167</v>
      </c>
      <c r="F26">
        <v>0</v>
      </c>
      <c r="G26">
        <v>2</v>
      </c>
      <c r="H26">
        <v>0</v>
      </c>
    </row>
    <row r="27" spans="1:8" x14ac:dyDescent="0.25">
      <c r="A27" t="s">
        <v>1108</v>
      </c>
      <c r="B27" t="s">
        <v>232</v>
      </c>
      <c r="C27" t="s">
        <v>53</v>
      </c>
      <c r="E27">
        <v>102</v>
      </c>
      <c r="F27">
        <v>0</v>
      </c>
      <c r="G27">
        <v>0</v>
      </c>
      <c r="H27">
        <v>0</v>
      </c>
    </row>
    <row r="28" spans="1:8" x14ac:dyDescent="0.25">
      <c r="A28" t="s">
        <v>1108</v>
      </c>
      <c r="B28" t="s">
        <v>232</v>
      </c>
      <c r="C28" t="s">
        <v>59</v>
      </c>
      <c r="E28">
        <v>75</v>
      </c>
      <c r="F28">
        <v>0</v>
      </c>
      <c r="G28">
        <v>0</v>
      </c>
      <c r="H28">
        <v>0</v>
      </c>
    </row>
    <row r="29" spans="1:8" x14ac:dyDescent="0.25">
      <c r="A29" t="s">
        <v>1108</v>
      </c>
      <c r="B29" t="s">
        <v>234</v>
      </c>
      <c r="C29" t="s">
        <v>164</v>
      </c>
      <c r="D29" t="s">
        <v>361</v>
      </c>
      <c r="E29">
        <v>0</v>
      </c>
      <c r="F29">
        <v>8</v>
      </c>
      <c r="G29">
        <v>21</v>
      </c>
      <c r="H29">
        <v>0</v>
      </c>
    </row>
    <row r="30" spans="1:8" x14ac:dyDescent="0.25">
      <c r="A30" t="s">
        <v>239</v>
      </c>
      <c r="B30" t="s">
        <v>232</v>
      </c>
      <c r="C30" t="s">
        <v>53</v>
      </c>
      <c r="D30" t="s">
        <v>289</v>
      </c>
      <c r="E30">
        <v>99</v>
      </c>
      <c r="F30">
        <v>0</v>
      </c>
      <c r="G30">
        <v>0</v>
      </c>
      <c r="H30">
        <v>0</v>
      </c>
    </row>
    <row r="31" spans="1:8" x14ac:dyDescent="0.25">
      <c r="A31" t="s">
        <v>239</v>
      </c>
      <c r="B31" t="s">
        <v>232</v>
      </c>
      <c r="C31" t="s">
        <v>60</v>
      </c>
      <c r="D31" t="s">
        <v>361</v>
      </c>
      <c r="E31">
        <v>56</v>
      </c>
      <c r="F31">
        <v>0</v>
      </c>
      <c r="G31">
        <v>0</v>
      </c>
      <c r="H31">
        <v>0</v>
      </c>
    </row>
    <row r="32" spans="1:8" x14ac:dyDescent="0.25">
      <c r="A32" t="s">
        <v>239</v>
      </c>
      <c r="B32" t="s">
        <v>233</v>
      </c>
      <c r="C32" t="s">
        <v>165</v>
      </c>
      <c r="D32" t="s">
        <v>361</v>
      </c>
      <c r="E32">
        <v>0</v>
      </c>
      <c r="F32">
        <v>10</v>
      </c>
      <c r="G32">
        <v>20</v>
      </c>
      <c r="H32">
        <v>0</v>
      </c>
    </row>
    <row r="33" spans="1:8" x14ac:dyDescent="0.25">
      <c r="A33" t="s">
        <v>760</v>
      </c>
      <c r="B33" t="s">
        <v>232</v>
      </c>
      <c r="C33" t="s">
        <v>37</v>
      </c>
      <c r="D33" t="s">
        <v>363</v>
      </c>
      <c r="E33">
        <v>182</v>
      </c>
      <c r="F33">
        <v>0</v>
      </c>
      <c r="G33">
        <v>0</v>
      </c>
      <c r="H33">
        <v>0</v>
      </c>
    </row>
    <row r="34" spans="1:8" x14ac:dyDescent="0.25">
      <c r="A34" t="s">
        <v>760</v>
      </c>
      <c r="B34" t="s">
        <v>232</v>
      </c>
      <c r="C34" t="s">
        <v>70</v>
      </c>
      <c r="D34" t="s">
        <v>363</v>
      </c>
      <c r="E34">
        <v>71</v>
      </c>
      <c r="F34">
        <v>0</v>
      </c>
      <c r="G34">
        <v>0</v>
      </c>
      <c r="H34">
        <v>0</v>
      </c>
    </row>
    <row r="35" spans="1:8" x14ac:dyDescent="0.25">
      <c r="A35" t="s">
        <v>760</v>
      </c>
      <c r="B35" t="s">
        <v>232</v>
      </c>
      <c r="C35" t="s">
        <v>45</v>
      </c>
      <c r="D35" t="s">
        <v>362</v>
      </c>
      <c r="E35">
        <v>70</v>
      </c>
      <c r="F35">
        <v>0</v>
      </c>
      <c r="G35">
        <v>0</v>
      </c>
      <c r="H35">
        <v>0</v>
      </c>
    </row>
    <row r="36" spans="1:8" x14ac:dyDescent="0.25">
      <c r="A36" t="s">
        <v>760</v>
      </c>
      <c r="B36" t="s">
        <v>232</v>
      </c>
      <c r="C36" t="s">
        <v>50</v>
      </c>
      <c r="D36" t="s">
        <v>362</v>
      </c>
      <c r="E36">
        <v>163</v>
      </c>
      <c r="F36">
        <v>0</v>
      </c>
      <c r="G36">
        <v>0</v>
      </c>
      <c r="H36">
        <v>0</v>
      </c>
    </row>
    <row r="37" spans="1:8" x14ac:dyDescent="0.25">
      <c r="A37" t="s">
        <v>760</v>
      </c>
      <c r="B37" t="s">
        <v>232</v>
      </c>
      <c r="C37" t="s">
        <v>53</v>
      </c>
      <c r="D37" t="s">
        <v>362</v>
      </c>
      <c r="E37">
        <v>102</v>
      </c>
      <c r="F37">
        <v>0</v>
      </c>
      <c r="G37">
        <v>0</v>
      </c>
      <c r="H37">
        <v>0</v>
      </c>
    </row>
    <row r="38" spans="1:8" x14ac:dyDescent="0.25">
      <c r="A38" t="s">
        <v>760</v>
      </c>
      <c r="B38" t="s">
        <v>232</v>
      </c>
      <c r="C38" t="s">
        <v>59</v>
      </c>
      <c r="D38" t="s">
        <v>362</v>
      </c>
      <c r="E38">
        <v>73</v>
      </c>
      <c r="F38">
        <v>0</v>
      </c>
      <c r="G38">
        <v>0</v>
      </c>
      <c r="H38">
        <v>0</v>
      </c>
    </row>
    <row r="39" spans="1:8" x14ac:dyDescent="0.25">
      <c r="A39" t="s">
        <v>760</v>
      </c>
      <c r="B39" t="s">
        <v>233</v>
      </c>
      <c r="C39" t="s">
        <v>69</v>
      </c>
      <c r="D39" t="s">
        <v>361</v>
      </c>
      <c r="E39">
        <v>0</v>
      </c>
      <c r="F39">
        <v>9</v>
      </c>
      <c r="G39">
        <v>10</v>
      </c>
      <c r="H39">
        <v>0</v>
      </c>
    </row>
    <row r="40" spans="1:8" x14ac:dyDescent="0.25">
      <c r="A40" t="s">
        <v>760</v>
      </c>
      <c r="B40" t="s">
        <v>233</v>
      </c>
      <c r="C40" t="s">
        <v>762</v>
      </c>
      <c r="D40" t="s">
        <v>361</v>
      </c>
      <c r="E40">
        <v>0</v>
      </c>
      <c r="F40">
        <v>9</v>
      </c>
      <c r="G40">
        <v>10</v>
      </c>
      <c r="H40">
        <v>0</v>
      </c>
    </row>
    <row r="41" spans="1:8" x14ac:dyDescent="0.25">
      <c r="A41" t="s">
        <v>917</v>
      </c>
      <c r="B41" t="s">
        <v>232</v>
      </c>
      <c r="C41" t="s">
        <v>984</v>
      </c>
      <c r="D41" t="s">
        <v>362</v>
      </c>
      <c r="E41">
        <v>51</v>
      </c>
      <c r="F41">
        <v>0</v>
      </c>
      <c r="G41">
        <v>0</v>
      </c>
      <c r="H41">
        <v>0</v>
      </c>
    </row>
    <row r="42" spans="1:8" x14ac:dyDescent="0.25">
      <c r="A42" t="s">
        <v>917</v>
      </c>
      <c r="B42" t="s">
        <v>232</v>
      </c>
      <c r="C42" t="s">
        <v>39</v>
      </c>
      <c r="D42" t="s">
        <v>362</v>
      </c>
      <c r="E42">
        <v>76</v>
      </c>
      <c r="F42">
        <v>0</v>
      </c>
      <c r="G42">
        <v>0</v>
      </c>
      <c r="H42">
        <v>0</v>
      </c>
    </row>
    <row r="43" spans="1:8" x14ac:dyDescent="0.25">
      <c r="A43" t="s">
        <v>917</v>
      </c>
      <c r="B43" t="s">
        <v>232</v>
      </c>
      <c r="C43" t="s">
        <v>40</v>
      </c>
      <c r="D43" t="s">
        <v>361</v>
      </c>
      <c r="E43">
        <v>26</v>
      </c>
      <c r="F43">
        <v>0</v>
      </c>
      <c r="G43">
        <v>0</v>
      </c>
      <c r="H43">
        <v>0</v>
      </c>
    </row>
    <row r="44" spans="1:8" x14ac:dyDescent="0.25">
      <c r="A44" t="s">
        <v>917</v>
      </c>
      <c r="B44" t="s">
        <v>232</v>
      </c>
      <c r="C44" t="s">
        <v>49</v>
      </c>
      <c r="D44" t="s">
        <v>362</v>
      </c>
      <c r="E44">
        <v>75</v>
      </c>
      <c r="F44">
        <v>0</v>
      </c>
      <c r="G44">
        <v>0</v>
      </c>
      <c r="H44">
        <v>0</v>
      </c>
    </row>
    <row r="45" spans="1:8" x14ac:dyDescent="0.25">
      <c r="A45" t="s">
        <v>917</v>
      </c>
      <c r="B45" t="s">
        <v>233</v>
      </c>
      <c r="C45" t="s">
        <v>117</v>
      </c>
      <c r="D45" t="s">
        <v>362</v>
      </c>
      <c r="E45">
        <v>0</v>
      </c>
      <c r="F45">
        <v>15</v>
      </c>
      <c r="G45">
        <v>11</v>
      </c>
      <c r="H45">
        <v>0</v>
      </c>
    </row>
    <row r="46" spans="1:8" x14ac:dyDescent="0.25">
      <c r="A46" t="s">
        <v>917</v>
      </c>
      <c r="B46" t="s">
        <v>235</v>
      </c>
      <c r="C46" t="s">
        <v>244</v>
      </c>
      <c r="D46" t="s">
        <v>361</v>
      </c>
      <c r="E46">
        <v>0</v>
      </c>
      <c r="F46">
        <v>0</v>
      </c>
      <c r="G46">
        <v>6</v>
      </c>
      <c r="H46">
        <v>0</v>
      </c>
    </row>
    <row r="47" spans="1:8" x14ac:dyDescent="0.25">
      <c r="A47" t="s">
        <v>1010</v>
      </c>
      <c r="B47" t="s">
        <v>233</v>
      </c>
      <c r="C47" t="s">
        <v>165</v>
      </c>
      <c r="E47">
        <v>0</v>
      </c>
      <c r="F47">
        <v>9</v>
      </c>
      <c r="G47">
        <v>13</v>
      </c>
      <c r="H47">
        <v>0</v>
      </c>
    </row>
    <row r="48" spans="1:8" x14ac:dyDescent="0.25">
      <c r="A48" t="s">
        <v>1010</v>
      </c>
      <c r="B48" t="s">
        <v>235</v>
      </c>
      <c r="C48" t="s">
        <v>244</v>
      </c>
      <c r="D48" t="s">
        <v>361</v>
      </c>
      <c r="E48">
        <v>0</v>
      </c>
      <c r="F48">
        <v>0</v>
      </c>
      <c r="G48">
        <v>3</v>
      </c>
      <c r="H48">
        <v>0</v>
      </c>
    </row>
    <row r="49" spans="1:8" x14ac:dyDescent="0.25">
      <c r="A49" t="s">
        <v>1061</v>
      </c>
      <c r="B49" t="s">
        <v>232</v>
      </c>
      <c r="C49" t="s">
        <v>31</v>
      </c>
      <c r="E49">
        <v>150</v>
      </c>
      <c r="F49">
        <v>0</v>
      </c>
      <c r="G49">
        <v>5</v>
      </c>
      <c r="H49">
        <v>0</v>
      </c>
    </row>
    <row r="50" spans="1:8" x14ac:dyDescent="0.25">
      <c r="A50" t="s">
        <v>1061</v>
      </c>
      <c r="B50" t="s">
        <v>232</v>
      </c>
      <c r="C50" t="s">
        <v>35</v>
      </c>
      <c r="D50" t="s">
        <v>361</v>
      </c>
      <c r="E50">
        <v>24</v>
      </c>
      <c r="F50">
        <v>0</v>
      </c>
      <c r="G50">
        <v>1</v>
      </c>
      <c r="H50">
        <v>0</v>
      </c>
    </row>
    <row r="51" spans="1:8" x14ac:dyDescent="0.25">
      <c r="A51" t="s">
        <v>1061</v>
      </c>
      <c r="B51" t="s">
        <v>232</v>
      </c>
      <c r="C51" t="s">
        <v>45</v>
      </c>
      <c r="E51">
        <v>67</v>
      </c>
      <c r="F51">
        <v>0</v>
      </c>
      <c r="G51">
        <v>0</v>
      </c>
      <c r="H51">
        <v>0</v>
      </c>
    </row>
    <row r="52" spans="1:8" x14ac:dyDescent="0.25">
      <c r="A52" t="s">
        <v>1061</v>
      </c>
      <c r="B52" t="s">
        <v>232</v>
      </c>
      <c r="C52" t="s">
        <v>60</v>
      </c>
      <c r="E52">
        <v>0</v>
      </c>
      <c r="F52">
        <v>0</v>
      </c>
      <c r="G52">
        <v>2</v>
      </c>
      <c r="H52">
        <v>0</v>
      </c>
    </row>
    <row r="53" spans="1:8" x14ac:dyDescent="0.25">
      <c r="A53" t="s">
        <v>1061</v>
      </c>
      <c r="B53" t="s">
        <v>233</v>
      </c>
      <c r="C53" t="s">
        <v>1038</v>
      </c>
      <c r="E53">
        <v>0</v>
      </c>
      <c r="F53">
        <v>15</v>
      </c>
      <c r="G53">
        <v>9</v>
      </c>
      <c r="H53">
        <v>0</v>
      </c>
    </row>
    <row r="54" spans="1:8" x14ac:dyDescent="0.25">
      <c r="A54" t="s">
        <v>1061</v>
      </c>
      <c r="B54" t="s">
        <v>233</v>
      </c>
      <c r="C54" t="s">
        <v>65</v>
      </c>
      <c r="E54">
        <v>0</v>
      </c>
      <c r="F54">
        <v>12</v>
      </c>
      <c r="G54">
        <v>11</v>
      </c>
      <c r="H54">
        <v>0</v>
      </c>
    </row>
    <row r="55" spans="1:8" x14ac:dyDescent="0.25">
      <c r="A55" t="s">
        <v>1108</v>
      </c>
      <c r="B55" t="s">
        <v>232</v>
      </c>
      <c r="C55" t="s">
        <v>40</v>
      </c>
      <c r="D55" t="s">
        <v>361</v>
      </c>
      <c r="E55">
        <v>25</v>
      </c>
      <c r="F55">
        <v>0</v>
      </c>
      <c r="G55">
        <v>0</v>
      </c>
      <c r="H55">
        <v>0</v>
      </c>
    </row>
    <row r="56" spans="1:8" x14ac:dyDescent="0.25">
      <c r="A56" t="s">
        <v>1108</v>
      </c>
      <c r="B56" t="s">
        <v>232</v>
      </c>
      <c r="C56" t="s">
        <v>46</v>
      </c>
      <c r="D56" t="s">
        <v>361</v>
      </c>
      <c r="E56">
        <v>26</v>
      </c>
      <c r="F56">
        <v>0</v>
      </c>
      <c r="G56">
        <v>3</v>
      </c>
      <c r="H56">
        <v>0</v>
      </c>
    </row>
    <row r="57" spans="1:8" x14ac:dyDescent="0.25">
      <c r="A57" t="s">
        <v>1108</v>
      </c>
      <c r="B57" t="s">
        <v>233</v>
      </c>
      <c r="C57" t="s">
        <v>71</v>
      </c>
      <c r="E57">
        <v>0</v>
      </c>
      <c r="F57">
        <v>10</v>
      </c>
      <c r="G57">
        <v>0</v>
      </c>
      <c r="H57">
        <v>0</v>
      </c>
    </row>
    <row r="58" spans="1:8" x14ac:dyDescent="0.25">
      <c r="A58" t="s">
        <v>1108</v>
      </c>
      <c r="B58" t="s">
        <v>234</v>
      </c>
      <c r="C58" t="s">
        <v>162</v>
      </c>
      <c r="E58">
        <v>0</v>
      </c>
      <c r="F58">
        <v>12</v>
      </c>
      <c r="G58">
        <v>40</v>
      </c>
      <c r="H58">
        <v>0</v>
      </c>
    </row>
    <row r="59" spans="1:8" x14ac:dyDescent="0.25">
      <c r="A59" t="s">
        <v>1108</v>
      </c>
      <c r="B59" t="s">
        <v>235</v>
      </c>
      <c r="C59" t="s">
        <v>244</v>
      </c>
      <c r="D59" t="s">
        <v>347</v>
      </c>
      <c r="E59">
        <v>0</v>
      </c>
      <c r="F59">
        <v>56</v>
      </c>
      <c r="G59">
        <v>28</v>
      </c>
      <c r="H59">
        <v>0</v>
      </c>
    </row>
    <row r="60" spans="1:8" x14ac:dyDescent="0.25">
      <c r="A60" t="s">
        <v>239</v>
      </c>
      <c r="B60" t="s">
        <v>232</v>
      </c>
      <c r="C60" t="s">
        <v>984</v>
      </c>
      <c r="D60" t="s">
        <v>267</v>
      </c>
      <c r="E60">
        <v>53</v>
      </c>
      <c r="F60">
        <v>0</v>
      </c>
      <c r="G60">
        <v>0</v>
      </c>
      <c r="H60">
        <v>0</v>
      </c>
    </row>
    <row r="61" spans="1:8" x14ac:dyDescent="0.25">
      <c r="A61" t="s">
        <v>239</v>
      </c>
      <c r="B61" t="s">
        <v>232</v>
      </c>
      <c r="C61" t="s">
        <v>40</v>
      </c>
      <c r="D61" t="s">
        <v>361</v>
      </c>
      <c r="E61">
        <v>24</v>
      </c>
      <c r="F61">
        <v>0</v>
      </c>
      <c r="G61">
        <v>0</v>
      </c>
      <c r="H61">
        <v>0</v>
      </c>
    </row>
    <row r="62" spans="1:8" x14ac:dyDescent="0.25">
      <c r="A62" t="s">
        <v>239</v>
      </c>
      <c r="B62" t="s">
        <v>232</v>
      </c>
      <c r="C62" t="s">
        <v>70</v>
      </c>
      <c r="D62" t="s">
        <v>273</v>
      </c>
      <c r="E62">
        <v>70</v>
      </c>
      <c r="F62">
        <v>0</v>
      </c>
      <c r="G62">
        <v>0</v>
      </c>
      <c r="H62">
        <v>0</v>
      </c>
    </row>
    <row r="63" spans="1:8" x14ac:dyDescent="0.25">
      <c r="A63" t="s">
        <v>239</v>
      </c>
      <c r="B63" t="s">
        <v>232</v>
      </c>
      <c r="C63" t="s">
        <v>57</v>
      </c>
      <c r="D63" t="s">
        <v>283</v>
      </c>
      <c r="E63">
        <v>167</v>
      </c>
      <c r="F63">
        <v>0</v>
      </c>
      <c r="G63">
        <v>0</v>
      </c>
      <c r="H63">
        <v>0</v>
      </c>
    </row>
    <row r="64" spans="1:8" x14ac:dyDescent="0.25">
      <c r="A64" t="s">
        <v>239</v>
      </c>
      <c r="B64" t="s">
        <v>232</v>
      </c>
      <c r="C64" t="s">
        <v>59</v>
      </c>
      <c r="D64" t="s">
        <v>290</v>
      </c>
      <c r="E64">
        <v>73</v>
      </c>
      <c r="F64">
        <v>0</v>
      </c>
      <c r="G64">
        <v>0</v>
      </c>
      <c r="H64">
        <v>0</v>
      </c>
    </row>
    <row r="65" spans="1:8" x14ac:dyDescent="0.25">
      <c r="A65" t="s">
        <v>239</v>
      </c>
      <c r="B65" t="s">
        <v>233</v>
      </c>
      <c r="C65" t="s">
        <v>43</v>
      </c>
      <c r="D65" t="s">
        <v>361</v>
      </c>
      <c r="E65">
        <v>0</v>
      </c>
      <c r="F65">
        <v>8</v>
      </c>
      <c r="G65">
        <v>10</v>
      </c>
      <c r="H65">
        <v>0</v>
      </c>
    </row>
    <row r="66" spans="1:8" x14ac:dyDescent="0.25">
      <c r="A66" t="s">
        <v>239</v>
      </c>
      <c r="B66" t="s">
        <v>233</v>
      </c>
      <c r="C66" t="s">
        <v>71</v>
      </c>
      <c r="D66" t="s">
        <v>346</v>
      </c>
      <c r="E66">
        <v>0</v>
      </c>
      <c r="F66">
        <v>9</v>
      </c>
      <c r="G66">
        <v>7</v>
      </c>
      <c r="H66">
        <v>0</v>
      </c>
    </row>
    <row r="67" spans="1:8" x14ac:dyDescent="0.25">
      <c r="A67" t="s">
        <v>760</v>
      </c>
      <c r="B67" t="s">
        <v>232</v>
      </c>
      <c r="C67" t="s">
        <v>38</v>
      </c>
      <c r="D67" t="s">
        <v>362</v>
      </c>
      <c r="E67">
        <v>49</v>
      </c>
      <c r="F67">
        <v>0</v>
      </c>
      <c r="G67">
        <v>0</v>
      </c>
      <c r="H67">
        <v>0</v>
      </c>
    </row>
    <row r="68" spans="1:8" x14ac:dyDescent="0.25">
      <c r="A68" t="s">
        <v>760</v>
      </c>
      <c r="B68" t="s">
        <v>232</v>
      </c>
      <c r="C68" t="s">
        <v>52</v>
      </c>
      <c r="D68" t="s">
        <v>363</v>
      </c>
      <c r="E68">
        <v>67</v>
      </c>
      <c r="F68">
        <v>0</v>
      </c>
      <c r="G68">
        <v>0</v>
      </c>
      <c r="H68">
        <v>0</v>
      </c>
    </row>
    <row r="69" spans="1:8" x14ac:dyDescent="0.25">
      <c r="A69" t="s">
        <v>760</v>
      </c>
      <c r="B69" t="s">
        <v>233</v>
      </c>
      <c r="C69" t="s">
        <v>64</v>
      </c>
      <c r="D69" t="s">
        <v>362</v>
      </c>
      <c r="E69">
        <v>0</v>
      </c>
      <c r="F69">
        <v>12</v>
      </c>
      <c r="G69">
        <v>16</v>
      </c>
      <c r="H69">
        <v>0</v>
      </c>
    </row>
    <row r="70" spans="1:8" x14ac:dyDescent="0.25">
      <c r="A70" t="s">
        <v>760</v>
      </c>
      <c r="B70" t="s">
        <v>233</v>
      </c>
      <c r="C70" t="s">
        <v>65</v>
      </c>
      <c r="D70" t="s">
        <v>363</v>
      </c>
      <c r="E70">
        <v>0</v>
      </c>
      <c r="F70">
        <v>14</v>
      </c>
      <c r="G70">
        <v>17</v>
      </c>
      <c r="H70">
        <v>0</v>
      </c>
    </row>
    <row r="71" spans="1:8" x14ac:dyDescent="0.25">
      <c r="A71" t="s">
        <v>760</v>
      </c>
      <c r="B71" t="s">
        <v>233</v>
      </c>
      <c r="C71" t="s">
        <v>50</v>
      </c>
      <c r="D71" t="s">
        <v>362</v>
      </c>
      <c r="E71">
        <v>0</v>
      </c>
      <c r="F71">
        <v>8</v>
      </c>
      <c r="G71">
        <v>8</v>
      </c>
      <c r="H71">
        <v>0</v>
      </c>
    </row>
    <row r="72" spans="1:8" x14ac:dyDescent="0.25">
      <c r="A72" t="s">
        <v>760</v>
      </c>
      <c r="B72" t="s">
        <v>234</v>
      </c>
      <c r="C72" t="s">
        <v>163</v>
      </c>
      <c r="D72" t="s">
        <v>362</v>
      </c>
      <c r="E72">
        <v>0</v>
      </c>
      <c r="F72">
        <v>27</v>
      </c>
      <c r="G72">
        <v>76</v>
      </c>
      <c r="H72">
        <v>0</v>
      </c>
    </row>
    <row r="73" spans="1:8" x14ac:dyDescent="0.25">
      <c r="A73" t="s">
        <v>760</v>
      </c>
      <c r="B73" t="s">
        <v>235</v>
      </c>
      <c r="C73" t="s">
        <v>244</v>
      </c>
      <c r="D73" t="s">
        <v>347</v>
      </c>
      <c r="E73">
        <v>0</v>
      </c>
      <c r="F73">
        <v>34</v>
      </c>
      <c r="G73">
        <v>7</v>
      </c>
      <c r="H73">
        <v>49</v>
      </c>
    </row>
    <row r="74" spans="1:8" x14ac:dyDescent="0.25">
      <c r="A74" t="s">
        <v>917</v>
      </c>
      <c r="B74" t="s">
        <v>232</v>
      </c>
      <c r="C74" t="s">
        <v>41</v>
      </c>
      <c r="D74" t="s">
        <v>362</v>
      </c>
      <c r="E74">
        <v>48</v>
      </c>
      <c r="F74">
        <v>0</v>
      </c>
      <c r="G74">
        <v>0</v>
      </c>
      <c r="H74">
        <v>0</v>
      </c>
    </row>
    <row r="75" spans="1:8" x14ac:dyDescent="0.25">
      <c r="A75" t="s">
        <v>917</v>
      </c>
      <c r="B75" t="s">
        <v>233</v>
      </c>
      <c r="C75" t="s">
        <v>67</v>
      </c>
      <c r="D75" t="s">
        <v>361</v>
      </c>
      <c r="E75">
        <v>0</v>
      </c>
      <c r="F75">
        <v>11</v>
      </c>
      <c r="G75">
        <v>17</v>
      </c>
      <c r="H75">
        <v>0</v>
      </c>
    </row>
    <row r="76" spans="1:8" x14ac:dyDescent="0.25">
      <c r="A76" t="s">
        <v>1010</v>
      </c>
      <c r="B76" t="s">
        <v>232</v>
      </c>
      <c r="C76" t="s">
        <v>984</v>
      </c>
      <c r="E76">
        <v>50</v>
      </c>
      <c r="F76">
        <v>0</v>
      </c>
      <c r="G76">
        <v>0</v>
      </c>
      <c r="H76">
        <v>0</v>
      </c>
    </row>
    <row r="77" spans="1:8" x14ac:dyDescent="0.25">
      <c r="A77" t="s">
        <v>1010</v>
      </c>
      <c r="B77" t="s">
        <v>232</v>
      </c>
      <c r="C77" t="s">
        <v>37</v>
      </c>
      <c r="E77">
        <v>174</v>
      </c>
      <c r="F77">
        <v>0</v>
      </c>
      <c r="G77">
        <v>0</v>
      </c>
      <c r="H77">
        <v>0</v>
      </c>
    </row>
    <row r="78" spans="1:8" x14ac:dyDescent="0.25">
      <c r="A78" t="s">
        <v>1010</v>
      </c>
      <c r="B78" t="s">
        <v>232</v>
      </c>
      <c r="C78" t="s">
        <v>39</v>
      </c>
      <c r="E78">
        <v>75</v>
      </c>
      <c r="F78">
        <v>0</v>
      </c>
      <c r="G78">
        <v>0</v>
      </c>
      <c r="H78">
        <v>0</v>
      </c>
    </row>
    <row r="79" spans="1:8" x14ac:dyDescent="0.25">
      <c r="A79" t="s">
        <v>1010</v>
      </c>
      <c r="B79" t="s">
        <v>232</v>
      </c>
      <c r="C79" t="s">
        <v>40</v>
      </c>
      <c r="D79" t="s">
        <v>361</v>
      </c>
      <c r="E79">
        <v>24</v>
      </c>
      <c r="F79">
        <v>0</v>
      </c>
      <c r="G79">
        <v>0</v>
      </c>
      <c r="H79">
        <v>0</v>
      </c>
    </row>
    <row r="80" spans="1:8" x14ac:dyDescent="0.25">
      <c r="A80" t="s">
        <v>1010</v>
      </c>
      <c r="B80" t="s">
        <v>232</v>
      </c>
      <c r="C80" t="s">
        <v>41</v>
      </c>
      <c r="E80">
        <v>47</v>
      </c>
      <c r="F80">
        <v>0</v>
      </c>
      <c r="G80">
        <v>0</v>
      </c>
      <c r="H80">
        <v>0</v>
      </c>
    </row>
    <row r="81" spans="1:8" x14ac:dyDescent="0.25">
      <c r="A81" t="s">
        <v>1010</v>
      </c>
      <c r="B81" t="s">
        <v>232</v>
      </c>
      <c r="C81" t="s">
        <v>70</v>
      </c>
      <c r="E81">
        <v>70</v>
      </c>
      <c r="F81">
        <v>0</v>
      </c>
      <c r="G81">
        <v>0</v>
      </c>
      <c r="H81">
        <v>0</v>
      </c>
    </row>
    <row r="82" spans="1:8" x14ac:dyDescent="0.25">
      <c r="A82" t="s">
        <v>1010</v>
      </c>
      <c r="B82" t="s">
        <v>232</v>
      </c>
      <c r="C82" t="s">
        <v>52</v>
      </c>
      <c r="E82">
        <v>66</v>
      </c>
      <c r="F82">
        <v>0</v>
      </c>
      <c r="G82">
        <v>0</v>
      </c>
      <c r="H82">
        <v>0</v>
      </c>
    </row>
    <row r="83" spans="1:8" x14ac:dyDescent="0.25">
      <c r="A83" t="s">
        <v>1010</v>
      </c>
      <c r="B83" t="s">
        <v>232</v>
      </c>
      <c r="C83" t="s">
        <v>56</v>
      </c>
      <c r="E83">
        <v>47</v>
      </c>
      <c r="F83">
        <v>0</v>
      </c>
      <c r="G83">
        <v>0</v>
      </c>
      <c r="H83">
        <v>0</v>
      </c>
    </row>
    <row r="84" spans="1:8" x14ac:dyDescent="0.25">
      <c r="A84" t="s">
        <v>1010</v>
      </c>
      <c r="B84" t="s">
        <v>232</v>
      </c>
      <c r="C84" t="s">
        <v>58</v>
      </c>
      <c r="D84" t="s">
        <v>361</v>
      </c>
      <c r="E84">
        <v>48</v>
      </c>
      <c r="F84">
        <v>0</v>
      </c>
      <c r="G84">
        <v>0</v>
      </c>
      <c r="H84">
        <v>0</v>
      </c>
    </row>
    <row r="85" spans="1:8" x14ac:dyDescent="0.25">
      <c r="A85" t="s">
        <v>1010</v>
      </c>
      <c r="B85" t="s">
        <v>233</v>
      </c>
      <c r="C85" t="s">
        <v>70</v>
      </c>
      <c r="E85">
        <v>0</v>
      </c>
      <c r="F85">
        <v>15</v>
      </c>
      <c r="G85">
        <v>18</v>
      </c>
      <c r="H85">
        <v>0</v>
      </c>
    </row>
    <row r="86" spans="1:8" x14ac:dyDescent="0.25">
      <c r="A86" t="s">
        <v>1010</v>
      </c>
      <c r="B86" t="s">
        <v>233</v>
      </c>
      <c r="C86" t="s">
        <v>1040</v>
      </c>
      <c r="E86">
        <v>0</v>
      </c>
      <c r="F86">
        <v>15</v>
      </c>
      <c r="G86">
        <v>15</v>
      </c>
      <c r="H86">
        <v>0</v>
      </c>
    </row>
    <row r="87" spans="1:8" x14ac:dyDescent="0.25">
      <c r="A87" t="s">
        <v>1010</v>
      </c>
      <c r="B87" t="s">
        <v>233</v>
      </c>
      <c r="C87" t="s">
        <v>67</v>
      </c>
      <c r="E87">
        <v>0</v>
      </c>
      <c r="F87">
        <v>10</v>
      </c>
      <c r="G87">
        <v>12</v>
      </c>
      <c r="H87">
        <v>0</v>
      </c>
    </row>
    <row r="88" spans="1:8" x14ac:dyDescent="0.25">
      <c r="A88" t="s">
        <v>1010</v>
      </c>
      <c r="B88" t="s">
        <v>233</v>
      </c>
      <c r="C88" t="s">
        <v>762</v>
      </c>
      <c r="E88">
        <v>0</v>
      </c>
      <c r="F88">
        <v>14</v>
      </c>
      <c r="G88">
        <v>13</v>
      </c>
      <c r="H88">
        <v>0</v>
      </c>
    </row>
    <row r="89" spans="1:8" x14ac:dyDescent="0.25">
      <c r="A89" t="s">
        <v>1061</v>
      </c>
      <c r="B89" t="s">
        <v>232</v>
      </c>
      <c r="C89" t="s">
        <v>46</v>
      </c>
      <c r="D89" t="s">
        <v>361</v>
      </c>
      <c r="E89">
        <v>25</v>
      </c>
      <c r="F89">
        <v>0</v>
      </c>
      <c r="G89">
        <v>0</v>
      </c>
      <c r="H89">
        <v>0</v>
      </c>
    </row>
    <row r="90" spans="1:8" x14ac:dyDescent="0.25">
      <c r="A90" t="s">
        <v>1061</v>
      </c>
      <c r="B90" t="s">
        <v>232</v>
      </c>
      <c r="C90" t="s">
        <v>57</v>
      </c>
      <c r="E90">
        <v>164</v>
      </c>
      <c r="F90">
        <v>0</v>
      </c>
      <c r="G90">
        <v>0</v>
      </c>
      <c r="H90">
        <v>0</v>
      </c>
    </row>
    <row r="91" spans="1:8" x14ac:dyDescent="0.25">
      <c r="A91" t="s">
        <v>1061</v>
      </c>
      <c r="B91" t="s">
        <v>233</v>
      </c>
      <c r="C91" t="s">
        <v>165</v>
      </c>
      <c r="E91">
        <v>0</v>
      </c>
      <c r="F91">
        <v>12</v>
      </c>
      <c r="G91">
        <v>13</v>
      </c>
      <c r="H91">
        <v>0</v>
      </c>
    </row>
    <row r="92" spans="1:8" x14ac:dyDescent="0.25">
      <c r="A92" t="s">
        <v>1061</v>
      </c>
      <c r="B92" t="s">
        <v>234</v>
      </c>
      <c r="C92" t="s">
        <v>163</v>
      </c>
      <c r="E92">
        <v>0</v>
      </c>
      <c r="F92">
        <v>18</v>
      </c>
      <c r="G92">
        <v>53</v>
      </c>
      <c r="H92">
        <v>48</v>
      </c>
    </row>
    <row r="93" spans="1:8" x14ac:dyDescent="0.25">
      <c r="A93" t="s">
        <v>1108</v>
      </c>
      <c r="B93" t="s">
        <v>232</v>
      </c>
      <c r="C93" t="s">
        <v>47</v>
      </c>
      <c r="E93">
        <v>30</v>
      </c>
      <c r="F93">
        <v>0</v>
      </c>
      <c r="G93">
        <v>0</v>
      </c>
      <c r="H93">
        <v>0</v>
      </c>
    </row>
    <row r="94" spans="1:8" x14ac:dyDescent="0.25">
      <c r="A94" t="s">
        <v>1108</v>
      </c>
      <c r="B94" t="s">
        <v>233</v>
      </c>
      <c r="C94" t="s">
        <v>71</v>
      </c>
      <c r="E94">
        <v>0</v>
      </c>
      <c r="F94">
        <v>1</v>
      </c>
      <c r="G94">
        <v>0</v>
      </c>
      <c r="H94">
        <v>0</v>
      </c>
    </row>
    <row r="95" spans="1:8" x14ac:dyDescent="0.25">
      <c r="A95" t="s">
        <v>239</v>
      </c>
      <c r="B95" t="s">
        <v>232</v>
      </c>
      <c r="C95" t="s">
        <v>32</v>
      </c>
      <c r="D95" t="s">
        <v>286</v>
      </c>
      <c r="E95">
        <v>30</v>
      </c>
      <c r="F95">
        <v>0</v>
      </c>
      <c r="G95">
        <v>0</v>
      </c>
      <c r="H95">
        <v>0</v>
      </c>
    </row>
    <row r="96" spans="1:8" x14ac:dyDescent="0.25">
      <c r="A96" t="s">
        <v>239</v>
      </c>
      <c r="B96" t="s">
        <v>232</v>
      </c>
      <c r="C96" t="s">
        <v>38</v>
      </c>
      <c r="D96" t="s">
        <v>268</v>
      </c>
      <c r="E96">
        <v>47</v>
      </c>
      <c r="F96">
        <v>0</v>
      </c>
      <c r="G96">
        <v>0</v>
      </c>
      <c r="H96">
        <v>0</v>
      </c>
    </row>
    <row r="97" spans="1:8" x14ac:dyDescent="0.25">
      <c r="A97" t="s">
        <v>239</v>
      </c>
      <c r="B97" t="s">
        <v>232</v>
      </c>
      <c r="C97" t="s">
        <v>41</v>
      </c>
      <c r="D97" t="s">
        <v>270</v>
      </c>
      <c r="E97">
        <v>52</v>
      </c>
      <c r="F97">
        <v>0</v>
      </c>
      <c r="G97">
        <v>0</v>
      </c>
      <c r="H97">
        <v>0</v>
      </c>
    </row>
    <row r="98" spans="1:8" x14ac:dyDescent="0.25">
      <c r="A98" t="s">
        <v>239</v>
      </c>
      <c r="B98" t="s">
        <v>232</v>
      </c>
      <c r="C98" t="s">
        <v>49</v>
      </c>
      <c r="D98" t="s">
        <v>277</v>
      </c>
      <c r="E98">
        <v>76</v>
      </c>
      <c r="F98">
        <v>0</v>
      </c>
      <c r="G98">
        <v>0</v>
      </c>
      <c r="H98">
        <v>0</v>
      </c>
    </row>
    <row r="99" spans="1:8" x14ac:dyDescent="0.25">
      <c r="A99" t="s">
        <v>239</v>
      </c>
      <c r="B99" t="s">
        <v>232</v>
      </c>
      <c r="C99" t="s">
        <v>58</v>
      </c>
      <c r="D99" t="s">
        <v>361</v>
      </c>
      <c r="E99">
        <v>49</v>
      </c>
      <c r="F99">
        <v>0</v>
      </c>
      <c r="G99">
        <v>0</v>
      </c>
      <c r="H99">
        <v>0</v>
      </c>
    </row>
    <row r="100" spans="1:8" x14ac:dyDescent="0.25">
      <c r="A100" t="s">
        <v>239</v>
      </c>
      <c r="B100" t="s">
        <v>233</v>
      </c>
      <c r="C100" t="s">
        <v>68</v>
      </c>
      <c r="D100" t="s">
        <v>341</v>
      </c>
      <c r="E100">
        <v>0</v>
      </c>
      <c r="F100">
        <v>9</v>
      </c>
      <c r="G100">
        <v>5</v>
      </c>
      <c r="H100">
        <v>0</v>
      </c>
    </row>
    <row r="101" spans="1:8" x14ac:dyDescent="0.25">
      <c r="A101" t="s">
        <v>239</v>
      </c>
      <c r="B101" t="s">
        <v>234</v>
      </c>
      <c r="C101" t="s">
        <v>162</v>
      </c>
      <c r="D101" t="s">
        <v>363</v>
      </c>
      <c r="E101">
        <v>0</v>
      </c>
      <c r="F101">
        <v>12</v>
      </c>
      <c r="G101">
        <v>18</v>
      </c>
      <c r="H101">
        <v>0</v>
      </c>
    </row>
    <row r="102" spans="1:8" x14ac:dyDescent="0.25">
      <c r="A102" t="s">
        <v>239</v>
      </c>
      <c r="B102" t="s">
        <v>234</v>
      </c>
      <c r="C102" t="s">
        <v>163</v>
      </c>
      <c r="D102" t="s">
        <v>362</v>
      </c>
      <c r="E102">
        <v>0</v>
      </c>
      <c r="F102">
        <v>18</v>
      </c>
      <c r="G102">
        <v>61</v>
      </c>
      <c r="H102">
        <v>0</v>
      </c>
    </row>
    <row r="103" spans="1:8" x14ac:dyDescent="0.25">
      <c r="A103" t="s">
        <v>239</v>
      </c>
      <c r="B103" t="s">
        <v>235</v>
      </c>
      <c r="C103" t="s">
        <v>244</v>
      </c>
      <c r="D103" t="s">
        <v>347</v>
      </c>
      <c r="E103">
        <v>0</v>
      </c>
      <c r="F103">
        <v>43</v>
      </c>
      <c r="G103">
        <v>46</v>
      </c>
      <c r="H103">
        <v>60</v>
      </c>
    </row>
    <row r="104" spans="1:8" x14ac:dyDescent="0.25">
      <c r="A104" t="s">
        <v>760</v>
      </c>
      <c r="B104" t="s">
        <v>232</v>
      </c>
      <c r="C104" t="s">
        <v>35</v>
      </c>
      <c r="D104" t="s">
        <v>361</v>
      </c>
      <c r="E104">
        <v>25</v>
      </c>
      <c r="F104">
        <v>0</v>
      </c>
      <c r="G104">
        <v>0</v>
      </c>
      <c r="H104">
        <v>0</v>
      </c>
    </row>
    <row r="105" spans="1:8" x14ac:dyDescent="0.25">
      <c r="A105" t="s">
        <v>760</v>
      </c>
      <c r="B105" t="s">
        <v>233</v>
      </c>
      <c r="C105" t="s">
        <v>36</v>
      </c>
      <c r="D105" t="s">
        <v>362</v>
      </c>
      <c r="E105">
        <v>0</v>
      </c>
      <c r="F105">
        <v>9</v>
      </c>
      <c r="G105">
        <v>13</v>
      </c>
      <c r="H105">
        <v>0</v>
      </c>
    </row>
    <row r="106" spans="1:8" x14ac:dyDescent="0.25">
      <c r="A106" t="s">
        <v>760</v>
      </c>
      <c r="B106" t="s">
        <v>233</v>
      </c>
      <c r="C106" t="s">
        <v>66</v>
      </c>
      <c r="D106" t="s">
        <v>362</v>
      </c>
      <c r="E106">
        <v>0</v>
      </c>
      <c r="F106">
        <v>14</v>
      </c>
      <c r="G106">
        <v>14</v>
      </c>
      <c r="H106">
        <v>0</v>
      </c>
    </row>
    <row r="107" spans="1:8" x14ac:dyDescent="0.25">
      <c r="A107" t="s">
        <v>760</v>
      </c>
      <c r="B107" t="s">
        <v>234</v>
      </c>
      <c r="C107" t="s">
        <v>164</v>
      </c>
      <c r="D107" t="s">
        <v>361</v>
      </c>
      <c r="E107">
        <v>0</v>
      </c>
      <c r="F107">
        <v>13</v>
      </c>
      <c r="G107">
        <v>39</v>
      </c>
      <c r="H107">
        <v>0</v>
      </c>
    </row>
    <row r="108" spans="1:8" x14ac:dyDescent="0.25">
      <c r="A108" t="s">
        <v>917</v>
      </c>
      <c r="B108" t="s">
        <v>232</v>
      </c>
      <c r="C108" t="s">
        <v>42</v>
      </c>
      <c r="D108" t="s">
        <v>361</v>
      </c>
      <c r="E108">
        <v>88</v>
      </c>
      <c r="F108">
        <v>0</v>
      </c>
      <c r="G108">
        <v>0</v>
      </c>
      <c r="H108">
        <v>0</v>
      </c>
    </row>
    <row r="109" spans="1:8" x14ac:dyDescent="0.25">
      <c r="A109" t="s">
        <v>917</v>
      </c>
      <c r="B109" t="s">
        <v>232</v>
      </c>
      <c r="C109" t="s">
        <v>43</v>
      </c>
      <c r="D109" t="s">
        <v>361</v>
      </c>
      <c r="E109">
        <v>254</v>
      </c>
      <c r="F109">
        <v>0</v>
      </c>
      <c r="G109">
        <v>0</v>
      </c>
      <c r="H109">
        <v>0</v>
      </c>
    </row>
    <row r="110" spans="1:8" x14ac:dyDescent="0.25">
      <c r="A110" t="s">
        <v>917</v>
      </c>
      <c r="B110" t="s">
        <v>232</v>
      </c>
      <c r="C110" t="s">
        <v>52</v>
      </c>
      <c r="D110" t="s">
        <v>363</v>
      </c>
      <c r="E110">
        <v>63</v>
      </c>
      <c r="F110">
        <v>0</v>
      </c>
      <c r="G110">
        <v>0</v>
      </c>
      <c r="H110">
        <v>0</v>
      </c>
    </row>
    <row r="111" spans="1:8" x14ac:dyDescent="0.25">
      <c r="A111" t="s">
        <v>917</v>
      </c>
      <c r="B111" t="s">
        <v>233</v>
      </c>
      <c r="C111" t="s">
        <v>68</v>
      </c>
      <c r="D111" t="s">
        <v>362</v>
      </c>
      <c r="E111">
        <v>0</v>
      </c>
      <c r="F111">
        <v>10</v>
      </c>
      <c r="G111">
        <v>7</v>
      </c>
      <c r="H111">
        <v>0</v>
      </c>
    </row>
    <row r="112" spans="1:8" x14ac:dyDescent="0.25">
      <c r="A112" t="s">
        <v>1010</v>
      </c>
      <c r="B112" t="s">
        <v>232</v>
      </c>
      <c r="C112" t="s">
        <v>33</v>
      </c>
      <c r="E112">
        <v>26</v>
      </c>
      <c r="F112">
        <v>0</v>
      </c>
      <c r="G112">
        <v>0</v>
      </c>
      <c r="H112">
        <v>0</v>
      </c>
    </row>
    <row r="113" spans="1:8" x14ac:dyDescent="0.25">
      <c r="A113" t="s">
        <v>1010</v>
      </c>
      <c r="B113" t="s">
        <v>232</v>
      </c>
      <c r="C113" t="s">
        <v>34</v>
      </c>
      <c r="E113">
        <v>46</v>
      </c>
      <c r="F113">
        <v>0</v>
      </c>
      <c r="G113">
        <v>0</v>
      </c>
      <c r="H113">
        <v>0</v>
      </c>
    </row>
    <row r="114" spans="1:8" x14ac:dyDescent="0.25">
      <c r="A114" t="s">
        <v>1010</v>
      </c>
      <c r="B114" t="s">
        <v>232</v>
      </c>
      <c r="C114" t="s">
        <v>46</v>
      </c>
      <c r="D114" t="s">
        <v>361</v>
      </c>
      <c r="E114">
        <v>26</v>
      </c>
      <c r="F114">
        <v>0</v>
      </c>
      <c r="G114">
        <v>0</v>
      </c>
      <c r="H114">
        <v>0</v>
      </c>
    </row>
    <row r="115" spans="1:8" x14ac:dyDescent="0.25">
      <c r="A115" t="s">
        <v>1010</v>
      </c>
      <c r="B115" t="s">
        <v>232</v>
      </c>
      <c r="C115" t="s">
        <v>49</v>
      </c>
      <c r="E115">
        <v>74</v>
      </c>
      <c r="F115">
        <v>0</v>
      </c>
      <c r="G115">
        <v>0</v>
      </c>
      <c r="H115">
        <v>0</v>
      </c>
    </row>
    <row r="116" spans="1:8" x14ac:dyDescent="0.25">
      <c r="A116" t="s">
        <v>1010</v>
      </c>
      <c r="B116" t="s">
        <v>233</v>
      </c>
      <c r="C116" t="s">
        <v>117</v>
      </c>
      <c r="E116">
        <v>0</v>
      </c>
      <c r="F116">
        <v>14</v>
      </c>
      <c r="G116">
        <v>9</v>
      </c>
      <c r="H116">
        <v>0</v>
      </c>
    </row>
    <row r="117" spans="1:8" x14ac:dyDescent="0.25">
      <c r="A117" t="s">
        <v>1010</v>
      </c>
      <c r="B117" t="s">
        <v>234</v>
      </c>
      <c r="C117" t="s">
        <v>162</v>
      </c>
      <c r="E117">
        <v>0</v>
      </c>
      <c r="F117">
        <v>11</v>
      </c>
      <c r="G117">
        <v>27</v>
      </c>
      <c r="H117">
        <v>10</v>
      </c>
    </row>
    <row r="118" spans="1:8" x14ac:dyDescent="0.25">
      <c r="A118" t="s">
        <v>1061</v>
      </c>
      <c r="B118" t="s">
        <v>232</v>
      </c>
      <c r="C118" t="s">
        <v>32</v>
      </c>
      <c r="E118">
        <v>28</v>
      </c>
      <c r="F118">
        <v>0</v>
      </c>
      <c r="G118">
        <v>0</v>
      </c>
      <c r="H118">
        <v>0</v>
      </c>
    </row>
    <row r="119" spans="1:8" x14ac:dyDescent="0.25">
      <c r="A119" t="s">
        <v>1061</v>
      </c>
      <c r="B119" t="s">
        <v>232</v>
      </c>
      <c r="C119" t="s">
        <v>165</v>
      </c>
      <c r="D119" t="s">
        <v>361</v>
      </c>
      <c r="E119">
        <v>283</v>
      </c>
      <c r="F119">
        <v>0</v>
      </c>
      <c r="G119">
        <v>0</v>
      </c>
      <c r="H119">
        <v>0</v>
      </c>
    </row>
    <row r="120" spans="1:8" x14ac:dyDescent="0.25">
      <c r="A120" t="s">
        <v>1061</v>
      </c>
      <c r="B120" t="s">
        <v>232</v>
      </c>
      <c r="C120" t="s">
        <v>38</v>
      </c>
      <c r="E120">
        <v>46</v>
      </c>
      <c r="F120">
        <v>0</v>
      </c>
      <c r="G120">
        <v>1</v>
      </c>
      <c r="H120">
        <v>0</v>
      </c>
    </row>
    <row r="121" spans="1:8" x14ac:dyDescent="0.25">
      <c r="A121" t="s">
        <v>1061</v>
      </c>
      <c r="B121" t="s">
        <v>232</v>
      </c>
      <c r="C121" t="s">
        <v>47</v>
      </c>
      <c r="E121">
        <v>29</v>
      </c>
      <c r="F121">
        <v>0</v>
      </c>
      <c r="G121">
        <v>0</v>
      </c>
      <c r="H121">
        <v>0</v>
      </c>
    </row>
    <row r="122" spans="1:8" x14ac:dyDescent="0.25">
      <c r="A122" t="s">
        <v>1061</v>
      </c>
      <c r="B122" t="s">
        <v>232</v>
      </c>
      <c r="C122" t="s">
        <v>50</v>
      </c>
      <c r="E122">
        <v>158</v>
      </c>
      <c r="F122">
        <v>0</v>
      </c>
      <c r="G122">
        <v>1</v>
      </c>
      <c r="H122">
        <v>0</v>
      </c>
    </row>
    <row r="123" spans="1:8" x14ac:dyDescent="0.25">
      <c r="A123" t="s">
        <v>1061</v>
      </c>
      <c r="B123" t="s">
        <v>232</v>
      </c>
      <c r="C123" t="s">
        <v>54</v>
      </c>
      <c r="D123" t="s">
        <v>361</v>
      </c>
      <c r="E123">
        <v>56</v>
      </c>
      <c r="F123">
        <v>0</v>
      </c>
      <c r="G123">
        <v>0</v>
      </c>
      <c r="H123">
        <v>0</v>
      </c>
    </row>
    <row r="124" spans="1:8" x14ac:dyDescent="0.25">
      <c r="A124" t="s">
        <v>1061</v>
      </c>
      <c r="B124" t="s">
        <v>233</v>
      </c>
      <c r="C124" t="s">
        <v>64</v>
      </c>
      <c r="E124">
        <v>0</v>
      </c>
      <c r="F124">
        <v>15</v>
      </c>
      <c r="G124">
        <v>15</v>
      </c>
      <c r="H124">
        <v>0</v>
      </c>
    </row>
    <row r="125" spans="1:8" x14ac:dyDescent="0.25">
      <c r="A125" t="s">
        <v>1061</v>
      </c>
      <c r="B125" t="s">
        <v>233</v>
      </c>
      <c r="C125" t="s">
        <v>36</v>
      </c>
      <c r="E125">
        <v>0</v>
      </c>
      <c r="F125">
        <v>9</v>
      </c>
      <c r="G125">
        <v>9</v>
      </c>
      <c r="H125">
        <v>0</v>
      </c>
    </row>
    <row r="126" spans="1:8" x14ac:dyDescent="0.25">
      <c r="A126" t="s">
        <v>1061</v>
      </c>
      <c r="B126" t="s">
        <v>233</v>
      </c>
      <c r="C126" t="s">
        <v>66</v>
      </c>
      <c r="E126">
        <v>0</v>
      </c>
      <c r="F126">
        <v>15</v>
      </c>
      <c r="G126">
        <v>11</v>
      </c>
      <c r="H126">
        <v>0</v>
      </c>
    </row>
    <row r="127" spans="1:8" x14ac:dyDescent="0.25">
      <c r="A127" t="s">
        <v>1061</v>
      </c>
      <c r="B127" t="s">
        <v>234</v>
      </c>
      <c r="C127" t="s">
        <v>164</v>
      </c>
      <c r="D127" t="s">
        <v>361</v>
      </c>
      <c r="E127">
        <v>0</v>
      </c>
      <c r="F127">
        <v>8</v>
      </c>
      <c r="G127">
        <v>29</v>
      </c>
      <c r="H127">
        <v>30</v>
      </c>
    </row>
    <row r="128" spans="1:8" x14ac:dyDescent="0.25">
      <c r="A128" t="s">
        <v>1108</v>
      </c>
      <c r="B128" t="s">
        <v>232</v>
      </c>
      <c r="C128" t="s">
        <v>33</v>
      </c>
      <c r="E128">
        <v>27</v>
      </c>
      <c r="F128">
        <v>0</v>
      </c>
      <c r="G128">
        <v>0</v>
      </c>
      <c r="H128">
        <v>0</v>
      </c>
    </row>
    <row r="129" spans="1:8" x14ac:dyDescent="0.25">
      <c r="A129" t="s">
        <v>1108</v>
      </c>
      <c r="B129" t="s">
        <v>232</v>
      </c>
      <c r="C129" t="s">
        <v>42</v>
      </c>
      <c r="D129" t="s">
        <v>361</v>
      </c>
      <c r="E129">
        <v>91</v>
      </c>
      <c r="F129">
        <v>0</v>
      </c>
      <c r="G129">
        <v>0</v>
      </c>
      <c r="H129">
        <v>0</v>
      </c>
    </row>
    <row r="130" spans="1:8" x14ac:dyDescent="0.25">
      <c r="A130" t="s">
        <v>1108</v>
      </c>
      <c r="B130" t="s">
        <v>232</v>
      </c>
      <c r="C130" t="s">
        <v>43</v>
      </c>
      <c r="D130" t="s">
        <v>361</v>
      </c>
      <c r="E130">
        <v>214</v>
      </c>
      <c r="F130">
        <v>0</v>
      </c>
      <c r="G130">
        <v>2</v>
      </c>
      <c r="H130">
        <v>0</v>
      </c>
    </row>
    <row r="131" spans="1:8" x14ac:dyDescent="0.25">
      <c r="A131" t="s">
        <v>1108</v>
      </c>
      <c r="B131" t="s">
        <v>232</v>
      </c>
      <c r="C131" t="s">
        <v>55</v>
      </c>
      <c r="E131">
        <v>0</v>
      </c>
      <c r="F131">
        <v>0</v>
      </c>
      <c r="G131">
        <v>1</v>
      </c>
      <c r="H131">
        <v>0</v>
      </c>
    </row>
    <row r="132" spans="1:8" x14ac:dyDescent="0.25">
      <c r="A132" t="s">
        <v>239</v>
      </c>
      <c r="B132" t="s">
        <v>232</v>
      </c>
      <c r="C132" t="s">
        <v>37</v>
      </c>
      <c r="D132" t="s">
        <v>293</v>
      </c>
      <c r="E132">
        <v>177</v>
      </c>
      <c r="F132">
        <v>0</v>
      </c>
      <c r="G132">
        <v>0</v>
      </c>
      <c r="H132">
        <v>0</v>
      </c>
    </row>
    <row r="133" spans="1:8" x14ac:dyDescent="0.25">
      <c r="A133" t="s">
        <v>239</v>
      </c>
      <c r="B133" t="s">
        <v>232</v>
      </c>
      <c r="C133" t="s">
        <v>39</v>
      </c>
      <c r="D133" t="s">
        <v>295</v>
      </c>
      <c r="E133">
        <v>78</v>
      </c>
      <c r="F133">
        <v>0</v>
      </c>
      <c r="G133">
        <v>0</v>
      </c>
      <c r="H133">
        <v>0</v>
      </c>
    </row>
    <row r="134" spans="1:8" x14ac:dyDescent="0.25">
      <c r="A134" t="s">
        <v>239</v>
      </c>
      <c r="B134" t="s">
        <v>232</v>
      </c>
      <c r="C134" t="s">
        <v>42</v>
      </c>
      <c r="D134" t="s">
        <v>361</v>
      </c>
      <c r="E134">
        <v>88</v>
      </c>
      <c r="F134">
        <v>0</v>
      </c>
      <c r="G134">
        <v>0</v>
      </c>
      <c r="H134">
        <v>0</v>
      </c>
    </row>
    <row r="135" spans="1:8" x14ac:dyDescent="0.25">
      <c r="A135" t="s">
        <v>239</v>
      </c>
      <c r="B135" t="s">
        <v>233</v>
      </c>
      <c r="C135" t="s">
        <v>70</v>
      </c>
      <c r="D135" t="s">
        <v>344</v>
      </c>
      <c r="E135">
        <v>0</v>
      </c>
      <c r="F135">
        <v>19</v>
      </c>
      <c r="G135">
        <v>26</v>
      </c>
      <c r="H135">
        <v>0</v>
      </c>
    </row>
    <row r="136" spans="1:8" x14ac:dyDescent="0.25">
      <c r="A136" t="s">
        <v>760</v>
      </c>
      <c r="B136" t="s">
        <v>232</v>
      </c>
      <c r="C136" t="s">
        <v>39</v>
      </c>
      <c r="D136" t="s">
        <v>362</v>
      </c>
      <c r="E136">
        <v>79</v>
      </c>
      <c r="F136">
        <v>0</v>
      </c>
      <c r="G136">
        <v>0</v>
      </c>
      <c r="H136">
        <v>0</v>
      </c>
    </row>
    <row r="137" spans="1:8" x14ac:dyDescent="0.25">
      <c r="A137" t="s">
        <v>760</v>
      </c>
      <c r="B137" t="s">
        <v>232</v>
      </c>
      <c r="C137" t="s">
        <v>40</v>
      </c>
      <c r="D137" t="s">
        <v>361</v>
      </c>
      <c r="E137">
        <v>25</v>
      </c>
      <c r="F137">
        <v>0</v>
      </c>
      <c r="G137">
        <v>0</v>
      </c>
      <c r="H137">
        <v>0</v>
      </c>
    </row>
    <row r="138" spans="1:8" x14ac:dyDescent="0.25">
      <c r="A138" t="s">
        <v>760</v>
      </c>
      <c r="B138" t="s">
        <v>232</v>
      </c>
      <c r="C138" t="s">
        <v>41</v>
      </c>
      <c r="D138" t="s">
        <v>362</v>
      </c>
      <c r="E138">
        <v>50</v>
      </c>
      <c r="F138">
        <v>0</v>
      </c>
      <c r="G138">
        <v>0</v>
      </c>
      <c r="H138">
        <v>0</v>
      </c>
    </row>
    <row r="139" spans="1:8" x14ac:dyDescent="0.25">
      <c r="A139" t="s">
        <v>760</v>
      </c>
      <c r="B139" t="s">
        <v>232</v>
      </c>
      <c r="C139" t="s">
        <v>54</v>
      </c>
      <c r="D139" t="s">
        <v>361</v>
      </c>
      <c r="E139">
        <v>53</v>
      </c>
      <c r="F139">
        <v>0</v>
      </c>
      <c r="G139">
        <v>0</v>
      </c>
      <c r="H139">
        <v>0</v>
      </c>
    </row>
    <row r="140" spans="1:8" x14ac:dyDescent="0.25">
      <c r="A140" t="s">
        <v>760</v>
      </c>
      <c r="B140" t="s">
        <v>232</v>
      </c>
      <c r="C140" t="s">
        <v>56</v>
      </c>
      <c r="D140" t="s">
        <v>362</v>
      </c>
      <c r="E140">
        <v>50</v>
      </c>
      <c r="F140">
        <v>0</v>
      </c>
      <c r="G140">
        <v>0</v>
      </c>
      <c r="H140">
        <v>0</v>
      </c>
    </row>
    <row r="141" spans="1:8" x14ac:dyDescent="0.25">
      <c r="A141" t="s">
        <v>760</v>
      </c>
      <c r="B141" t="s">
        <v>233</v>
      </c>
      <c r="C141" t="s">
        <v>63</v>
      </c>
      <c r="D141" t="s">
        <v>363</v>
      </c>
      <c r="E141">
        <v>0</v>
      </c>
      <c r="F141">
        <v>13</v>
      </c>
      <c r="G141">
        <v>12</v>
      </c>
      <c r="H141">
        <v>0</v>
      </c>
    </row>
    <row r="142" spans="1:8" x14ac:dyDescent="0.25">
      <c r="A142" t="s">
        <v>760</v>
      </c>
      <c r="B142" t="s">
        <v>233</v>
      </c>
      <c r="C142" t="s">
        <v>67</v>
      </c>
      <c r="D142" t="s">
        <v>361</v>
      </c>
      <c r="E142">
        <v>0</v>
      </c>
      <c r="F142">
        <v>11</v>
      </c>
      <c r="G142">
        <v>18</v>
      </c>
      <c r="H142">
        <v>0</v>
      </c>
    </row>
    <row r="143" spans="1:8" x14ac:dyDescent="0.25">
      <c r="A143" t="s">
        <v>760</v>
      </c>
      <c r="B143" t="s">
        <v>233</v>
      </c>
      <c r="C143" t="s">
        <v>70</v>
      </c>
      <c r="D143" t="s">
        <v>363</v>
      </c>
      <c r="E143">
        <v>0</v>
      </c>
      <c r="F143">
        <v>18</v>
      </c>
      <c r="G143">
        <v>20</v>
      </c>
      <c r="H143">
        <v>0</v>
      </c>
    </row>
    <row r="144" spans="1:8" x14ac:dyDescent="0.25">
      <c r="A144" t="s">
        <v>760</v>
      </c>
      <c r="B144" t="s">
        <v>233</v>
      </c>
      <c r="C144" t="s">
        <v>762</v>
      </c>
      <c r="E144">
        <v>0</v>
      </c>
      <c r="F144">
        <v>8</v>
      </c>
      <c r="G144">
        <v>11</v>
      </c>
      <c r="H144">
        <v>0</v>
      </c>
    </row>
    <row r="145" spans="1:8" x14ac:dyDescent="0.25">
      <c r="A145" t="s">
        <v>917</v>
      </c>
      <c r="B145" t="s">
        <v>232</v>
      </c>
      <c r="C145" t="s">
        <v>34</v>
      </c>
      <c r="D145" t="s">
        <v>362</v>
      </c>
      <c r="E145">
        <v>52</v>
      </c>
      <c r="F145">
        <v>0</v>
      </c>
      <c r="G145">
        <v>0</v>
      </c>
      <c r="H145">
        <v>0</v>
      </c>
    </row>
    <row r="146" spans="1:8" x14ac:dyDescent="0.25">
      <c r="A146" t="s">
        <v>917</v>
      </c>
      <c r="B146" t="s">
        <v>232</v>
      </c>
      <c r="C146" t="s">
        <v>37</v>
      </c>
      <c r="D146" t="s">
        <v>363</v>
      </c>
      <c r="E146">
        <v>182</v>
      </c>
      <c r="F146">
        <v>0</v>
      </c>
      <c r="G146">
        <v>0</v>
      </c>
      <c r="H146">
        <v>0</v>
      </c>
    </row>
    <row r="147" spans="1:8" x14ac:dyDescent="0.25">
      <c r="A147" t="s">
        <v>917</v>
      </c>
      <c r="B147" t="s">
        <v>232</v>
      </c>
      <c r="C147" t="s">
        <v>38</v>
      </c>
      <c r="D147" t="s">
        <v>362</v>
      </c>
      <c r="E147">
        <v>47</v>
      </c>
      <c r="F147">
        <v>0</v>
      </c>
      <c r="G147">
        <v>0</v>
      </c>
      <c r="H147">
        <v>0</v>
      </c>
    </row>
    <row r="148" spans="1:8" x14ac:dyDescent="0.25">
      <c r="A148" t="s">
        <v>917</v>
      </c>
      <c r="B148" t="s">
        <v>232</v>
      </c>
      <c r="C148" t="s">
        <v>117</v>
      </c>
      <c r="D148" t="s">
        <v>362</v>
      </c>
      <c r="E148">
        <v>499</v>
      </c>
      <c r="F148">
        <v>0</v>
      </c>
      <c r="G148">
        <v>0</v>
      </c>
      <c r="H148">
        <v>0</v>
      </c>
    </row>
    <row r="149" spans="1:8" x14ac:dyDescent="0.25">
      <c r="A149" t="s">
        <v>917</v>
      </c>
      <c r="B149" t="s">
        <v>232</v>
      </c>
      <c r="C149" t="s">
        <v>59</v>
      </c>
      <c r="D149" t="s">
        <v>362</v>
      </c>
      <c r="E149">
        <v>73</v>
      </c>
      <c r="F149">
        <v>0</v>
      </c>
      <c r="G149">
        <v>0</v>
      </c>
      <c r="H149">
        <v>0</v>
      </c>
    </row>
    <row r="150" spans="1:8" x14ac:dyDescent="0.25">
      <c r="A150" t="s">
        <v>917</v>
      </c>
      <c r="B150" t="s">
        <v>233</v>
      </c>
      <c r="C150" t="s">
        <v>65</v>
      </c>
      <c r="D150" t="s">
        <v>363</v>
      </c>
      <c r="E150">
        <v>0</v>
      </c>
      <c r="F150">
        <v>13</v>
      </c>
      <c r="G150">
        <v>15</v>
      </c>
      <c r="H150">
        <v>0</v>
      </c>
    </row>
    <row r="151" spans="1:8" x14ac:dyDescent="0.25">
      <c r="A151" t="s">
        <v>917</v>
      </c>
      <c r="B151" t="s">
        <v>233</v>
      </c>
      <c r="C151" t="s">
        <v>71</v>
      </c>
      <c r="D151" t="s">
        <v>363</v>
      </c>
      <c r="E151">
        <v>0</v>
      </c>
      <c r="F151">
        <v>11</v>
      </c>
      <c r="G151">
        <v>4</v>
      </c>
      <c r="H151">
        <v>0</v>
      </c>
    </row>
    <row r="152" spans="1:8" x14ac:dyDescent="0.25">
      <c r="A152" t="s">
        <v>917</v>
      </c>
      <c r="B152" t="s">
        <v>235</v>
      </c>
      <c r="C152" t="s">
        <v>244</v>
      </c>
      <c r="D152" t="s">
        <v>347</v>
      </c>
      <c r="E152">
        <v>0</v>
      </c>
      <c r="F152">
        <v>59</v>
      </c>
      <c r="G152">
        <v>24</v>
      </c>
      <c r="H152">
        <v>1</v>
      </c>
    </row>
    <row r="153" spans="1:8" x14ac:dyDescent="0.25">
      <c r="A153" t="s">
        <v>1010</v>
      </c>
      <c r="B153" t="s">
        <v>232</v>
      </c>
      <c r="C153" t="s">
        <v>35</v>
      </c>
      <c r="D153" t="s">
        <v>361</v>
      </c>
      <c r="E153">
        <v>24</v>
      </c>
      <c r="F153">
        <v>0</v>
      </c>
      <c r="G153">
        <v>0</v>
      </c>
      <c r="H153">
        <v>0</v>
      </c>
    </row>
    <row r="154" spans="1:8" x14ac:dyDescent="0.25">
      <c r="A154" t="s">
        <v>1010</v>
      </c>
      <c r="B154" t="s">
        <v>232</v>
      </c>
      <c r="C154" t="s">
        <v>45</v>
      </c>
      <c r="E154">
        <v>68</v>
      </c>
      <c r="F154">
        <v>0</v>
      </c>
      <c r="G154">
        <v>0</v>
      </c>
      <c r="H154">
        <v>0</v>
      </c>
    </row>
    <row r="155" spans="1:8" x14ac:dyDescent="0.25">
      <c r="A155" t="s">
        <v>1010</v>
      </c>
      <c r="B155" t="s">
        <v>232</v>
      </c>
      <c r="C155" t="s">
        <v>57</v>
      </c>
      <c r="E155">
        <v>155</v>
      </c>
      <c r="F155">
        <v>0</v>
      </c>
      <c r="G155">
        <v>0</v>
      </c>
      <c r="H155">
        <v>0</v>
      </c>
    </row>
    <row r="156" spans="1:8" x14ac:dyDescent="0.25">
      <c r="A156" t="s">
        <v>1010</v>
      </c>
      <c r="B156" t="s">
        <v>232</v>
      </c>
      <c r="C156" t="s">
        <v>60</v>
      </c>
      <c r="D156" t="s">
        <v>361</v>
      </c>
      <c r="E156">
        <v>58</v>
      </c>
      <c r="F156">
        <v>0</v>
      </c>
      <c r="G156">
        <v>0</v>
      </c>
      <c r="H156">
        <v>0</v>
      </c>
    </row>
    <row r="157" spans="1:8" x14ac:dyDescent="0.25">
      <c r="A157" t="s">
        <v>1010</v>
      </c>
      <c r="B157" t="s">
        <v>233</v>
      </c>
      <c r="C157" t="s">
        <v>65</v>
      </c>
      <c r="E157">
        <v>0</v>
      </c>
      <c r="F157">
        <v>13</v>
      </c>
      <c r="G157">
        <v>18</v>
      </c>
      <c r="H157">
        <v>0</v>
      </c>
    </row>
    <row r="158" spans="1:8" x14ac:dyDescent="0.25">
      <c r="A158" t="s">
        <v>1010</v>
      </c>
      <c r="B158" t="s">
        <v>234</v>
      </c>
      <c r="C158" t="s">
        <v>163</v>
      </c>
      <c r="E158">
        <v>0</v>
      </c>
      <c r="F158">
        <v>14</v>
      </c>
      <c r="G158">
        <v>59</v>
      </c>
      <c r="H158">
        <v>34</v>
      </c>
    </row>
    <row r="159" spans="1:8" x14ac:dyDescent="0.25">
      <c r="A159" t="s">
        <v>1010</v>
      </c>
      <c r="B159" t="s">
        <v>235</v>
      </c>
      <c r="C159" t="s">
        <v>244</v>
      </c>
      <c r="D159" t="s">
        <v>347</v>
      </c>
      <c r="E159">
        <v>0</v>
      </c>
      <c r="F159">
        <v>60</v>
      </c>
      <c r="G159">
        <v>25</v>
      </c>
      <c r="H159">
        <v>0</v>
      </c>
    </row>
    <row r="160" spans="1:8" x14ac:dyDescent="0.25">
      <c r="A160" t="s">
        <v>1061</v>
      </c>
      <c r="B160" t="s">
        <v>232</v>
      </c>
      <c r="C160" t="s">
        <v>48</v>
      </c>
      <c r="E160">
        <v>0</v>
      </c>
      <c r="F160">
        <v>0</v>
      </c>
      <c r="G160">
        <v>3</v>
      </c>
      <c r="H160">
        <v>0</v>
      </c>
    </row>
    <row r="161" spans="1:8" x14ac:dyDescent="0.25">
      <c r="A161" t="s">
        <v>1061</v>
      </c>
      <c r="B161" t="s">
        <v>232</v>
      </c>
      <c r="C161" t="s">
        <v>53</v>
      </c>
      <c r="E161">
        <v>95</v>
      </c>
      <c r="F161">
        <v>0</v>
      </c>
      <c r="G161">
        <v>0</v>
      </c>
      <c r="H161">
        <v>0</v>
      </c>
    </row>
    <row r="162" spans="1:8" x14ac:dyDescent="0.25">
      <c r="A162" t="s">
        <v>1061</v>
      </c>
      <c r="B162" t="s">
        <v>232</v>
      </c>
      <c r="C162" t="s">
        <v>55</v>
      </c>
      <c r="E162">
        <v>0</v>
      </c>
      <c r="F162">
        <v>0</v>
      </c>
      <c r="G162">
        <v>1</v>
      </c>
      <c r="H162">
        <v>0</v>
      </c>
    </row>
    <row r="163" spans="1:8" x14ac:dyDescent="0.25">
      <c r="A163" t="s">
        <v>1061</v>
      </c>
      <c r="B163" t="s">
        <v>233</v>
      </c>
      <c r="C163" t="s">
        <v>165</v>
      </c>
      <c r="D163" t="s">
        <v>361</v>
      </c>
      <c r="E163">
        <v>0</v>
      </c>
      <c r="F163">
        <v>0</v>
      </c>
      <c r="G163">
        <v>1</v>
      </c>
      <c r="H163">
        <v>0</v>
      </c>
    </row>
    <row r="164" spans="1:8" x14ac:dyDescent="0.25">
      <c r="A164" t="s">
        <v>1061</v>
      </c>
      <c r="B164" t="s">
        <v>233</v>
      </c>
      <c r="C164" t="s">
        <v>71</v>
      </c>
      <c r="E164">
        <v>0</v>
      </c>
      <c r="F164">
        <v>1</v>
      </c>
      <c r="G164">
        <v>0</v>
      </c>
      <c r="H164">
        <v>0</v>
      </c>
    </row>
    <row r="165" spans="1:8" x14ac:dyDescent="0.25">
      <c r="A165" t="s">
        <v>1061</v>
      </c>
      <c r="B165" t="s">
        <v>233</v>
      </c>
      <c r="C165" t="s">
        <v>762</v>
      </c>
      <c r="E165">
        <v>0</v>
      </c>
      <c r="F165">
        <v>13</v>
      </c>
      <c r="G165">
        <v>13</v>
      </c>
      <c r="H165">
        <v>0</v>
      </c>
    </row>
    <row r="166" spans="1:8" x14ac:dyDescent="0.25">
      <c r="A166" t="s">
        <v>1108</v>
      </c>
      <c r="B166" t="s">
        <v>232</v>
      </c>
      <c r="C166" t="s">
        <v>165</v>
      </c>
      <c r="D166" t="s">
        <v>361</v>
      </c>
      <c r="E166">
        <v>293</v>
      </c>
      <c r="F166">
        <v>0</v>
      </c>
      <c r="G166">
        <v>0</v>
      </c>
      <c r="H166">
        <v>0</v>
      </c>
    </row>
    <row r="167" spans="1:8" x14ac:dyDescent="0.25">
      <c r="A167" t="s">
        <v>1108</v>
      </c>
      <c r="B167" t="s">
        <v>232</v>
      </c>
      <c r="C167" t="s">
        <v>117</v>
      </c>
      <c r="E167">
        <v>452</v>
      </c>
      <c r="F167">
        <v>0</v>
      </c>
      <c r="G167">
        <v>11</v>
      </c>
      <c r="H167">
        <v>0</v>
      </c>
    </row>
    <row r="168" spans="1:8" x14ac:dyDescent="0.25">
      <c r="A168" t="s">
        <v>1108</v>
      </c>
      <c r="B168" t="s">
        <v>233</v>
      </c>
      <c r="C168" t="s">
        <v>68</v>
      </c>
      <c r="E168">
        <v>0</v>
      </c>
      <c r="F168">
        <v>10</v>
      </c>
      <c r="G168">
        <v>8</v>
      </c>
      <c r="H168">
        <v>0</v>
      </c>
    </row>
    <row r="169" spans="1:8" x14ac:dyDescent="0.25">
      <c r="A169" t="s">
        <v>1108</v>
      </c>
      <c r="B169" t="s">
        <v>233</v>
      </c>
      <c r="C169" t="s">
        <v>69</v>
      </c>
      <c r="E169">
        <v>0</v>
      </c>
      <c r="F169">
        <v>9</v>
      </c>
      <c r="G169">
        <v>10</v>
      </c>
      <c r="H169">
        <v>0</v>
      </c>
    </row>
    <row r="170" spans="1:8" x14ac:dyDescent="0.25">
      <c r="A170" t="s">
        <v>1108</v>
      </c>
      <c r="B170" t="s">
        <v>233</v>
      </c>
      <c r="C170" t="s">
        <v>117</v>
      </c>
      <c r="E170">
        <v>0</v>
      </c>
      <c r="F170">
        <v>13</v>
      </c>
      <c r="G170">
        <v>10</v>
      </c>
      <c r="H170">
        <v>0</v>
      </c>
    </row>
    <row r="171" spans="1:8" x14ac:dyDescent="0.25">
      <c r="A171" t="s">
        <v>1108</v>
      </c>
      <c r="B171" t="s">
        <v>233</v>
      </c>
      <c r="C171" t="s">
        <v>762</v>
      </c>
      <c r="D171" t="s">
        <v>361</v>
      </c>
      <c r="E171">
        <v>0</v>
      </c>
      <c r="F171">
        <v>2</v>
      </c>
      <c r="G171">
        <v>2</v>
      </c>
      <c r="H171">
        <v>0</v>
      </c>
    </row>
    <row r="172" spans="1:8" x14ac:dyDescent="0.25">
      <c r="A172" t="s">
        <v>239</v>
      </c>
      <c r="B172" t="s">
        <v>232</v>
      </c>
      <c r="C172" t="s">
        <v>46</v>
      </c>
      <c r="D172" t="s">
        <v>361</v>
      </c>
      <c r="E172">
        <v>26</v>
      </c>
      <c r="F172">
        <v>0</v>
      </c>
      <c r="G172">
        <v>0</v>
      </c>
      <c r="H172">
        <v>0</v>
      </c>
    </row>
    <row r="173" spans="1:8" x14ac:dyDescent="0.25">
      <c r="A173" t="s">
        <v>239</v>
      </c>
      <c r="B173" t="s">
        <v>232</v>
      </c>
      <c r="C173" t="s">
        <v>54</v>
      </c>
      <c r="D173" t="s">
        <v>361</v>
      </c>
      <c r="E173">
        <v>56</v>
      </c>
      <c r="F173">
        <v>0</v>
      </c>
      <c r="G173">
        <v>0</v>
      </c>
      <c r="H173">
        <v>0</v>
      </c>
    </row>
    <row r="174" spans="1:8" x14ac:dyDescent="0.25">
      <c r="A174" t="s">
        <v>760</v>
      </c>
      <c r="B174" t="s">
        <v>232</v>
      </c>
      <c r="C174" t="s">
        <v>31</v>
      </c>
      <c r="D174" t="s">
        <v>363</v>
      </c>
      <c r="E174">
        <v>155</v>
      </c>
      <c r="F174">
        <v>0</v>
      </c>
      <c r="G174">
        <v>0</v>
      </c>
      <c r="H174">
        <v>0</v>
      </c>
    </row>
    <row r="175" spans="1:8" x14ac:dyDescent="0.25">
      <c r="A175" t="s">
        <v>760</v>
      </c>
      <c r="B175" t="s">
        <v>232</v>
      </c>
      <c r="C175" t="s">
        <v>33</v>
      </c>
      <c r="D175" t="s">
        <v>363</v>
      </c>
      <c r="E175">
        <v>27</v>
      </c>
      <c r="F175">
        <v>0</v>
      </c>
      <c r="G175">
        <v>0</v>
      </c>
      <c r="H175">
        <v>0</v>
      </c>
    </row>
    <row r="176" spans="1:8" x14ac:dyDescent="0.25">
      <c r="A176" t="s">
        <v>760</v>
      </c>
      <c r="B176" t="s">
        <v>232</v>
      </c>
      <c r="C176" t="s">
        <v>42</v>
      </c>
      <c r="D176" t="s">
        <v>361</v>
      </c>
      <c r="E176">
        <v>88</v>
      </c>
      <c r="F176">
        <v>0</v>
      </c>
      <c r="G176">
        <v>0</v>
      </c>
      <c r="H176">
        <v>0</v>
      </c>
    </row>
    <row r="177" spans="1:8" x14ac:dyDescent="0.25">
      <c r="A177" t="s">
        <v>760</v>
      </c>
      <c r="B177" t="s">
        <v>232</v>
      </c>
      <c r="C177" t="s">
        <v>58</v>
      </c>
      <c r="D177" t="s">
        <v>361</v>
      </c>
      <c r="E177">
        <v>51</v>
      </c>
      <c r="F177">
        <v>0</v>
      </c>
      <c r="G177">
        <v>0</v>
      </c>
      <c r="H177">
        <v>0</v>
      </c>
    </row>
    <row r="178" spans="1:8" x14ac:dyDescent="0.25">
      <c r="A178" t="s">
        <v>760</v>
      </c>
      <c r="B178" t="s">
        <v>233</v>
      </c>
      <c r="C178" t="s">
        <v>31</v>
      </c>
      <c r="D178" t="s">
        <v>363</v>
      </c>
      <c r="E178">
        <v>0</v>
      </c>
      <c r="F178">
        <v>6</v>
      </c>
      <c r="G178">
        <v>7</v>
      </c>
      <c r="H178">
        <v>0</v>
      </c>
    </row>
    <row r="179" spans="1:8" x14ac:dyDescent="0.25">
      <c r="A179" t="s">
        <v>760</v>
      </c>
      <c r="B179" t="s">
        <v>234</v>
      </c>
      <c r="C179" t="s">
        <v>162</v>
      </c>
      <c r="D179" t="s">
        <v>363</v>
      </c>
      <c r="E179">
        <v>0</v>
      </c>
      <c r="F179">
        <v>12</v>
      </c>
      <c r="G179">
        <v>30</v>
      </c>
      <c r="H179">
        <v>0</v>
      </c>
    </row>
    <row r="180" spans="1:8" x14ac:dyDescent="0.25">
      <c r="A180" t="s">
        <v>917</v>
      </c>
      <c r="B180" t="s">
        <v>232</v>
      </c>
      <c r="C180" t="s">
        <v>32</v>
      </c>
      <c r="D180" t="s">
        <v>363</v>
      </c>
      <c r="E180">
        <v>29</v>
      </c>
      <c r="F180">
        <v>0</v>
      </c>
      <c r="G180">
        <v>0</v>
      </c>
      <c r="H180">
        <v>0</v>
      </c>
    </row>
    <row r="181" spans="1:8" x14ac:dyDescent="0.25">
      <c r="A181" t="s">
        <v>917</v>
      </c>
      <c r="B181" t="s">
        <v>232</v>
      </c>
      <c r="C181" t="s">
        <v>165</v>
      </c>
      <c r="D181" t="s">
        <v>361</v>
      </c>
      <c r="E181">
        <v>300</v>
      </c>
      <c r="F181">
        <v>0</v>
      </c>
      <c r="G181">
        <v>0</v>
      </c>
      <c r="H181">
        <v>0</v>
      </c>
    </row>
    <row r="182" spans="1:8" x14ac:dyDescent="0.25">
      <c r="A182" t="s">
        <v>917</v>
      </c>
      <c r="B182" t="s">
        <v>232</v>
      </c>
      <c r="C182" t="s">
        <v>46</v>
      </c>
      <c r="D182" t="s">
        <v>361</v>
      </c>
      <c r="E182">
        <v>27</v>
      </c>
      <c r="F182">
        <v>0</v>
      </c>
      <c r="G182">
        <v>0</v>
      </c>
      <c r="H182">
        <v>0</v>
      </c>
    </row>
    <row r="183" spans="1:8" x14ac:dyDescent="0.25">
      <c r="A183" t="s">
        <v>917</v>
      </c>
      <c r="B183" t="s">
        <v>232</v>
      </c>
      <c r="C183" t="s">
        <v>47</v>
      </c>
      <c r="D183" t="s">
        <v>363</v>
      </c>
      <c r="E183">
        <v>30</v>
      </c>
      <c r="F183">
        <v>0</v>
      </c>
      <c r="G183">
        <v>0</v>
      </c>
      <c r="H183">
        <v>0</v>
      </c>
    </row>
    <row r="184" spans="1:8" x14ac:dyDescent="0.25">
      <c r="A184" t="s">
        <v>917</v>
      </c>
      <c r="B184" t="s">
        <v>232</v>
      </c>
      <c r="C184" t="s">
        <v>57</v>
      </c>
      <c r="D184" t="s">
        <v>362</v>
      </c>
      <c r="E184">
        <v>168</v>
      </c>
      <c r="F184">
        <v>0</v>
      </c>
      <c r="G184">
        <v>0</v>
      </c>
      <c r="H184">
        <v>0</v>
      </c>
    </row>
    <row r="185" spans="1:8" x14ac:dyDescent="0.25">
      <c r="A185" t="s">
        <v>917</v>
      </c>
      <c r="B185" t="s">
        <v>232</v>
      </c>
      <c r="C185" t="s">
        <v>60</v>
      </c>
      <c r="D185" t="s">
        <v>361</v>
      </c>
      <c r="E185">
        <v>57</v>
      </c>
      <c r="F185">
        <v>0</v>
      </c>
      <c r="G185">
        <v>0</v>
      </c>
      <c r="H185">
        <v>0</v>
      </c>
    </row>
    <row r="186" spans="1:8" x14ac:dyDescent="0.25">
      <c r="A186" t="s">
        <v>917</v>
      </c>
      <c r="B186" t="s">
        <v>234</v>
      </c>
      <c r="C186" t="s">
        <v>164</v>
      </c>
      <c r="D186" t="s">
        <v>361</v>
      </c>
      <c r="E186">
        <v>0</v>
      </c>
      <c r="F186">
        <v>8</v>
      </c>
      <c r="G186">
        <v>38</v>
      </c>
      <c r="H186">
        <v>20</v>
      </c>
    </row>
    <row r="187" spans="1:8" x14ac:dyDescent="0.25">
      <c r="A187" t="s">
        <v>917</v>
      </c>
      <c r="B187" t="s">
        <v>234</v>
      </c>
      <c r="C187" t="s">
        <v>163</v>
      </c>
      <c r="D187" t="s">
        <v>362</v>
      </c>
      <c r="E187">
        <v>0</v>
      </c>
      <c r="F187">
        <v>13</v>
      </c>
      <c r="G187">
        <v>53</v>
      </c>
      <c r="H187">
        <v>25</v>
      </c>
    </row>
    <row r="188" spans="1:8" x14ac:dyDescent="0.25">
      <c r="A188" t="s">
        <v>1010</v>
      </c>
      <c r="B188" t="s">
        <v>232</v>
      </c>
      <c r="C188" t="s">
        <v>32</v>
      </c>
      <c r="E188">
        <v>28</v>
      </c>
      <c r="F188">
        <v>0</v>
      </c>
      <c r="G188">
        <v>0</v>
      </c>
      <c r="H188">
        <v>0</v>
      </c>
    </row>
    <row r="189" spans="1:8" x14ac:dyDescent="0.25">
      <c r="A189" t="s">
        <v>1010</v>
      </c>
      <c r="B189" t="s">
        <v>232</v>
      </c>
      <c r="C189" t="s">
        <v>165</v>
      </c>
      <c r="D189" t="s">
        <v>361</v>
      </c>
      <c r="E189">
        <v>295</v>
      </c>
      <c r="F189">
        <v>0</v>
      </c>
      <c r="G189">
        <v>0</v>
      </c>
      <c r="H189">
        <v>0</v>
      </c>
    </row>
    <row r="190" spans="1:8" x14ac:dyDescent="0.25">
      <c r="A190" t="s">
        <v>1010</v>
      </c>
      <c r="B190" t="s">
        <v>232</v>
      </c>
      <c r="C190" t="s">
        <v>43</v>
      </c>
      <c r="D190" t="s">
        <v>361</v>
      </c>
      <c r="E190">
        <v>254</v>
      </c>
      <c r="F190">
        <v>0</v>
      </c>
      <c r="G190">
        <v>0</v>
      </c>
      <c r="H190">
        <v>0</v>
      </c>
    </row>
    <row r="191" spans="1:8" x14ac:dyDescent="0.25">
      <c r="A191" t="s">
        <v>1010</v>
      </c>
      <c r="B191" t="s">
        <v>232</v>
      </c>
      <c r="C191" t="s">
        <v>117</v>
      </c>
      <c r="E191">
        <v>493</v>
      </c>
      <c r="F191">
        <v>0</v>
      </c>
      <c r="G191">
        <v>0</v>
      </c>
      <c r="H191">
        <v>0</v>
      </c>
    </row>
    <row r="192" spans="1:8" x14ac:dyDescent="0.25">
      <c r="A192" t="s">
        <v>1010</v>
      </c>
      <c r="B192" t="s">
        <v>232</v>
      </c>
      <c r="C192" t="s">
        <v>58</v>
      </c>
      <c r="E192">
        <v>1</v>
      </c>
      <c r="F192">
        <v>0</v>
      </c>
      <c r="G192">
        <v>0</v>
      </c>
      <c r="H192">
        <v>0</v>
      </c>
    </row>
    <row r="193" spans="1:8" x14ac:dyDescent="0.25">
      <c r="A193" t="s">
        <v>1010</v>
      </c>
      <c r="B193" t="s">
        <v>233</v>
      </c>
      <c r="C193" t="s">
        <v>165</v>
      </c>
      <c r="D193" t="s">
        <v>361</v>
      </c>
      <c r="E193">
        <v>0</v>
      </c>
      <c r="F193">
        <v>2</v>
      </c>
      <c r="G193">
        <v>3</v>
      </c>
      <c r="H193">
        <v>0</v>
      </c>
    </row>
    <row r="194" spans="1:8" x14ac:dyDescent="0.25">
      <c r="A194" t="s">
        <v>1010</v>
      </c>
      <c r="B194" t="s">
        <v>233</v>
      </c>
      <c r="C194" t="s">
        <v>68</v>
      </c>
      <c r="E194">
        <v>0</v>
      </c>
      <c r="F194">
        <v>10</v>
      </c>
      <c r="G194">
        <v>9</v>
      </c>
      <c r="H194">
        <v>0</v>
      </c>
    </row>
    <row r="195" spans="1:8" x14ac:dyDescent="0.25">
      <c r="A195" t="s">
        <v>1010</v>
      </c>
      <c r="B195" t="s">
        <v>233</v>
      </c>
      <c r="C195" t="s">
        <v>69</v>
      </c>
      <c r="E195">
        <v>0</v>
      </c>
      <c r="F195">
        <v>7</v>
      </c>
      <c r="G195">
        <v>9</v>
      </c>
      <c r="H195">
        <v>0</v>
      </c>
    </row>
    <row r="196" spans="1:8" x14ac:dyDescent="0.25">
      <c r="A196" t="s">
        <v>1010</v>
      </c>
      <c r="B196" t="s">
        <v>233</v>
      </c>
      <c r="C196" t="s">
        <v>67</v>
      </c>
      <c r="D196" t="s">
        <v>361</v>
      </c>
      <c r="E196">
        <v>0</v>
      </c>
      <c r="F196">
        <v>1</v>
      </c>
      <c r="G196">
        <v>6</v>
      </c>
      <c r="H196">
        <v>0</v>
      </c>
    </row>
    <row r="197" spans="1:8" x14ac:dyDescent="0.25">
      <c r="A197" t="s">
        <v>1061</v>
      </c>
      <c r="B197" t="s">
        <v>232</v>
      </c>
      <c r="C197" t="s">
        <v>37</v>
      </c>
      <c r="E197">
        <v>167</v>
      </c>
      <c r="F197">
        <v>0</v>
      </c>
      <c r="G197">
        <v>2</v>
      </c>
      <c r="H197">
        <v>0</v>
      </c>
    </row>
    <row r="198" spans="1:8" x14ac:dyDescent="0.25">
      <c r="A198" t="s">
        <v>1061</v>
      </c>
      <c r="B198" t="s">
        <v>232</v>
      </c>
      <c r="C198" t="s">
        <v>41</v>
      </c>
      <c r="E198">
        <v>47</v>
      </c>
      <c r="F198">
        <v>0</v>
      </c>
      <c r="G198">
        <v>0</v>
      </c>
      <c r="H198">
        <v>0</v>
      </c>
    </row>
    <row r="199" spans="1:8" x14ac:dyDescent="0.25">
      <c r="A199" t="s">
        <v>1061</v>
      </c>
      <c r="B199" t="s">
        <v>232</v>
      </c>
      <c r="C199" t="s">
        <v>70</v>
      </c>
      <c r="E199">
        <v>73</v>
      </c>
      <c r="F199">
        <v>0</v>
      </c>
      <c r="G199">
        <v>0</v>
      </c>
      <c r="H199">
        <v>0</v>
      </c>
    </row>
    <row r="200" spans="1:8" x14ac:dyDescent="0.25">
      <c r="A200" t="s">
        <v>1061</v>
      </c>
      <c r="B200" t="s">
        <v>232</v>
      </c>
      <c r="C200" t="s">
        <v>51</v>
      </c>
      <c r="E200">
        <v>0</v>
      </c>
      <c r="F200">
        <v>0</v>
      </c>
      <c r="G200">
        <v>1</v>
      </c>
      <c r="H200">
        <v>0</v>
      </c>
    </row>
    <row r="201" spans="1:8" x14ac:dyDescent="0.25">
      <c r="A201" t="s">
        <v>1061</v>
      </c>
      <c r="B201" t="s">
        <v>232</v>
      </c>
      <c r="C201" t="s">
        <v>52</v>
      </c>
      <c r="E201">
        <v>69</v>
      </c>
      <c r="F201">
        <v>0</v>
      </c>
      <c r="G201">
        <v>0</v>
      </c>
      <c r="H201">
        <v>0</v>
      </c>
    </row>
    <row r="202" spans="1:8" x14ac:dyDescent="0.25">
      <c r="A202" t="s">
        <v>1061</v>
      </c>
      <c r="B202" t="s">
        <v>232</v>
      </c>
      <c r="C202" t="s">
        <v>56</v>
      </c>
      <c r="E202">
        <v>48</v>
      </c>
      <c r="F202">
        <v>0</v>
      </c>
      <c r="G202">
        <v>0</v>
      </c>
      <c r="H202">
        <v>0</v>
      </c>
    </row>
    <row r="203" spans="1:8" x14ac:dyDescent="0.25">
      <c r="A203" t="s">
        <v>1061</v>
      </c>
      <c r="B203" t="s">
        <v>232</v>
      </c>
      <c r="C203" t="s">
        <v>58</v>
      </c>
      <c r="D203" t="s">
        <v>361</v>
      </c>
      <c r="E203">
        <v>46</v>
      </c>
      <c r="F203">
        <v>0</v>
      </c>
      <c r="G203">
        <v>0</v>
      </c>
      <c r="H203">
        <v>0</v>
      </c>
    </row>
    <row r="204" spans="1:8" x14ac:dyDescent="0.25">
      <c r="A204" t="s">
        <v>1061</v>
      </c>
      <c r="B204" t="s">
        <v>233</v>
      </c>
      <c r="C204" t="s">
        <v>67</v>
      </c>
      <c r="D204" t="s">
        <v>361</v>
      </c>
      <c r="E204">
        <v>0</v>
      </c>
      <c r="F204">
        <v>0</v>
      </c>
      <c r="G204">
        <v>5</v>
      </c>
      <c r="H204">
        <v>0</v>
      </c>
    </row>
    <row r="205" spans="1:8" x14ac:dyDescent="0.25">
      <c r="A205" t="s">
        <v>1061</v>
      </c>
      <c r="B205" t="s">
        <v>233</v>
      </c>
      <c r="C205" t="s">
        <v>1040</v>
      </c>
      <c r="E205">
        <v>0</v>
      </c>
      <c r="F205">
        <v>12</v>
      </c>
      <c r="G205">
        <v>15</v>
      </c>
      <c r="H205">
        <v>0</v>
      </c>
    </row>
    <row r="206" spans="1:8" x14ac:dyDescent="0.25">
      <c r="A206" t="s">
        <v>1108</v>
      </c>
      <c r="B206" t="s">
        <v>232</v>
      </c>
      <c r="C206" t="s">
        <v>31</v>
      </c>
      <c r="E206">
        <v>155</v>
      </c>
      <c r="F206">
        <v>0</v>
      </c>
      <c r="G206">
        <v>7</v>
      </c>
      <c r="H206">
        <v>0</v>
      </c>
    </row>
    <row r="207" spans="1:8" x14ac:dyDescent="0.25">
      <c r="A207" t="s">
        <v>1108</v>
      </c>
      <c r="B207" t="s">
        <v>232</v>
      </c>
      <c r="C207" t="s">
        <v>35</v>
      </c>
      <c r="D207" t="s">
        <v>361</v>
      </c>
      <c r="E207">
        <v>26</v>
      </c>
      <c r="F207">
        <v>0</v>
      </c>
      <c r="G207">
        <v>1</v>
      </c>
      <c r="H207">
        <v>0</v>
      </c>
    </row>
    <row r="208" spans="1:8" x14ac:dyDescent="0.25">
      <c r="A208" t="s">
        <v>1108</v>
      </c>
      <c r="B208" t="s">
        <v>232</v>
      </c>
      <c r="C208" t="s">
        <v>57</v>
      </c>
      <c r="E208">
        <v>161</v>
      </c>
      <c r="F208">
        <v>0</v>
      </c>
      <c r="G208">
        <v>0</v>
      </c>
      <c r="H208">
        <v>0</v>
      </c>
    </row>
    <row r="209" spans="1:8" x14ac:dyDescent="0.25">
      <c r="A209" t="s">
        <v>1108</v>
      </c>
      <c r="B209" t="s">
        <v>232</v>
      </c>
      <c r="C209" t="s">
        <v>60</v>
      </c>
      <c r="D209" t="s">
        <v>361</v>
      </c>
      <c r="E209">
        <v>60</v>
      </c>
      <c r="F209">
        <v>0</v>
      </c>
      <c r="G209">
        <v>3</v>
      </c>
      <c r="H209">
        <v>0</v>
      </c>
    </row>
    <row r="210" spans="1:8" x14ac:dyDescent="0.25">
      <c r="A210" t="s">
        <v>1108</v>
      </c>
      <c r="B210" t="s">
        <v>233</v>
      </c>
      <c r="C210" t="s">
        <v>64</v>
      </c>
      <c r="E210">
        <v>0</v>
      </c>
      <c r="F210">
        <v>14</v>
      </c>
      <c r="G210">
        <v>14</v>
      </c>
      <c r="H210">
        <v>0</v>
      </c>
    </row>
    <row r="211" spans="1:8" x14ac:dyDescent="0.25">
      <c r="A211" t="s">
        <v>1108</v>
      </c>
      <c r="B211" t="s">
        <v>233</v>
      </c>
      <c r="C211" t="s">
        <v>65</v>
      </c>
      <c r="E211">
        <v>0</v>
      </c>
      <c r="F211">
        <v>14</v>
      </c>
      <c r="G211">
        <v>9</v>
      </c>
      <c r="H211">
        <v>0</v>
      </c>
    </row>
    <row r="212" spans="1:8" x14ac:dyDescent="0.25">
      <c r="A212" t="s">
        <v>1108</v>
      </c>
      <c r="B212" t="s">
        <v>234</v>
      </c>
      <c r="C212" t="s">
        <v>163</v>
      </c>
      <c r="E212">
        <v>0</v>
      </c>
      <c r="F212">
        <v>13</v>
      </c>
      <c r="G212">
        <v>46</v>
      </c>
      <c r="H212">
        <v>1</v>
      </c>
    </row>
    <row r="213" spans="1:8" x14ac:dyDescent="0.25">
      <c r="A213" t="s">
        <v>239</v>
      </c>
      <c r="B213" t="s">
        <v>232</v>
      </c>
      <c r="C213" t="s">
        <v>33</v>
      </c>
      <c r="D213" t="s">
        <v>292</v>
      </c>
      <c r="E213">
        <v>28</v>
      </c>
      <c r="F213">
        <v>0</v>
      </c>
      <c r="G213">
        <v>0</v>
      </c>
      <c r="H213">
        <v>0</v>
      </c>
    </row>
    <row r="214" spans="1:8" x14ac:dyDescent="0.25">
      <c r="A214" t="s">
        <v>239</v>
      </c>
      <c r="B214" t="s">
        <v>232</v>
      </c>
      <c r="C214" t="s">
        <v>165</v>
      </c>
      <c r="D214" t="s">
        <v>361</v>
      </c>
      <c r="E214">
        <v>297</v>
      </c>
      <c r="F214">
        <v>0</v>
      </c>
      <c r="G214">
        <v>0</v>
      </c>
      <c r="H214">
        <v>0</v>
      </c>
    </row>
    <row r="215" spans="1:8" x14ac:dyDescent="0.25">
      <c r="A215" t="s">
        <v>239</v>
      </c>
      <c r="B215" t="s">
        <v>232</v>
      </c>
      <c r="C215" t="s">
        <v>35</v>
      </c>
      <c r="D215" t="s">
        <v>361</v>
      </c>
      <c r="E215">
        <v>25</v>
      </c>
      <c r="F215">
        <v>0</v>
      </c>
      <c r="G215">
        <v>0</v>
      </c>
      <c r="H215">
        <v>0</v>
      </c>
    </row>
    <row r="216" spans="1:8" x14ac:dyDescent="0.25">
      <c r="A216" t="s">
        <v>239</v>
      </c>
      <c r="B216" t="s">
        <v>232</v>
      </c>
      <c r="C216" t="s">
        <v>117</v>
      </c>
      <c r="D216" t="s">
        <v>296</v>
      </c>
      <c r="E216">
        <v>515</v>
      </c>
      <c r="F216">
        <v>0</v>
      </c>
      <c r="G216">
        <v>0</v>
      </c>
      <c r="H216">
        <v>0</v>
      </c>
    </row>
    <row r="217" spans="1:8" x14ac:dyDescent="0.25">
      <c r="A217" t="s">
        <v>239</v>
      </c>
      <c r="B217" t="s">
        <v>233</v>
      </c>
      <c r="C217" t="s">
        <v>31</v>
      </c>
      <c r="D217" t="s">
        <v>334</v>
      </c>
      <c r="E217">
        <v>0</v>
      </c>
      <c r="F217">
        <v>7</v>
      </c>
      <c r="G217">
        <v>9</v>
      </c>
      <c r="H217">
        <v>0</v>
      </c>
    </row>
    <row r="218" spans="1:8" x14ac:dyDescent="0.25">
      <c r="A218" t="s">
        <v>239</v>
      </c>
      <c r="B218" t="s">
        <v>233</v>
      </c>
      <c r="C218" t="s">
        <v>64</v>
      </c>
      <c r="D218" t="s">
        <v>337</v>
      </c>
      <c r="E218">
        <v>0</v>
      </c>
      <c r="F218">
        <v>12</v>
      </c>
      <c r="G218">
        <v>14</v>
      </c>
      <c r="H218">
        <v>0</v>
      </c>
    </row>
    <row r="219" spans="1:8" x14ac:dyDescent="0.25">
      <c r="A219" t="s">
        <v>239</v>
      </c>
      <c r="B219" t="s">
        <v>233</v>
      </c>
      <c r="C219" t="s">
        <v>65</v>
      </c>
      <c r="D219" t="s">
        <v>336</v>
      </c>
      <c r="E219">
        <v>0</v>
      </c>
      <c r="F219">
        <v>13</v>
      </c>
      <c r="G219">
        <v>16</v>
      </c>
      <c r="H219">
        <v>0</v>
      </c>
    </row>
    <row r="220" spans="1:8" x14ac:dyDescent="0.25">
      <c r="A220" t="s">
        <v>239</v>
      </c>
      <c r="B220" t="s">
        <v>233</v>
      </c>
      <c r="C220" t="s">
        <v>67</v>
      </c>
      <c r="D220" t="s">
        <v>361</v>
      </c>
      <c r="E220">
        <v>0</v>
      </c>
      <c r="F220">
        <v>11</v>
      </c>
      <c r="G220">
        <v>14</v>
      </c>
      <c r="H220">
        <v>0</v>
      </c>
    </row>
    <row r="221" spans="1:8" x14ac:dyDescent="0.25">
      <c r="A221" t="s">
        <v>239</v>
      </c>
      <c r="B221" t="s">
        <v>233</v>
      </c>
      <c r="C221" t="s">
        <v>50</v>
      </c>
      <c r="D221" t="s">
        <v>995</v>
      </c>
      <c r="E221">
        <v>0</v>
      </c>
      <c r="F221">
        <v>8</v>
      </c>
      <c r="G221">
        <v>9</v>
      </c>
      <c r="H221">
        <v>0</v>
      </c>
    </row>
    <row r="222" spans="1:8" x14ac:dyDescent="0.25">
      <c r="A222" t="s">
        <v>239</v>
      </c>
      <c r="B222" t="s">
        <v>233</v>
      </c>
      <c r="C222" t="s">
        <v>57</v>
      </c>
      <c r="D222" t="s">
        <v>345</v>
      </c>
      <c r="E222">
        <v>0</v>
      </c>
      <c r="F222">
        <v>9</v>
      </c>
      <c r="G222">
        <v>7</v>
      </c>
      <c r="H222">
        <v>0</v>
      </c>
    </row>
    <row r="223" spans="1:8" x14ac:dyDescent="0.25">
      <c r="A223" t="s">
        <v>239</v>
      </c>
      <c r="B223" t="s">
        <v>233</v>
      </c>
      <c r="C223" t="s">
        <v>985</v>
      </c>
      <c r="D223" t="s">
        <v>361</v>
      </c>
      <c r="E223">
        <v>0</v>
      </c>
      <c r="F223">
        <v>9</v>
      </c>
      <c r="G223">
        <v>9</v>
      </c>
      <c r="H223">
        <v>0</v>
      </c>
    </row>
    <row r="224" spans="1:8" x14ac:dyDescent="0.25">
      <c r="A224" t="s">
        <v>760</v>
      </c>
      <c r="B224" t="s">
        <v>232</v>
      </c>
      <c r="C224" t="s">
        <v>32</v>
      </c>
      <c r="D224" t="s">
        <v>363</v>
      </c>
      <c r="E224">
        <v>32</v>
      </c>
      <c r="F224">
        <v>0</v>
      </c>
      <c r="G224">
        <v>0</v>
      </c>
      <c r="H224">
        <v>0</v>
      </c>
    </row>
    <row r="225" spans="1:8" x14ac:dyDescent="0.25">
      <c r="A225" t="s">
        <v>760</v>
      </c>
      <c r="B225" t="s">
        <v>232</v>
      </c>
      <c r="C225" t="s">
        <v>984</v>
      </c>
      <c r="D225" t="s">
        <v>362</v>
      </c>
      <c r="E225">
        <v>52</v>
      </c>
      <c r="F225">
        <v>0</v>
      </c>
      <c r="G225">
        <v>0</v>
      </c>
      <c r="H225">
        <v>0</v>
      </c>
    </row>
    <row r="226" spans="1:8" x14ac:dyDescent="0.25">
      <c r="A226" t="s">
        <v>760</v>
      </c>
      <c r="B226" t="s">
        <v>232</v>
      </c>
      <c r="C226" t="s">
        <v>49</v>
      </c>
      <c r="D226" t="s">
        <v>362</v>
      </c>
      <c r="E226">
        <v>75</v>
      </c>
      <c r="F226">
        <v>0</v>
      </c>
      <c r="G226">
        <v>0</v>
      </c>
      <c r="H226">
        <v>0</v>
      </c>
    </row>
    <row r="227" spans="1:8" x14ac:dyDescent="0.25">
      <c r="A227" t="s">
        <v>760</v>
      </c>
      <c r="B227" t="s">
        <v>232</v>
      </c>
      <c r="C227" t="s">
        <v>60</v>
      </c>
      <c r="D227" t="s">
        <v>361</v>
      </c>
      <c r="E227">
        <v>58</v>
      </c>
      <c r="F227">
        <v>0</v>
      </c>
      <c r="G227">
        <v>0</v>
      </c>
      <c r="H227">
        <v>0</v>
      </c>
    </row>
    <row r="228" spans="1:8" x14ac:dyDescent="0.25">
      <c r="A228" t="s">
        <v>760</v>
      </c>
      <c r="B228" t="s">
        <v>233</v>
      </c>
      <c r="C228" t="s">
        <v>165</v>
      </c>
      <c r="D228" t="s">
        <v>361</v>
      </c>
      <c r="E228">
        <v>0</v>
      </c>
      <c r="F228">
        <v>10</v>
      </c>
      <c r="G228">
        <v>18</v>
      </c>
      <c r="H228">
        <v>0</v>
      </c>
    </row>
    <row r="229" spans="1:8" x14ac:dyDescent="0.25">
      <c r="A229" t="s">
        <v>760</v>
      </c>
      <c r="B229" t="s">
        <v>233</v>
      </c>
      <c r="C229" t="s">
        <v>117</v>
      </c>
      <c r="D229" t="s">
        <v>362</v>
      </c>
      <c r="E229">
        <v>0</v>
      </c>
      <c r="F229">
        <v>16</v>
      </c>
      <c r="G229">
        <v>9</v>
      </c>
      <c r="H229">
        <v>0</v>
      </c>
    </row>
    <row r="230" spans="1:8" x14ac:dyDescent="0.25">
      <c r="A230" t="s">
        <v>917</v>
      </c>
      <c r="B230" t="s">
        <v>232</v>
      </c>
      <c r="C230" t="s">
        <v>35</v>
      </c>
      <c r="D230" t="s">
        <v>361</v>
      </c>
      <c r="E230">
        <v>24</v>
      </c>
      <c r="F230">
        <v>0</v>
      </c>
      <c r="G230">
        <v>0</v>
      </c>
      <c r="H230">
        <v>0</v>
      </c>
    </row>
    <row r="231" spans="1:8" x14ac:dyDescent="0.25">
      <c r="A231" t="s">
        <v>917</v>
      </c>
      <c r="B231" t="s">
        <v>232</v>
      </c>
      <c r="C231" t="s">
        <v>70</v>
      </c>
      <c r="D231" t="s">
        <v>363</v>
      </c>
      <c r="E231">
        <v>74</v>
      </c>
      <c r="F231">
        <v>0</v>
      </c>
      <c r="G231">
        <v>0</v>
      </c>
      <c r="H231">
        <v>0</v>
      </c>
    </row>
    <row r="232" spans="1:8" x14ac:dyDescent="0.25">
      <c r="A232" t="s">
        <v>917</v>
      </c>
      <c r="B232" t="s">
        <v>232</v>
      </c>
      <c r="C232" t="s">
        <v>45</v>
      </c>
      <c r="D232" t="s">
        <v>362</v>
      </c>
      <c r="E232">
        <v>70</v>
      </c>
      <c r="F232">
        <v>0</v>
      </c>
      <c r="G232">
        <v>0</v>
      </c>
      <c r="H232">
        <v>0</v>
      </c>
    </row>
    <row r="233" spans="1:8" x14ac:dyDescent="0.25">
      <c r="A233" t="s">
        <v>917</v>
      </c>
      <c r="B233" t="s">
        <v>232</v>
      </c>
      <c r="C233" t="s">
        <v>53</v>
      </c>
      <c r="D233" t="s">
        <v>362</v>
      </c>
      <c r="E233">
        <v>100</v>
      </c>
      <c r="F233">
        <v>0</v>
      </c>
      <c r="G233">
        <v>0</v>
      </c>
      <c r="H233">
        <v>0</v>
      </c>
    </row>
    <row r="234" spans="1:8" x14ac:dyDescent="0.25">
      <c r="A234" t="s">
        <v>917</v>
      </c>
      <c r="B234" t="s">
        <v>232</v>
      </c>
      <c r="C234" t="s">
        <v>54</v>
      </c>
      <c r="D234" t="s">
        <v>361</v>
      </c>
      <c r="E234">
        <v>51</v>
      </c>
      <c r="F234">
        <v>0</v>
      </c>
      <c r="G234">
        <v>0</v>
      </c>
      <c r="H234">
        <v>0</v>
      </c>
    </row>
    <row r="235" spans="1:8" x14ac:dyDescent="0.25">
      <c r="A235" t="s">
        <v>917</v>
      </c>
      <c r="B235" t="s">
        <v>233</v>
      </c>
      <c r="C235" t="s">
        <v>36</v>
      </c>
      <c r="D235" t="s">
        <v>362</v>
      </c>
      <c r="E235">
        <v>0</v>
      </c>
      <c r="F235">
        <v>9</v>
      </c>
      <c r="G235">
        <v>12</v>
      </c>
      <c r="H235">
        <v>0</v>
      </c>
    </row>
    <row r="236" spans="1:8" x14ac:dyDescent="0.25">
      <c r="A236" t="s">
        <v>917</v>
      </c>
      <c r="B236" t="s">
        <v>233</v>
      </c>
      <c r="C236" t="s">
        <v>66</v>
      </c>
      <c r="D236" t="s">
        <v>362</v>
      </c>
      <c r="E236">
        <v>0</v>
      </c>
      <c r="F236">
        <v>13</v>
      </c>
      <c r="G236">
        <v>14</v>
      </c>
      <c r="H236">
        <v>0</v>
      </c>
    </row>
    <row r="237" spans="1:8" x14ac:dyDescent="0.25">
      <c r="A237" t="s">
        <v>917</v>
      </c>
      <c r="B237" t="s">
        <v>233</v>
      </c>
      <c r="C237" t="s">
        <v>70</v>
      </c>
      <c r="D237" t="s">
        <v>363</v>
      </c>
      <c r="E237">
        <v>0</v>
      </c>
      <c r="F237">
        <v>17</v>
      </c>
      <c r="G237">
        <v>18</v>
      </c>
      <c r="H237">
        <v>0</v>
      </c>
    </row>
    <row r="238" spans="1:8" x14ac:dyDescent="0.25">
      <c r="A238" t="s">
        <v>917</v>
      </c>
      <c r="B238" t="s">
        <v>233</v>
      </c>
      <c r="C238" t="s">
        <v>57</v>
      </c>
      <c r="D238" t="s">
        <v>362</v>
      </c>
      <c r="E238">
        <v>0</v>
      </c>
      <c r="F238">
        <v>9</v>
      </c>
      <c r="G238">
        <v>7</v>
      </c>
      <c r="H238">
        <v>0</v>
      </c>
    </row>
    <row r="239" spans="1:8" x14ac:dyDescent="0.25">
      <c r="A239" t="s">
        <v>917</v>
      </c>
      <c r="B239" t="s">
        <v>233</v>
      </c>
      <c r="C239" t="s">
        <v>762</v>
      </c>
      <c r="D239" t="s">
        <v>361</v>
      </c>
      <c r="E239">
        <v>0</v>
      </c>
      <c r="F239">
        <v>4</v>
      </c>
      <c r="G239">
        <v>11</v>
      </c>
      <c r="H239">
        <v>0</v>
      </c>
    </row>
    <row r="240" spans="1:8" x14ac:dyDescent="0.25">
      <c r="A240" t="s">
        <v>1010</v>
      </c>
      <c r="B240" t="s">
        <v>232</v>
      </c>
      <c r="C240" t="s">
        <v>38</v>
      </c>
      <c r="E240">
        <v>46</v>
      </c>
      <c r="F240">
        <v>0</v>
      </c>
      <c r="G240">
        <v>0</v>
      </c>
      <c r="H240">
        <v>0</v>
      </c>
    </row>
    <row r="241" spans="1:8" x14ac:dyDescent="0.25">
      <c r="A241" t="s">
        <v>1010</v>
      </c>
      <c r="B241" t="s">
        <v>232</v>
      </c>
      <c r="C241" t="s">
        <v>50</v>
      </c>
      <c r="E241">
        <v>156</v>
      </c>
      <c r="F241">
        <v>0</v>
      </c>
      <c r="G241">
        <v>0</v>
      </c>
      <c r="H241">
        <v>0</v>
      </c>
    </row>
    <row r="242" spans="1:8" x14ac:dyDescent="0.25">
      <c r="A242" t="s">
        <v>1010</v>
      </c>
      <c r="B242" t="s">
        <v>232</v>
      </c>
      <c r="C242" t="s">
        <v>53</v>
      </c>
      <c r="E242">
        <v>99</v>
      </c>
      <c r="F242">
        <v>0</v>
      </c>
      <c r="G242">
        <v>0</v>
      </c>
      <c r="H242">
        <v>0</v>
      </c>
    </row>
    <row r="243" spans="1:8" x14ac:dyDescent="0.25">
      <c r="A243" t="s">
        <v>1010</v>
      </c>
      <c r="B243" t="s">
        <v>232</v>
      </c>
      <c r="C243" t="s">
        <v>59</v>
      </c>
      <c r="E243">
        <v>69</v>
      </c>
      <c r="F243">
        <v>0</v>
      </c>
      <c r="G243">
        <v>0</v>
      </c>
      <c r="H243">
        <v>0</v>
      </c>
    </row>
    <row r="244" spans="1:8" x14ac:dyDescent="0.25">
      <c r="A244" t="s">
        <v>1010</v>
      </c>
      <c r="B244" t="s">
        <v>233</v>
      </c>
      <c r="C244" t="s">
        <v>36</v>
      </c>
      <c r="E244">
        <v>0</v>
      </c>
      <c r="F244">
        <v>9</v>
      </c>
      <c r="G244">
        <v>13</v>
      </c>
      <c r="H244">
        <v>0</v>
      </c>
    </row>
    <row r="245" spans="1:8" x14ac:dyDescent="0.25">
      <c r="A245" t="s">
        <v>1010</v>
      </c>
      <c r="B245" t="s">
        <v>233</v>
      </c>
      <c r="C245" t="s">
        <v>762</v>
      </c>
      <c r="D245" t="s">
        <v>361</v>
      </c>
      <c r="E245">
        <v>0</v>
      </c>
      <c r="F245">
        <v>4</v>
      </c>
      <c r="G245">
        <v>7</v>
      </c>
      <c r="H245">
        <v>0</v>
      </c>
    </row>
    <row r="246" spans="1:8" x14ac:dyDescent="0.25">
      <c r="A246" t="s">
        <v>1010</v>
      </c>
      <c r="B246" t="s">
        <v>234</v>
      </c>
      <c r="C246" t="s">
        <v>164</v>
      </c>
      <c r="D246" t="s">
        <v>361</v>
      </c>
      <c r="E246">
        <v>0</v>
      </c>
      <c r="F246">
        <v>8</v>
      </c>
      <c r="G246">
        <v>37</v>
      </c>
      <c r="H246">
        <v>21</v>
      </c>
    </row>
    <row r="247" spans="1:8" x14ac:dyDescent="0.25">
      <c r="A247" t="s">
        <v>1061</v>
      </c>
      <c r="B247" t="s">
        <v>232</v>
      </c>
      <c r="C247" t="s">
        <v>42</v>
      </c>
      <c r="D247" t="s">
        <v>361</v>
      </c>
      <c r="E247">
        <v>84</v>
      </c>
      <c r="F247">
        <v>0</v>
      </c>
      <c r="G247">
        <v>0</v>
      </c>
      <c r="H247">
        <v>0</v>
      </c>
    </row>
    <row r="248" spans="1:8" x14ac:dyDescent="0.25">
      <c r="A248" t="s">
        <v>1061</v>
      </c>
      <c r="B248" t="s">
        <v>232</v>
      </c>
      <c r="C248" t="s">
        <v>43</v>
      </c>
      <c r="D248" t="s">
        <v>361</v>
      </c>
      <c r="E248">
        <v>238</v>
      </c>
      <c r="F248">
        <v>0</v>
      </c>
      <c r="G248">
        <v>1</v>
      </c>
      <c r="H248">
        <v>0</v>
      </c>
    </row>
    <row r="249" spans="1:8" x14ac:dyDescent="0.25">
      <c r="A249" t="s">
        <v>1061</v>
      </c>
      <c r="B249" t="s">
        <v>232</v>
      </c>
      <c r="C249" t="s">
        <v>70</v>
      </c>
      <c r="E249">
        <v>0</v>
      </c>
      <c r="F249">
        <v>0</v>
      </c>
      <c r="G249">
        <v>11</v>
      </c>
      <c r="H249">
        <v>0</v>
      </c>
    </row>
    <row r="250" spans="1:8" x14ac:dyDescent="0.25">
      <c r="A250" t="s">
        <v>1061</v>
      </c>
      <c r="B250" t="s">
        <v>233</v>
      </c>
      <c r="C250" t="s">
        <v>68</v>
      </c>
      <c r="E250">
        <v>0</v>
      </c>
      <c r="F250">
        <v>10</v>
      </c>
      <c r="G250">
        <v>9</v>
      </c>
      <c r="H250">
        <v>0</v>
      </c>
    </row>
    <row r="251" spans="1:8" x14ac:dyDescent="0.25">
      <c r="A251" t="s">
        <v>1061</v>
      </c>
      <c r="B251" t="s">
        <v>233</v>
      </c>
      <c r="C251" t="s">
        <v>69</v>
      </c>
      <c r="E251">
        <v>0</v>
      </c>
      <c r="F251">
        <v>8</v>
      </c>
      <c r="G251">
        <v>11</v>
      </c>
      <c r="H251">
        <v>0</v>
      </c>
    </row>
    <row r="252" spans="1:8" x14ac:dyDescent="0.25">
      <c r="A252" t="s">
        <v>1061</v>
      </c>
      <c r="B252" t="s">
        <v>233</v>
      </c>
      <c r="C252" t="s">
        <v>70</v>
      </c>
      <c r="E252">
        <v>0</v>
      </c>
      <c r="F252">
        <v>15</v>
      </c>
      <c r="G252">
        <v>5</v>
      </c>
      <c r="H252">
        <v>0</v>
      </c>
    </row>
    <row r="253" spans="1:8" x14ac:dyDescent="0.25">
      <c r="A253" t="s">
        <v>1061</v>
      </c>
      <c r="B253" t="s">
        <v>233</v>
      </c>
      <c r="C253" t="s">
        <v>71</v>
      </c>
      <c r="E253">
        <v>0</v>
      </c>
      <c r="F253">
        <v>9</v>
      </c>
      <c r="G253">
        <v>0</v>
      </c>
      <c r="H253">
        <v>0</v>
      </c>
    </row>
    <row r="254" spans="1:8" x14ac:dyDescent="0.25">
      <c r="A254" t="s">
        <v>1108</v>
      </c>
      <c r="B254" t="s">
        <v>232</v>
      </c>
      <c r="C254" t="s">
        <v>37</v>
      </c>
      <c r="E254">
        <v>166</v>
      </c>
      <c r="F254">
        <v>0</v>
      </c>
      <c r="G254">
        <v>2</v>
      </c>
      <c r="H254">
        <v>0</v>
      </c>
    </row>
    <row r="255" spans="1:8" x14ac:dyDescent="0.25">
      <c r="A255" t="s">
        <v>1108</v>
      </c>
      <c r="B255" t="s">
        <v>232</v>
      </c>
      <c r="C255" t="s">
        <v>45</v>
      </c>
      <c r="E255">
        <v>63</v>
      </c>
      <c r="F255">
        <v>0</v>
      </c>
      <c r="G255">
        <v>0</v>
      </c>
      <c r="H255">
        <v>0</v>
      </c>
    </row>
    <row r="256" spans="1:8" x14ac:dyDescent="0.25">
      <c r="A256" t="s">
        <v>1108</v>
      </c>
      <c r="B256" t="s">
        <v>232</v>
      </c>
      <c r="C256" t="s">
        <v>54</v>
      </c>
      <c r="D256" t="s">
        <v>361</v>
      </c>
      <c r="E256">
        <v>57</v>
      </c>
      <c r="F256">
        <v>0</v>
      </c>
      <c r="G256">
        <v>0</v>
      </c>
      <c r="H256">
        <v>0</v>
      </c>
    </row>
    <row r="257" spans="1:8" x14ac:dyDescent="0.25">
      <c r="A257" t="s">
        <v>1108</v>
      </c>
      <c r="B257" t="s">
        <v>233</v>
      </c>
      <c r="C257" t="s">
        <v>1038</v>
      </c>
      <c r="E257">
        <v>0</v>
      </c>
      <c r="F257">
        <v>16</v>
      </c>
      <c r="G257">
        <v>6</v>
      </c>
      <c r="H257">
        <v>0</v>
      </c>
    </row>
    <row r="258" spans="1:8" x14ac:dyDescent="0.25">
      <c r="A258" t="s">
        <v>1108</v>
      </c>
      <c r="B258" t="s">
        <v>233</v>
      </c>
      <c r="C258" t="s">
        <v>66</v>
      </c>
      <c r="E258">
        <v>0</v>
      </c>
      <c r="F258">
        <v>13</v>
      </c>
      <c r="G258">
        <v>12</v>
      </c>
      <c r="H258">
        <v>0</v>
      </c>
    </row>
    <row r="259" spans="1:8" x14ac:dyDescent="0.25">
      <c r="A259" t="s">
        <v>239</v>
      </c>
      <c r="B259" t="s">
        <v>232</v>
      </c>
      <c r="C259" t="s">
        <v>31</v>
      </c>
      <c r="D259" t="s">
        <v>285</v>
      </c>
      <c r="E259">
        <v>154</v>
      </c>
      <c r="F259">
        <v>0</v>
      </c>
      <c r="G259">
        <v>0</v>
      </c>
      <c r="H259">
        <v>0</v>
      </c>
    </row>
    <row r="260" spans="1:8" x14ac:dyDescent="0.25">
      <c r="A260" t="s">
        <v>239</v>
      </c>
      <c r="B260" t="s">
        <v>232</v>
      </c>
      <c r="C260" t="s">
        <v>34</v>
      </c>
      <c r="D260" t="s">
        <v>287</v>
      </c>
      <c r="E260">
        <v>54</v>
      </c>
      <c r="F260">
        <v>0</v>
      </c>
      <c r="G260">
        <v>0</v>
      </c>
      <c r="H260">
        <v>0</v>
      </c>
    </row>
    <row r="261" spans="1:8" x14ac:dyDescent="0.25">
      <c r="A261" t="s">
        <v>239</v>
      </c>
      <c r="B261" t="s">
        <v>232</v>
      </c>
      <c r="C261" t="s">
        <v>43</v>
      </c>
      <c r="D261" t="s">
        <v>361</v>
      </c>
      <c r="E261">
        <v>274</v>
      </c>
      <c r="F261">
        <v>0</v>
      </c>
      <c r="G261">
        <v>0</v>
      </c>
      <c r="H261">
        <v>0</v>
      </c>
    </row>
    <row r="262" spans="1:8" x14ac:dyDescent="0.25">
      <c r="A262" t="s">
        <v>239</v>
      </c>
      <c r="B262" t="s">
        <v>232</v>
      </c>
      <c r="C262" t="s">
        <v>47</v>
      </c>
      <c r="D262" t="s">
        <v>276</v>
      </c>
      <c r="E262">
        <v>30</v>
      </c>
      <c r="F262">
        <v>0</v>
      </c>
      <c r="G262">
        <v>0</v>
      </c>
      <c r="H262">
        <v>0</v>
      </c>
    </row>
    <row r="263" spans="1:8" x14ac:dyDescent="0.25">
      <c r="A263" t="s">
        <v>239</v>
      </c>
      <c r="B263" t="s">
        <v>232</v>
      </c>
      <c r="C263" t="s">
        <v>56</v>
      </c>
      <c r="D263" t="s">
        <v>282</v>
      </c>
      <c r="E263">
        <v>50</v>
      </c>
      <c r="F263">
        <v>0</v>
      </c>
      <c r="G263">
        <v>0</v>
      </c>
      <c r="H263">
        <v>0</v>
      </c>
    </row>
    <row r="264" spans="1:8" x14ac:dyDescent="0.25">
      <c r="A264" t="s">
        <v>239</v>
      </c>
      <c r="B264" t="s">
        <v>233</v>
      </c>
      <c r="C264" t="s">
        <v>63</v>
      </c>
      <c r="D264" t="s">
        <v>335</v>
      </c>
      <c r="E264">
        <v>0</v>
      </c>
      <c r="F264">
        <v>11</v>
      </c>
      <c r="G264">
        <v>14</v>
      </c>
      <c r="H264">
        <v>0</v>
      </c>
    </row>
    <row r="265" spans="1:8" x14ac:dyDescent="0.25">
      <c r="A265" t="s">
        <v>239</v>
      </c>
      <c r="B265" t="s">
        <v>233</v>
      </c>
      <c r="C265" t="s">
        <v>36</v>
      </c>
      <c r="D265" t="s">
        <v>338</v>
      </c>
      <c r="E265">
        <v>0</v>
      </c>
      <c r="F265">
        <v>9</v>
      </c>
      <c r="G265">
        <v>13</v>
      </c>
      <c r="H265">
        <v>0</v>
      </c>
    </row>
    <row r="266" spans="1:8" x14ac:dyDescent="0.25">
      <c r="A266" t="s">
        <v>239</v>
      </c>
      <c r="B266" t="s">
        <v>233</v>
      </c>
      <c r="C266" t="s">
        <v>66</v>
      </c>
      <c r="D266" t="s">
        <v>339</v>
      </c>
      <c r="E266">
        <v>0</v>
      </c>
      <c r="F266">
        <v>13</v>
      </c>
      <c r="G266">
        <v>12</v>
      </c>
      <c r="H266">
        <v>0</v>
      </c>
    </row>
    <row r="267" spans="1:8" x14ac:dyDescent="0.25">
      <c r="A267" t="s">
        <v>239</v>
      </c>
      <c r="B267" t="s">
        <v>233</v>
      </c>
      <c r="C267" t="s">
        <v>69</v>
      </c>
      <c r="D267" t="s">
        <v>361</v>
      </c>
      <c r="E267">
        <v>0</v>
      </c>
      <c r="F267">
        <v>9</v>
      </c>
      <c r="G267">
        <v>11</v>
      </c>
      <c r="H267">
        <v>0</v>
      </c>
    </row>
    <row r="268" spans="1:8" x14ac:dyDescent="0.25">
      <c r="A268" t="s">
        <v>239</v>
      </c>
      <c r="B268" t="s">
        <v>233</v>
      </c>
      <c r="C268" t="s">
        <v>117</v>
      </c>
      <c r="D268" t="s">
        <v>994</v>
      </c>
      <c r="E268">
        <v>0</v>
      </c>
      <c r="F268">
        <v>14</v>
      </c>
      <c r="G268">
        <v>11</v>
      </c>
      <c r="H268">
        <v>0</v>
      </c>
    </row>
    <row r="269" spans="1:8" x14ac:dyDescent="0.25">
      <c r="A269" t="s">
        <v>239</v>
      </c>
      <c r="B269" t="s">
        <v>234</v>
      </c>
      <c r="C269" t="s">
        <v>164</v>
      </c>
      <c r="D269" t="s">
        <v>361</v>
      </c>
      <c r="E269">
        <v>0</v>
      </c>
      <c r="F269">
        <v>11</v>
      </c>
      <c r="G269">
        <v>26</v>
      </c>
      <c r="H269">
        <v>0</v>
      </c>
    </row>
    <row r="270" spans="1:8" x14ac:dyDescent="0.25">
      <c r="A270" t="s">
        <v>760</v>
      </c>
      <c r="B270" t="s">
        <v>232</v>
      </c>
      <c r="C270" t="s">
        <v>34</v>
      </c>
      <c r="D270" t="s">
        <v>362</v>
      </c>
      <c r="E270">
        <v>53</v>
      </c>
      <c r="F270">
        <v>0</v>
      </c>
      <c r="G270">
        <v>0</v>
      </c>
      <c r="H270">
        <v>0</v>
      </c>
    </row>
    <row r="271" spans="1:8" x14ac:dyDescent="0.25">
      <c r="A271" t="s">
        <v>760</v>
      </c>
      <c r="B271" t="s">
        <v>232</v>
      </c>
      <c r="C271" t="s">
        <v>165</v>
      </c>
      <c r="D271" t="s">
        <v>361</v>
      </c>
      <c r="E271">
        <v>306</v>
      </c>
      <c r="F271">
        <v>0</v>
      </c>
      <c r="G271">
        <v>0</v>
      </c>
      <c r="H271">
        <v>0</v>
      </c>
    </row>
    <row r="272" spans="1:8" x14ac:dyDescent="0.25">
      <c r="A272" t="s">
        <v>760</v>
      </c>
      <c r="B272" t="s">
        <v>232</v>
      </c>
      <c r="C272" t="s">
        <v>117</v>
      </c>
      <c r="D272" t="s">
        <v>362</v>
      </c>
      <c r="E272">
        <v>517</v>
      </c>
      <c r="F272">
        <v>0</v>
      </c>
      <c r="G272">
        <v>0</v>
      </c>
      <c r="H272">
        <v>0</v>
      </c>
    </row>
    <row r="273" spans="1:8" x14ac:dyDescent="0.25">
      <c r="A273" t="s">
        <v>760</v>
      </c>
      <c r="B273" t="s">
        <v>232</v>
      </c>
      <c r="C273" t="s">
        <v>46</v>
      </c>
      <c r="D273" t="s">
        <v>361</v>
      </c>
      <c r="E273">
        <v>26</v>
      </c>
      <c r="F273">
        <v>0</v>
      </c>
      <c r="G273">
        <v>0</v>
      </c>
      <c r="H273">
        <v>0</v>
      </c>
    </row>
    <row r="274" spans="1:8" x14ac:dyDescent="0.25">
      <c r="A274" t="s">
        <v>760</v>
      </c>
      <c r="B274" t="s">
        <v>232</v>
      </c>
      <c r="C274" t="s">
        <v>47</v>
      </c>
      <c r="D274" t="s">
        <v>363</v>
      </c>
      <c r="E274">
        <v>30</v>
      </c>
      <c r="F274">
        <v>0</v>
      </c>
      <c r="G274">
        <v>0</v>
      </c>
      <c r="H274">
        <v>0</v>
      </c>
    </row>
    <row r="275" spans="1:8" x14ac:dyDescent="0.25">
      <c r="A275" t="s">
        <v>760</v>
      </c>
      <c r="B275" t="s">
        <v>232</v>
      </c>
      <c r="C275" t="s">
        <v>57</v>
      </c>
      <c r="D275" t="s">
        <v>362</v>
      </c>
      <c r="E275">
        <v>168</v>
      </c>
      <c r="F275">
        <v>0</v>
      </c>
      <c r="G275">
        <v>0</v>
      </c>
      <c r="H275">
        <v>0</v>
      </c>
    </row>
    <row r="276" spans="1:8" x14ac:dyDescent="0.25">
      <c r="A276" t="s">
        <v>760</v>
      </c>
      <c r="B276" t="s">
        <v>233</v>
      </c>
      <c r="C276" t="s">
        <v>68</v>
      </c>
      <c r="D276" t="s">
        <v>362</v>
      </c>
      <c r="E276">
        <v>0</v>
      </c>
      <c r="F276">
        <v>9</v>
      </c>
      <c r="G276">
        <v>4</v>
      </c>
      <c r="H276">
        <v>0</v>
      </c>
    </row>
    <row r="277" spans="1:8" x14ac:dyDescent="0.25">
      <c r="A277" t="s">
        <v>760</v>
      </c>
      <c r="B277" t="s">
        <v>233</v>
      </c>
      <c r="C277" t="s">
        <v>57</v>
      </c>
      <c r="D277" t="s">
        <v>362</v>
      </c>
      <c r="E277">
        <v>0</v>
      </c>
      <c r="F277">
        <v>9</v>
      </c>
      <c r="G277">
        <v>7</v>
      </c>
      <c r="H277">
        <v>0</v>
      </c>
    </row>
    <row r="278" spans="1:8" x14ac:dyDescent="0.25">
      <c r="A278" t="s">
        <v>760</v>
      </c>
      <c r="B278" t="s">
        <v>233</v>
      </c>
      <c r="C278" t="s">
        <v>71</v>
      </c>
      <c r="D278" t="s">
        <v>363</v>
      </c>
      <c r="E278">
        <v>0</v>
      </c>
      <c r="F278">
        <v>9</v>
      </c>
      <c r="G278">
        <v>5</v>
      </c>
      <c r="H278">
        <v>0</v>
      </c>
    </row>
    <row r="279" spans="1:8" x14ac:dyDescent="0.25">
      <c r="A279" t="s">
        <v>917</v>
      </c>
      <c r="B279" t="s">
        <v>232</v>
      </c>
      <c r="C279" t="s">
        <v>31</v>
      </c>
      <c r="D279" t="s">
        <v>363</v>
      </c>
      <c r="E279">
        <v>149</v>
      </c>
      <c r="F279">
        <v>0</v>
      </c>
      <c r="G279">
        <v>0</v>
      </c>
      <c r="H279">
        <v>0</v>
      </c>
    </row>
    <row r="280" spans="1:8" x14ac:dyDescent="0.25">
      <c r="A280" t="s">
        <v>917</v>
      </c>
      <c r="B280" t="s">
        <v>232</v>
      </c>
      <c r="C280" t="s">
        <v>33</v>
      </c>
      <c r="D280" t="s">
        <v>363</v>
      </c>
      <c r="E280">
        <v>27</v>
      </c>
      <c r="F280">
        <v>0</v>
      </c>
      <c r="G280">
        <v>0</v>
      </c>
      <c r="H280">
        <v>0</v>
      </c>
    </row>
    <row r="281" spans="1:8" x14ac:dyDescent="0.25">
      <c r="A281" t="s">
        <v>917</v>
      </c>
      <c r="B281" t="s">
        <v>232</v>
      </c>
      <c r="C281" t="s">
        <v>56</v>
      </c>
      <c r="D281" t="s">
        <v>362</v>
      </c>
      <c r="E281">
        <v>51</v>
      </c>
      <c r="F281">
        <v>0</v>
      </c>
      <c r="G281">
        <v>0</v>
      </c>
      <c r="H281">
        <v>0</v>
      </c>
    </row>
    <row r="282" spans="1:8" x14ac:dyDescent="0.25">
      <c r="A282" t="s">
        <v>917</v>
      </c>
      <c r="B282" t="s">
        <v>232</v>
      </c>
      <c r="C282" t="s">
        <v>58</v>
      </c>
      <c r="D282" t="s">
        <v>361</v>
      </c>
      <c r="E282">
        <v>52</v>
      </c>
      <c r="F282">
        <v>0</v>
      </c>
      <c r="G282">
        <v>0</v>
      </c>
      <c r="H282">
        <v>0</v>
      </c>
    </row>
    <row r="283" spans="1:8" x14ac:dyDescent="0.25">
      <c r="A283" t="s">
        <v>917</v>
      </c>
      <c r="B283" t="s">
        <v>233</v>
      </c>
      <c r="C283" t="s">
        <v>31</v>
      </c>
      <c r="D283" t="s">
        <v>363</v>
      </c>
      <c r="E283">
        <v>0</v>
      </c>
      <c r="F283">
        <v>6</v>
      </c>
      <c r="G283">
        <v>6</v>
      </c>
      <c r="H283">
        <v>0</v>
      </c>
    </row>
    <row r="284" spans="1:8" x14ac:dyDescent="0.25">
      <c r="A284" t="s">
        <v>917</v>
      </c>
      <c r="B284" t="s">
        <v>233</v>
      </c>
      <c r="C284" t="s">
        <v>63</v>
      </c>
      <c r="D284" t="s">
        <v>363</v>
      </c>
      <c r="E284">
        <v>0</v>
      </c>
      <c r="F284">
        <v>13</v>
      </c>
      <c r="G284">
        <v>13</v>
      </c>
      <c r="H284">
        <v>0</v>
      </c>
    </row>
    <row r="285" spans="1:8" x14ac:dyDescent="0.25">
      <c r="A285" t="s">
        <v>917</v>
      </c>
      <c r="B285" t="s">
        <v>233</v>
      </c>
      <c r="C285" t="s">
        <v>165</v>
      </c>
      <c r="D285" t="s">
        <v>361</v>
      </c>
      <c r="E285">
        <v>0</v>
      </c>
      <c r="F285">
        <v>11</v>
      </c>
      <c r="G285">
        <v>17</v>
      </c>
      <c r="H285">
        <v>0</v>
      </c>
    </row>
    <row r="286" spans="1:8" x14ac:dyDescent="0.25">
      <c r="A286" t="s">
        <v>917</v>
      </c>
      <c r="B286" t="s">
        <v>233</v>
      </c>
      <c r="C286" t="s">
        <v>762</v>
      </c>
      <c r="E286">
        <v>0</v>
      </c>
      <c r="F286">
        <v>12</v>
      </c>
      <c r="G286">
        <v>10</v>
      </c>
      <c r="H286">
        <v>0</v>
      </c>
    </row>
    <row r="287" spans="1:8" x14ac:dyDescent="0.25">
      <c r="A287" t="s">
        <v>917</v>
      </c>
      <c r="B287" t="s">
        <v>234</v>
      </c>
      <c r="C287" t="s">
        <v>162</v>
      </c>
      <c r="D287" t="s">
        <v>363</v>
      </c>
      <c r="E287">
        <v>0</v>
      </c>
      <c r="F287">
        <v>10</v>
      </c>
      <c r="G287">
        <v>32</v>
      </c>
      <c r="H287">
        <v>13</v>
      </c>
    </row>
    <row r="288" spans="1:8" x14ac:dyDescent="0.25">
      <c r="A288" t="s">
        <v>1010</v>
      </c>
      <c r="B288" t="s">
        <v>232</v>
      </c>
      <c r="C288" t="s">
        <v>42</v>
      </c>
      <c r="D288" t="s">
        <v>361</v>
      </c>
      <c r="E288">
        <v>87</v>
      </c>
      <c r="F288">
        <v>0</v>
      </c>
      <c r="G288">
        <v>0</v>
      </c>
      <c r="H288">
        <v>0</v>
      </c>
    </row>
    <row r="289" spans="1:8" x14ac:dyDescent="0.25">
      <c r="A289" t="s">
        <v>1010</v>
      </c>
      <c r="B289" t="s">
        <v>232</v>
      </c>
      <c r="C289" t="s">
        <v>54</v>
      </c>
      <c r="D289" t="s">
        <v>361</v>
      </c>
      <c r="E289">
        <v>53</v>
      </c>
      <c r="F289">
        <v>0</v>
      </c>
      <c r="G289">
        <v>0</v>
      </c>
      <c r="H289">
        <v>0</v>
      </c>
    </row>
    <row r="290" spans="1:8" x14ac:dyDescent="0.25">
      <c r="A290" t="s">
        <v>1010</v>
      </c>
      <c r="B290" t="s">
        <v>233</v>
      </c>
      <c r="C290" t="s">
        <v>1038</v>
      </c>
      <c r="E290">
        <v>0</v>
      </c>
      <c r="F290">
        <v>17</v>
      </c>
      <c r="G290">
        <v>19</v>
      </c>
      <c r="H290">
        <v>0</v>
      </c>
    </row>
    <row r="291" spans="1:8" x14ac:dyDescent="0.25">
      <c r="A291" t="s">
        <v>1010</v>
      </c>
      <c r="B291" t="s">
        <v>233</v>
      </c>
      <c r="C291" t="s">
        <v>71</v>
      </c>
      <c r="E291">
        <v>0</v>
      </c>
      <c r="F291">
        <v>12</v>
      </c>
      <c r="G291">
        <v>5</v>
      </c>
      <c r="H291">
        <v>0</v>
      </c>
    </row>
    <row r="292" spans="1:8" x14ac:dyDescent="0.25">
      <c r="A292" t="s">
        <v>1061</v>
      </c>
      <c r="B292" t="s">
        <v>232</v>
      </c>
      <c r="C292" t="s">
        <v>59</v>
      </c>
      <c r="E292">
        <v>68</v>
      </c>
      <c r="F292">
        <v>0</v>
      </c>
      <c r="G292">
        <v>0</v>
      </c>
      <c r="H292">
        <v>0</v>
      </c>
    </row>
    <row r="293" spans="1:8" x14ac:dyDescent="0.25">
      <c r="A293" t="s">
        <v>1061</v>
      </c>
      <c r="B293" t="s">
        <v>232</v>
      </c>
      <c r="C293" t="s">
        <v>60</v>
      </c>
      <c r="D293" t="s">
        <v>361</v>
      </c>
      <c r="E293">
        <v>57</v>
      </c>
      <c r="F293">
        <v>0</v>
      </c>
      <c r="G293">
        <v>0</v>
      </c>
      <c r="H293">
        <v>0</v>
      </c>
    </row>
    <row r="294" spans="1:8" x14ac:dyDescent="0.25">
      <c r="A294" t="s">
        <v>1061</v>
      </c>
      <c r="B294" t="s">
        <v>233</v>
      </c>
      <c r="C294" t="s">
        <v>67</v>
      </c>
      <c r="E294">
        <v>0</v>
      </c>
      <c r="F294">
        <v>11</v>
      </c>
      <c r="G294">
        <v>16</v>
      </c>
      <c r="H294">
        <v>0</v>
      </c>
    </row>
    <row r="295" spans="1:8" x14ac:dyDescent="0.25">
      <c r="A295" t="s">
        <v>1061</v>
      </c>
      <c r="B295" t="s">
        <v>233</v>
      </c>
      <c r="C295" t="s">
        <v>762</v>
      </c>
      <c r="D295" t="s">
        <v>361</v>
      </c>
      <c r="E295">
        <v>0</v>
      </c>
      <c r="F295">
        <v>2</v>
      </c>
      <c r="G295">
        <v>3</v>
      </c>
      <c r="H295">
        <v>0</v>
      </c>
    </row>
    <row r="296" spans="1:8" x14ac:dyDescent="0.25">
      <c r="A296" t="s">
        <v>1061</v>
      </c>
      <c r="B296" t="s">
        <v>235</v>
      </c>
      <c r="C296" t="s">
        <v>244</v>
      </c>
      <c r="D296" t="s">
        <v>347</v>
      </c>
      <c r="E296">
        <v>0</v>
      </c>
      <c r="F296">
        <v>52</v>
      </c>
      <c r="G296">
        <v>17</v>
      </c>
      <c r="H296">
        <v>0</v>
      </c>
    </row>
    <row r="297" spans="1:8" x14ac:dyDescent="0.25">
      <c r="A297" t="s">
        <v>1108</v>
      </c>
      <c r="B297" t="s">
        <v>232</v>
      </c>
      <c r="C297" t="s">
        <v>34</v>
      </c>
      <c r="E297">
        <v>54</v>
      </c>
      <c r="F297">
        <v>0</v>
      </c>
      <c r="G297">
        <v>1</v>
      </c>
      <c r="H297">
        <v>0</v>
      </c>
    </row>
    <row r="298" spans="1:8" x14ac:dyDescent="0.25">
      <c r="A298" t="s">
        <v>1108</v>
      </c>
      <c r="B298" t="s">
        <v>232</v>
      </c>
      <c r="C298" t="s">
        <v>984</v>
      </c>
      <c r="E298">
        <v>53</v>
      </c>
      <c r="F298">
        <v>0</v>
      </c>
      <c r="G298">
        <v>0</v>
      </c>
      <c r="H298">
        <v>0</v>
      </c>
    </row>
    <row r="299" spans="1:8" x14ac:dyDescent="0.25">
      <c r="A299" t="s">
        <v>1108</v>
      </c>
      <c r="B299" t="s">
        <v>232</v>
      </c>
      <c r="C299" t="s">
        <v>39</v>
      </c>
      <c r="E299">
        <v>76</v>
      </c>
      <c r="F299">
        <v>0</v>
      </c>
      <c r="G299">
        <v>0</v>
      </c>
      <c r="H299">
        <v>0</v>
      </c>
    </row>
    <row r="300" spans="1:8" x14ac:dyDescent="0.25">
      <c r="A300" t="s">
        <v>1108</v>
      </c>
      <c r="B300" t="s">
        <v>232</v>
      </c>
      <c r="C300" t="s">
        <v>41</v>
      </c>
      <c r="E300">
        <v>53</v>
      </c>
      <c r="F300">
        <v>0</v>
      </c>
      <c r="G300">
        <v>0</v>
      </c>
      <c r="H300">
        <v>0</v>
      </c>
    </row>
    <row r="301" spans="1:8" x14ac:dyDescent="0.25">
      <c r="A301" t="s">
        <v>1108</v>
      </c>
      <c r="B301" t="s">
        <v>232</v>
      </c>
      <c r="C301" t="s">
        <v>70</v>
      </c>
      <c r="E301">
        <v>72</v>
      </c>
      <c r="F301">
        <v>0</v>
      </c>
      <c r="G301">
        <v>8</v>
      </c>
      <c r="H301">
        <v>0</v>
      </c>
    </row>
    <row r="302" spans="1:8" x14ac:dyDescent="0.25">
      <c r="A302" t="s">
        <v>1108</v>
      </c>
      <c r="B302" t="s">
        <v>232</v>
      </c>
      <c r="C302" t="s">
        <v>48</v>
      </c>
      <c r="E302">
        <v>0</v>
      </c>
      <c r="F302">
        <v>0</v>
      </c>
      <c r="G302">
        <v>3</v>
      </c>
      <c r="H302">
        <v>0</v>
      </c>
    </row>
    <row r="303" spans="1:8" x14ac:dyDescent="0.25">
      <c r="A303" t="s">
        <v>1108</v>
      </c>
      <c r="B303" t="s">
        <v>232</v>
      </c>
      <c r="C303" t="s">
        <v>49</v>
      </c>
      <c r="E303">
        <v>85</v>
      </c>
      <c r="F303">
        <v>0</v>
      </c>
      <c r="G303">
        <v>0</v>
      </c>
      <c r="H303">
        <v>0</v>
      </c>
    </row>
    <row r="304" spans="1:8" x14ac:dyDescent="0.25">
      <c r="A304" t="s">
        <v>1108</v>
      </c>
      <c r="B304" t="s">
        <v>232</v>
      </c>
      <c r="C304" t="s">
        <v>52</v>
      </c>
      <c r="E304">
        <v>65</v>
      </c>
      <c r="F304">
        <v>0</v>
      </c>
      <c r="G304">
        <v>1</v>
      </c>
      <c r="H304">
        <v>0</v>
      </c>
    </row>
    <row r="305" spans="1:8" x14ac:dyDescent="0.25">
      <c r="A305" t="s">
        <v>1108</v>
      </c>
      <c r="B305" t="s">
        <v>232</v>
      </c>
      <c r="C305" t="s">
        <v>56</v>
      </c>
      <c r="E305">
        <v>51</v>
      </c>
      <c r="F305">
        <v>0</v>
      </c>
      <c r="G305">
        <v>1</v>
      </c>
      <c r="H305">
        <v>0</v>
      </c>
    </row>
    <row r="306" spans="1:8" x14ac:dyDescent="0.25">
      <c r="A306" t="s">
        <v>1108</v>
      </c>
      <c r="B306" t="s">
        <v>232</v>
      </c>
      <c r="C306" t="s">
        <v>58</v>
      </c>
      <c r="D306" t="s">
        <v>361</v>
      </c>
      <c r="E306">
        <v>49</v>
      </c>
      <c r="F306">
        <v>0</v>
      </c>
      <c r="G306">
        <v>0</v>
      </c>
      <c r="H306">
        <v>0</v>
      </c>
    </row>
    <row r="307" spans="1:8" x14ac:dyDescent="0.25">
      <c r="A307" t="s">
        <v>1108</v>
      </c>
      <c r="B307" t="s">
        <v>233</v>
      </c>
      <c r="C307" t="s">
        <v>165</v>
      </c>
      <c r="E307">
        <v>0</v>
      </c>
      <c r="F307">
        <v>11</v>
      </c>
      <c r="G307">
        <v>16</v>
      </c>
      <c r="H307">
        <v>0</v>
      </c>
    </row>
    <row r="308" spans="1:8" x14ac:dyDescent="0.25">
      <c r="A308" t="s">
        <v>1108</v>
      </c>
      <c r="B308" t="s">
        <v>233</v>
      </c>
      <c r="C308" t="s">
        <v>36</v>
      </c>
      <c r="E308">
        <v>0</v>
      </c>
      <c r="F308">
        <v>8</v>
      </c>
      <c r="G308">
        <v>14</v>
      </c>
      <c r="H308">
        <v>0</v>
      </c>
    </row>
    <row r="309" spans="1:8" x14ac:dyDescent="0.25">
      <c r="A309" t="s">
        <v>1108</v>
      </c>
      <c r="B309" t="s">
        <v>233</v>
      </c>
      <c r="C309" t="s">
        <v>70</v>
      </c>
      <c r="E309">
        <v>0</v>
      </c>
      <c r="F309">
        <v>17</v>
      </c>
      <c r="G309">
        <v>6</v>
      </c>
      <c r="H309">
        <v>0</v>
      </c>
    </row>
    <row r="310" spans="1:8" x14ac:dyDescent="0.25">
      <c r="A310" t="s">
        <v>1108</v>
      </c>
      <c r="B310" t="s">
        <v>233</v>
      </c>
      <c r="C310" t="s">
        <v>1040</v>
      </c>
      <c r="E310">
        <v>0</v>
      </c>
      <c r="F310">
        <v>14</v>
      </c>
      <c r="G310">
        <v>13</v>
      </c>
      <c r="H310">
        <v>0</v>
      </c>
    </row>
    <row r="311" spans="1:8" x14ac:dyDescent="0.25">
      <c r="A311" t="s">
        <v>1108</v>
      </c>
      <c r="B311" t="s">
        <v>233</v>
      </c>
      <c r="C311" t="s">
        <v>67</v>
      </c>
      <c r="E311">
        <v>0</v>
      </c>
      <c r="F311">
        <v>10</v>
      </c>
      <c r="G311">
        <v>16</v>
      </c>
      <c r="H311">
        <v>0</v>
      </c>
    </row>
    <row r="312" spans="1:8" x14ac:dyDescent="0.25">
      <c r="A312" t="s">
        <v>1108</v>
      </c>
      <c r="B312" t="s">
        <v>233</v>
      </c>
      <c r="C312" t="s">
        <v>762</v>
      </c>
      <c r="E312">
        <v>0</v>
      </c>
      <c r="F312">
        <v>12</v>
      </c>
      <c r="G312">
        <v>17</v>
      </c>
      <c r="H312">
        <v>0</v>
      </c>
    </row>
  </sheetData>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H79"/>
  <sheetViews>
    <sheetView showGridLines="0" zoomScaleNormal="100" workbookViewId="0">
      <pane ySplit="2" topLeftCell="A3" activePane="bottomLeft" state="frozen"/>
      <selection pane="bottomLeft"/>
    </sheetView>
  </sheetViews>
  <sheetFormatPr defaultRowHeight="15" x14ac:dyDescent="0.25"/>
  <cols>
    <col min="1" max="1" width="17.140625" customWidth="1"/>
    <col min="2" max="2" width="59.42578125" customWidth="1"/>
    <col min="3" max="7" width="13.28515625" customWidth="1"/>
    <col min="8" max="8" width="19.5703125" customWidth="1"/>
  </cols>
  <sheetData>
    <row r="1" spans="1:7" ht="30" customHeight="1" x14ac:dyDescent="0.25">
      <c r="A1" s="522" t="s">
        <v>450</v>
      </c>
      <c r="B1" s="522"/>
      <c r="C1" s="522"/>
      <c r="D1" s="522"/>
      <c r="E1" s="522"/>
      <c r="F1" s="522"/>
      <c r="G1" s="522"/>
    </row>
    <row r="2" spans="1:7" ht="18" x14ac:dyDescent="0.25">
      <c r="A2" s="507" t="s">
        <v>511</v>
      </c>
      <c r="B2" s="1"/>
      <c r="C2" s="1"/>
      <c r="D2" s="1"/>
      <c r="E2" s="1"/>
      <c r="F2" s="1"/>
      <c r="G2" s="1"/>
    </row>
    <row r="4" spans="1:7" ht="30" customHeight="1" x14ac:dyDescent="0.25">
      <c r="A4" s="447" t="s">
        <v>836</v>
      </c>
      <c r="B4" s="447"/>
    </row>
    <row r="5" spans="1:7" ht="15" customHeight="1" x14ac:dyDescent="0.25">
      <c r="A5" t="s">
        <v>328</v>
      </c>
      <c r="B5" t="s">
        <v>868</v>
      </c>
    </row>
    <row r="6" spans="1:7" ht="15" customHeight="1" x14ac:dyDescent="0.25">
      <c r="A6" t="s">
        <v>329</v>
      </c>
      <c r="B6" t="s">
        <v>331</v>
      </c>
    </row>
    <row r="7" spans="1:7" ht="15" customHeight="1" x14ac:dyDescent="0.25">
      <c r="A7" t="s">
        <v>330</v>
      </c>
      <c r="B7" t="s">
        <v>332</v>
      </c>
    </row>
    <row r="8" spans="1:7" ht="22.5" customHeight="1" x14ac:dyDescent="0.25"/>
    <row r="9" spans="1:7" s="468" customFormat="1" ht="37.5" customHeight="1" x14ac:dyDescent="0.25">
      <c r="A9" s="602" t="s">
        <v>1</v>
      </c>
      <c r="B9" s="602" t="s">
        <v>205</v>
      </c>
      <c r="C9" s="3" t="s">
        <v>767</v>
      </c>
      <c r="D9" s="3" t="s">
        <v>768</v>
      </c>
      <c r="E9" s="3" t="s">
        <v>1214</v>
      </c>
      <c r="F9" s="3" t="s">
        <v>771</v>
      </c>
      <c r="G9" s="3" t="s">
        <v>4</v>
      </c>
    </row>
    <row r="10" spans="1:7" ht="30" customHeight="1" thickBot="1" x14ac:dyDescent="0.3">
      <c r="A10" s="38" t="str">
        <f>dutysystemlapivot!B1</f>
        <v>2023-24</v>
      </c>
      <c r="B10" s="38" t="s">
        <v>75</v>
      </c>
      <c r="C10" s="64">
        <f t="shared" ref="C10:F10" si="0">C45+C65+C71+C73</f>
        <v>2823</v>
      </c>
      <c r="D10" s="64">
        <f>D45+D65+D71+D73</f>
        <v>263</v>
      </c>
      <c r="E10" s="64">
        <f t="shared" si="0"/>
        <v>335</v>
      </c>
      <c r="F10" s="64">
        <f t="shared" si="0"/>
        <v>1</v>
      </c>
      <c r="G10" s="64">
        <f>G45+G65+G71+G73</f>
        <v>3422</v>
      </c>
    </row>
    <row r="11" spans="1:7" ht="19.5" customHeight="1" x14ac:dyDescent="0.25">
      <c r="B11" s="39"/>
      <c r="C11" s="44"/>
      <c r="D11" s="44"/>
      <c r="E11" s="44"/>
      <c r="F11" s="44"/>
      <c r="G11" s="44"/>
    </row>
    <row r="12" spans="1:7" ht="15" customHeight="1" x14ac:dyDescent="0.25">
      <c r="A12" s="42" t="s">
        <v>458</v>
      </c>
      <c r="B12" s="42" t="s">
        <v>30</v>
      </c>
      <c r="C12" s="20"/>
      <c r="D12" s="20"/>
      <c r="E12" s="20"/>
      <c r="F12" s="20"/>
      <c r="G12" s="20"/>
    </row>
    <row r="13" spans="1:7" ht="15" customHeight="1" x14ac:dyDescent="0.25">
      <c r="A13" s="398" t="s">
        <v>285</v>
      </c>
      <c r="B13" s="45" t="s">
        <v>31</v>
      </c>
      <c r="C13" s="66">
        <f>GETPIVOTDATA("Sum of Operational Crewing",dutysystemlapivot!$A$3,"ReportingLevel","1:LA","lvl","Aberdeen City")</f>
        <v>155</v>
      </c>
      <c r="D13" s="66">
        <f>GETPIVOTDATA("Sum of Incident Command Officers",dutysystemlapivot!$A$3,"ReportingLevel","1:LA","lvl","Aberdeen City")</f>
        <v>0</v>
      </c>
      <c r="E13" s="66">
        <f>GETPIVOTDATA("Sum of Office Duties",dutysystemlapivot!$A$3,"ReportingLevel","1:LA","lvl","Aberdeen City")</f>
        <v>7</v>
      </c>
      <c r="F13" s="66">
        <f>GETPIVOTDATA("Sum of Trainees",dutysystemlapivot!$A$3,"ReportingLevel","1:LA","lvl","Aberdeen City")</f>
        <v>0</v>
      </c>
      <c r="G13" s="66">
        <f>SUM(C13:F13)</f>
        <v>162</v>
      </c>
    </row>
    <row r="14" spans="1:7" ht="15" customHeight="1" x14ac:dyDescent="0.25">
      <c r="A14" s="89" t="s">
        <v>286</v>
      </c>
      <c r="B14" s="48" t="s">
        <v>32</v>
      </c>
      <c r="C14" s="66">
        <f>GETPIVOTDATA("Sum of Operational Crewing",dutysystemlapivot!$A$3,"ReportingLevel","1:LA","lvl","Aberdeenshire")</f>
        <v>28</v>
      </c>
      <c r="D14" s="66">
        <f>GETPIVOTDATA("Sum of Incident Command Officers",dutysystemlapivot!$A$3,"ReportingLevel","1:LA","lvl","Aberdeenshire")</f>
        <v>0</v>
      </c>
      <c r="E14" s="66">
        <f>GETPIVOTDATA("Sum of Office Duties",dutysystemlapivot!$A$3,"ReportingLevel","1:LA","lvl","Aberdeenshire")</f>
        <v>0</v>
      </c>
      <c r="F14" s="66">
        <f>GETPIVOTDATA("Sum of Trainees",dutysystemlapivot!$A$3,"ReportingLevel","1:LA","lvl","Aberdeenshire")</f>
        <v>0</v>
      </c>
      <c r="G14" s="66">
        <f t="shared" ref="G14:G44" si="1">SUM(C14:F14)</f>
        <v>28</v>
      </c>
    </row>
    <row r="15" spans="1:7" ht="15" customHeight="1" x14ac:dyDescent="0.25">
      <c r="A15" s="89" t="s">
        <v>292</v>
      </c>
      <c r="B15" s="48" t="s">
        <v>33</v>
      </c>
      <c r="C15" s="66">
        <f>GETPIVOTDATA("Sum of Operational Crewing",dutysystemlapivot!$A$3,"ReportingLevel","1:LA","lvl","Angus")</f>
        <v>27</v>
      </c>
      <c r="D15" s="66">
        <f>GETPIVOTDATA("Sum of Incident Command Officers",dutysystemlapivot!$A$3,"ReportingLevel","1:LA","lvl","Angus")</f>
        <v>0</v>
      </c>
      <c r="E15" s="66">
        <f>GETPIVOTDATA("Sum of Office Duties",dutysystemlapivot!$A$3,"ReportingLevel","1:LA","lvl","Angus")</f>
        <v>0</v>
      </c>
      <c r="F15" s="66">
        <f>GETPIVOTDATA("Sum of Trainees",dutysystemlapivot!$A$3,"ReportingLevel","1:LA","lvl","Angus")</f>
        <v>0</v>
      </c>
      <c r="G15" s="66">
        <f t="shared" si="1"/>
        <v>27</v>
      </c>
    </row>
    <row r="16" spans="1:7" ht="15" customHeight="1" x14ac:dyDescent="0.25">
      <c r="A16" s="89" t="s">
        <v>287</v>
      </c>
      <c r="B16" s="48" t="s">
        <v>34</v>
      </c>
      <c r="C16" s="66">
        <f>GETPIVOTDATA("Sum of Operational Crewing",dutysystemlapivot!$A$3,"ReportingLevel","1:LA","lvl","Argyll and Bute")</f>
        <v>54</v>
      </c>
      <c r="D16" s="66">
        <f>GETPIVOTDATA("Sum of Incident Command Officers",dutysystemlapivot!$A$3,"ReportingLevel","1:LA","lvl","Argyll and Bute")</f>
        <v>0</v>
      </c>
      <c r="E16" s="66">
        <f>GETPIVOTDATA("Sum of Office Duties",dutysystemlapivot!$A$3,"ReportingLevel","1:LA","lvl","Argyll and Bute")</f>
        <v>1</v>
      </c>
      <c r="F16" s="66">
        <f>GETPIVOTDATA("Sum of Trainees",dutysystemlapivot!$A$3,"ReportingLevel","1:LA","lvl","Argyll and Bute")</f>
        <v>0</v>
      </c>
      <c r="G16" s="66">
        <f t="shared" si="1"/>
        <v>55</v>
      </c>
    </row>
    <row r="17" spans="1:7" ht="15" customHeight="1" x14ac:dyDescent="0.25">
      <c r="A17" s="89" t="s">
        <v>288</v>
      </c>
      <c r="B17" s="48" t="s">
        <v>243</v>
      </c>
      <c r="C17" s="66">
        <f>GETPIVOTDATA("Sum of Operational Crewing",dutysystemlapivot!$A$3,"ReportingLevel","1:LA","lvl","Edinburgh City")</f>
        <v>293</v>
      </c>
      <c r="D17" s="66">
        <f>GETPIVOTDATA("Sum of Incident Command Officers",dutysystemlapivot!$A$3,"ReportingLevel","1:LA","lvl","Edinburgh City")</f>
        <v>0</v>
      </c>
      <c r="E17" s="66">
        <f>GETPIVOTDATA("Sum of Office Duties",dutysystemlapivot!$A$3,"ReportingLevel","1:LA","lvl","Edinburgh City")</f>
        <v>0</v>
      </c>
      <c r="F17" s="66">
        <f>GETPIVOTDATA("Sum of Trainees",dutysystemlapivot!$A$3,"ReportingLevel","1:LA","lvl","Edinburgh City")</f>
        <v>0</v>
      </c>
      <c r="G17" s="66">
        <f t="shared" si="1"/>
        <v>293</v>
      </c>
    </row>
    <row r="18" spans="1:7" ht="15" customHeight="1" x14ac:dyDescent="0.25">
      <c r="A18" s="89" t="s">
        <v>266</v>
      </c>
      <c r="B18" s="48" t="s">
        <v>35</v>
      </c>
      <c r="C18" s="66">
        <f>GETPIVOTDATA("Sum of Operational Crewing",dutysystemlapivot!$A$3,"ReportingLevel","1:LA","lvl","Clackmannanshire")</f>
        <v>26</v>
      </c>
      <c r="D18" s="66">
        <f>GETPIVOTDATA("Sum of Incident Command Officers",dutysystemlapivot!$A$3,"ReportingLevel","1:LA","lvl","Clackmannanshire")</f>
        <v>0</v>
      </c>
      <c r="E18" s="66">
        <f>GETPIVOTDATA("Sum of Office Duties",dutysystemlapivot!$A$3,"ReportingLevel","1:LA","lvl","Clackmannanshire")</f>
        <v>1</v>
      </c>
      <c r="F18" s="66">
        <f>GETPIVOTDATA("Sum of Trainees",dutysystemlapivot!$A$3,"ReportingLevel","1:LA","lvl","Clackmannanshire")</f>
        <v>0</v>
      </c>
      <c r="G18" s="66">
        <f t="shared" si="1"/>
        <v>27</v>
      </c>
    </row>
    <row r="19" spans="1:7" ht="15" customHeight="1" x14ac:dyDescent="0.25">
      <c r="A19" s="89" t="s">
        <v>267</v>
      </c>
      <c r="B19" s="48" t="s">
        <v>36</v>
      </c>
      <c r="C19" s="66">
        <f>GETPIVOTDATA("Sum of Operational Crewing",dutysystemlapivot!$A$3,"ReportingLevel","1:LA","lvl","Dumfries and Gallowa")</f>
        <v>53</v>
      </c>
      <c r="D19" s="66">
        <f>GETPIVOTDATA("Sum of Incident Command Officers",dutysystemlapivot!$A$3,"ReportingLevel","1:LA","lvl","Dumfries and Gallowa")</f>
        <v>0</v>
      </c>
      <c r="E19" s="66">
        <f>GETPIVOTDATA("Sum of Office Duties",dutysystemlapivot!$A$3,"ReportingLevel","1:LA","lvl","Dumfries and Gallowa")</f>
        <v>0</v>
      </c>
      <c r="F19" s="66">
        <f>GETPIVOTDATA("Sum of Trainees",dutysystemlapivot!$A$3,"ReportingLevel","1:LA","lvl","Dumfries and Gallowa")</f>
        <v>0</v>
      </c>
      <c r="G19" s="66">
        <f t="shared" si="1"/>
        <v>53</v>
      </c>
    </row>
    <row r="20" spans="1:7" ht="15" customHeight="1" x14ac:dyDescent="0.25">
      <c r="A20" s="89" t="s">
        <v>293</v>
      </c>
      <c r="B20" s="48" t="s">
        <v>37</v>
      </c>
      <c r="C20" s="66">
        <f>GETPIVOTDATA("Sum of Operational Crewing",dutysystemlapivot!$A$3,"ReportingLevel","1:LA","lvl","Dundee City")</f>
        <v>166</v>
      </c>
      <c r="D20" s="66">
        <f>GETPIVOTDATA("Sum of Incident Command Officers",dutysystemlapivot!$A$3,"ReportingLevel","1:LA","lvl","Dundee City")</f>
        <v>0</v>
      </c>
      <c r="E20" s="66">
        <f>GETPIVOTDATA("Sum of Office Duties",dutysystemlapivot!$A$3,"ReportingLevel","1:LA","lvl","Dundee City")</f>
        <v>2</v>
      </c>
      <c r="F20" s="66">
        <f>GETPIVOTDATA("Sum of Trainees",dutysystemlapivot!$A$3,"ReportingLevel","1:LA","lvl","Dundee City")</f>
        <v>0</v>
      </c>
      <c r="G20" s="66">
        <f t="shared" si="1"/>
        <v>168</v>
      </c>
    </row>
    <row r="21" spans="1:7" ht="15" customHeight="1" x14ac:dyDescent="0.25">
      <c r="A21" s="89" t="s">
        <v>268</v>
      </c>
      <c r="B21" s="48" t="s">
        <v>38</v>
      </c>
      <c r="C21" s="66">
        <f>GETPIVOTDATA("Sum of Operational Crewing",dutysystemlapivot!$A$3,"ReportingLevel","1:LA","lvl","East Ayrshire")</f>
        <v>47</v>
      </c>
      <c r="D21" s="66">
        <f>GETPIVOTDATA("Sum of Incident Command Officers",dutysystemlapivot!$A$3,"ReportingLevel","1:LA","lvl","East Ayrshire")</f>
        <v>0</v>
      </c>
      <c r="E21" s="66">
        <f>GETPIVOTDATA("Sum of Office Duties",dutysystemlapivot!$A$3,"ReportingLevel","1:LA","lvl","East Ayrshire")</f>
        <v>1</v>
      </c>
      <c r="F21" s="66">
        <f>GETPIVOTDATA("Sum of Trainees",dutysystemlapivot!$A$3,"ReportingLevel","1:LA","lvl","East Ayrshire")</f>
        <v>0</v>
      </c>
      <c r="G21" s="66">
        <f t="shared" si="1"/>
        <v>48</v>
      </c>
    </row>
    <row r="22" spans="1:7" ht="15" customHeight="1" x14ac:dyDescent="0.25">
      <c r="A22" s="89" t="s">
        <v>295</v>
      </c>
      <c r="B22" s="48" t="s">
        <v>39</v>
      </c>
      <c r="C22" s="66">
        <f>GETPIVOTDATA("Sum of Operational Crewing",dutysystemlapivot!$A$3,"ReportingLevel","1:LA","lvl","East Dunbartonshire")</f>
        <v>76</v>
      </c>
      <c r="D22" s="66">
        <f>GETPIVOTDATA("Sum of Incident Command Officers",dutysystemlapivot!$A$3,"ReportingLevel","1:LA","lvl","East Dunbartonshire")</f>
        <v>0</v>
      </c>
      <c r="E22" s="66">
        <f>GETPIVOTDATA("Sum of Office Duties",dutysystemlapivot!$A$3,"ReportingLevel","1:LA","lvl","East Dunbartonshire")</f>
        <v>0</v>
      </c>
      <c r="F22" s="66">
        <f>GETPIVOTDATA("Sum of Trainees",dutysystemlapivot!$A$3,"ReportingLevel","1:LA","lvl","East Dunbartonshire")</f>
        <v>0</v>
      </c>
      <c r="G22" s="66">
        <f t="shared" si="1"/>
        <v>76</v>
      </c>
    </row>
    <row r="23" spans="1:7" ht="15" customHeight="1" x14ac:dyDescent="0.25">
      <c r="A23" s="89" t="s">
        <v>269</v>
      </c>
      <c r="B23" s="48" t="s">
        <v>40</v>
      </c>
      <c r="C23" s="66">
        <f>GETPIVOTDATA("Sum of Operational Crewing",dutysystemlapivot!$A$3,"ReportingLevel","1:LA","lvl","East Lothian")</f>
        <v>25</v>
      </c>
      <c r="D23" s="66">
        <f>GETPIVOTDATA("Sum of Incident Command Officers",dutysystemlapivot!$A$3,"ReportingLevel","1:LA","lvl","East Lothian")</f>
        <v>0</v>
      </c>
      <c r="E23" s="66">
        <f>GETPIVOTDATA("Sum of Office Duties",dutysystemlapivot!$A$3,"ReportingLevel","1:LA","lvl","East Lothian")</f>
        <v>0</v>
      </c>
      <c r="F23" s="66">
        <f>GETPIVOTDATA("Sum of Trainees",dutysystemlapivot!$A$3,"ReportingLevel","1:LA","lvl","East Lothian")</f>
        <v>0</v>
      </c>
      <c r="G23" s="66">
        <f t="shared" si="1"/>
        <v>25</v>
      </c>
    </row>
    <row r="24" spans="1:7" ht="15" customHeight="1" x14ac:dyDescent="0.25">
      <c r="A24" s="89" t="s">
        <v>270</v>
      </c>
      <c r="B24" s="48" t="s">
        <v>41</v>
      </c>
      <c r="C24" s="66">
        <f>GETPIVOTDATA("Sum of Operational Crewing",dutysystemlapivot!$A$3,"ReportingLevel","1:LA","lvl","East Renfrewshire")</f>
        <v>53</v>
      </c>
      <c r="D24" s="66">
        <f>GETPIVOTDATA("Sum of Incident Command Officers",dutysystemlapivot!$A$3,"ReportingLevel","1:LA","lvl","East Renfrewshire")</f>
        <v>0</v>
      </c>
      <c r="E24" s="66">
        <f>GETPIVOTDATA("Sum of Office Duties",dutysystemlapivot!$A$3,"ReportingLevel","1:LA","lvl","East Renfrewshire")</f>
        <v>0</v>
      </c>
      <c r="F24" s="66">
        <f>GETPIVOTDATA("Sum of Trainees",dutysystemlapivot!$A$3,"ReportingLevel","1:LA","lvl","East Renfrewshire")</f>
        <v>0</v>
      </c>
      <c r="G24" s="66">
        <f t="shared" si="1"/>
        <v>53</v>
      </c>
    </row>
    <row r="25" spans="1:7" ht="15" customHeight="1" x14ac:dyDescent="0.25">
      <c r="A25" s="89" t="s">
        <v>272</v>
      </c>
      <c r="B25" s="48" t="s">
        <v>42</v>
      </c>
      <c r="C25" s="66">
        <f>GETPIVOTDATA("Sum of Operational Crewing",dutysystemlapivot!$A$3,"ReportingLevel","1:LA","lvl","Falkirk")</f>
        <v>91</v>
      </c>
      <c r="D25" s="66">
        <f>GETPIVOTDATA("Sum of Incident Command Officers",dutysystemlapivot!$A$3,"ReportingLevel","1:LA","lvl","Falkirk")</f>
        <v>0</v>
      </c>
      <c r="E25" s="66">
        <f>GETPIVOTDATA("Sum of Office Duties",dutysystemlapivot!$A$3,"ReportingLevel","1:LA","lvl","Falkirk")</f>
        <v>0</v>
      </c>
      <c r="F25" s="66">
        <f>GETPIVOTDATA("Sum of Trainees",dutysystemlapivot!$A$3,"ReportingLevel","1:LA","lvl","Falkirk")</f>
        <v>0</v>
      </c>
      <c r="G25" s="66">
        <f t="shared" si="1"/>
        <v>91</v>
      </c>
    </row>
    <row r="26" spans="1:7" ht="15" customHeight="1" x14ac:dyDescent="0.25">
      <c r="A26" s="89" t="s">
        <v>297</v>
      </c>
      <c r="B26" s="48" t="s">
        <v>43</v>
      </c>
      <c r="C26" s="66">
        <f>GETPIVOTDATA("Sum of Operational Crewing",dutysystemlapivot!$A$3,"ReportingLevel","1:LA","lvl","Fife")</f>
        <v>214</v>
      </c>
      <c r="D26" s="66">
        <f>GETPIVOTDATA("Sum of Incident Command Officers",dutysystemlapivot!$A$3,"ReportingLevel","1:LA","lvl","Fife")</f>
        <v>0</v>
      </c>
      <c r="E26" s="66">
        <f>GETPIVOTDATA("Sum of Office Duties",dutysystemlapivot!$A$3,"ReportingLevel","1:LA","lvl","Fife")</f>
        <v>2</v>
      </c>
      <c r="F26" s="66">
        <f>GETPIVOTDATA("Sum of Trainees",dutysystemlapivot!$A$3,"ReportingLevel","1:LA","lvl","Fife")</f>
        <v>0</v>
      </c>
      <c r="G26" s="66">
        <f t="shared" si="1"/>
        <v>216</v>
      </c>
    </row>
    <row r="27" spans="1:7" ht="15" customHeight="1" x14ac:dyDescent="0.25">
      <c r="A27" s="89" t="str">
        <f>IF(A10 = "2018-19","S12000046","S12000049")</f>
        <v>S12000049</v>
      </c>
      <c r="B27" s="48" t="s">
        <v>117</v>
      </c>
      <c r="C27" s="66">
        <f>GETPIVOTDATA("Sum of Operational Crewing",dutysystemlapivot!$A$3,"ReportingLevel","1:LA","lvl","Glasgow City")</f>
        <v>452</v>
      </c>
      <c r="D27" s="66">
        <f>GETPIVOTDATA("Sum of Incident Command Officers",dutysystemlapivot!$A$3,"ReportingLevel","1:LA","lvl","Glasgow City")</f>
        <v>0</v>
      </c>
      <c r="E27" s="66">
        <f>GETPIVOTDATA("Sum of Office Duties",dutysystemlapivot!$A$3,"ReportingLevel","1:LA","lvl","Glasgow City")</f>
        <v>11</v>
      </c>
      <c r="F27" s="66">
        <f>GETPIVOTDATA("Sum of Trainees",dutysystemlapivot!$A$3,"ReportingLevel","1:LA","lvl","Glasgow City")</f>
        <v>0</v>
      </c>
      <c r="G27" s="66">
        <f t="shared" si="1"/>
        <v>463</v>
      </c>
    </row>
    <row r="28" spans="1:7" ht="15" customHeight="1" x14ac:dyDescent="0.25">
      <c r="A28" s="89" t="s">
        <v>273</v>
      </c>
      <c r="B28" s="48" t="s">
        <v>44</v>
      </c>
      <c r="C28" s="66">
        <f>GETPIVOTDATA("Sum of Operational Crewing",dutysystemlapivot!$A$3,"ReportingLevel","1:LA","lvl","Highlands")</f>
        <v>72</v>
      </c>
      <c r="D28" s="66">
        <f>GETPIVOTDATA("Sum of Incident Command Officers",dutysystemlapivot!$A$3,"ReportingLevel","1:LA","lvl","Highlands")</f>
        <v>0</v>
      </c>
      <c r="E28" s="66">
        <f>GETPIVOTDATA("Sum of Office Duties",dutysystemlapivot!$A$3,"ReportingLevel","1:LA","lvl","Highlands")</f>
        <v>8</v>
      </c>
      <c r="F28" s="66">
        <f>GETPIVOTDATA("Sum of Trainees",dutysystemlapivot!$A$3,"ReportingLevel","1:LA","lvl","Highlands")</f>
        <v>0</v>
      </c>
      <c r="G28" s="66">
        <f t="shared" si="1"/>
        <v>80</v>
      </c>
    </row>
    <row r="29" spans="1:7" ht="15" customHeight="1" x14ac:dyDescent="0.25">
      <c r="A29" s="89" t="s">
        <v>274</v>
      </c>
      <c r="B29" s="48" t="s">
        <v>45</v>
      </c>
      <c r="C29" s="66">
        <f>GETPIVOTDATA("Sum of Operational Crewing",dutysystemlapivot!$A$3,"ReportingLevel","1:LA","lvl","Inverclyde")</f>
        <v>63</v>
      </c>
      <c r="D29" s="66">
        <f>GETPIVOTDATA("Sum of Incident Command Officers",dutysystemlapivot!$A$3,"ReportingLevel","1:LA","lvl","Inverclyde")</f>
        <v>0</v>
      </c>
      <c r="E29" s="66">
        <f>GETPIVOTDATA("Sum of Office Duties",dutysystemlapivot!$A$3,"ReportingLevel","1:LA","lvl","Inverclyde")</f>
        <v>0</v>
      </c>
      <c r="F29" s="66">
        <f>GETPIVOTDATA("Sum of Trainees",dutysystemlapivot!$A$3,"ReportingLevel","1:LA","lvl","Inverclyde")</f>
        <v>0</v>
      </c>
      <c r="G29" s="66">
        <f t="shared" si="1"/>
        <v>63</v>
      </c>
    </row>
    <row r="30" spans="1:7" ht="15" customHeight="1" x14ac:dyDescent="0.25">
      <c r="A30" s="89" t="s">
        <v>275</v>
      </c>
      <c r="B30" s="48" t="s">
        <v>46</v>
      </c>
      <c r="C30" s="66">
        <f>GETPIVOTDATA("Sum of Operational Crewing",dutysystemlapivot!$A$3,"ReportingLevel","1:LA","lvl","Midlothian")</f>
        <v>26</v>
      </c>
      <c r="D30" s="66">
        <f>GETPIVOTDATA("Sum of Incident Command Officers",dutysystemlapivot!$A$3,"ReportingLevel","1:LA","lvl","Midlothian")</f>
        <v>0</v>
      </c>
      <c r="E30" s="66">
        <f>GETPIVOTDATA("Sum of Office Duties",dutysystemlapivot!$A$3,"ReportingLevel","1:LA","lvl","Midlothian")</f>
        <v>3</v>
      </c>
      <c r="F30" s="66">
        <f>GETPIVOTDATA("Sum of Trainees",dutysystemlapivot!$A$3,"ReportingLevel","1:LA","lvl","Midlothian")</f>
        <v>0</v>
      </c>
      <c r="G30" s="66">
        <f t="shared" si="1"/>
        <v>29</v>
      </c>
    </row>
    <row r="31" spans="1:7" ht="15" customHeight="1" x14ac:dyDescent="0.25">
      <c r="A31" s="89" t="s">
        <v>276</v>
      </c>
      <c r="B31" s="48" t="s">
        <v>47</v>
      </c>
      <c r="C31" s="66">
        <f>GETPIVOTDATA("Sum of Operational Crewing",dutysystemlapivot!$A$3,"ReportingLevel","1:LA","lvl","Moray")</f>
        <v>30</v>
      </c>
      <c r="D31" s="66">
        <f>GETPIVOTDATA("Sum of Incident Command Officers",dutysystemlapivot!$A$3,"ReportingLevel","1:LA","lvl","Moray")</f>
        <v>0</v>
      </c>
      <c r="E31" s="66">
        <f>GETPIVOTDATA("Sum of Office Duties",dutysystemlapivot!$A$3,"ReportingLevel","1:LA","lvl","Moray")</f>
        <v>0</v>
      </c>
      <c r="F31" s="66">
        <f>GETPIVOTDATA("Sum of Trainees",dutysystemlapivot!$A$3,"ReportingLevel","1:LA","lvl","Moray")</f>
        <v>0</v>
      </c>
      <c r="G31" s="66">
        <f t="shared" si="1"/>
        <v>30</v>
      </c>
    </row>
    <row r="32" spans="1:7" ht="15" customHeight="1" x14ac:dyDescent="0.25">
      <c r="A32" s="89" t="s">
        <v>271</v>
      </c>
      <c r="B32" s="48" t="s">
        <v>48</v>
      </c>
      <c r="C32" s="682">
        <f>IFERROR(GETPIVOTDATA("Sum of Operational Crewing",dutysystemlapivot!$A$3,"ReportingLevel","1:LA","lvl","Na h-Eileanan Siar"), "-")</f>
        <v>0</v>
      </c>
      <c r="D32" s="682">
        <f>IFERROR(GETPIVOTDATA("Sum of Incident Command Officers",dutysystemlapivot!$A$3,"ReportingLevel","1:LA","lvl","Na h-Eileanan Siar"), "-")</f>
        <v>0</v>
      </c>
      <c r="E32" s="682">
        <f>IFERROR(GETPIVOTDATA("Sum of Office Duties",dutysystemlapivot!$A$3,"ReportingLevel","1:LA","lvl","Na h-Eileanan Siar"), "-")</f>
        <v>3</v>
      </c>
      <c r="F32" s="682">
        <f>IFERROR(GETPIVOTDATA("Sum of Trainees",dutysystemlapivot!$A$3,"ReportingLevel","1:LA","lvl","Na h-Eileanan Siar"), "-")</f>
        <v>0</v>
      </c>
      <c r="G32" s="682">
        <f t="shared" si="1"/>
        <v>3</v>
      </c>
    </row>
    <row r="33" spans="1:7" ht="15" customHeight="1" x14ac:dyDescent="0.25">
      <c r="A33" s="89" t="s">
        <v>277</v>
      </c>
      <c r="B33" s="48" t="s">
        <v>49</v>
      </c>
      <c r="C33" s="682">
        <f>GETPIVOTDATA("Sum of Operational Crewing",dutysystemlapivot!$A$3,"ReportingLevel","1:LA","lvl","North Ayrshire")</f>
        <v>85</v>
      </c>
      <c r="D33" s="682">
        <f>GETPIVOTDATA("Sum of Incident Command Officers",dutysystemlapivot!$A$3,"ReportingLevel","1:LA","lvl","North Ayrshire")</f>
        <v>0</v>
      </c>
      <c r="E33" s="682">
        <f>GETPIVOTDATA("Sum of Office Duties",dutysystemlapivot!$A$3,"ReportingLevel","1:LA","lvl","North Ayrshire")</f>
        <v>0</v>
      </c>
      <c r="F33" s="682">
        <f>GETPIVOTDATA("Sum of Trainees",dutysystemlapivot!$A$3,"ReportingLevel","1:LA","lvl","North Ayrshire")</f>
        <v>0</v>
      </c>
      <c r="G33" s="682">
        <f t="shared" si="1"/>
        <v>85</v>
      </c>
    </row>
    <row r="34" spans="1:7" ht="15" customHeight="1" x14ac:dyDescent="0.25">
      <c r="A34" s="89" t="str">
        <f>IF(A10="2018-19","S12000044","S12000050")</f>
        <v>S12000050</v>
      </c>
      <c r="B34" s="48" t="s">
        <v>50</v>
      </c>
      <c r="C34" s="682">
        <f>GETPIVOTDATA("Sum of Operational Crewing",dutysystemlapivot!$A$3,"ReportingLevel","1:LA","lvl","North Lanarkshire")</f>
        <v>167</v>
      </c>
      <c r="D34" s="682">
        <f>GETPIVOTDATA("Sum of Incident Command Officers",dutysystemlapivot!$A$3,"ReportingLevel","1:LA","lvl","North Lanarkshire")</f>
        <v>0</v>
      </c>
      <c r="E34" s="682">
        <f>GETPIVOTDATA("Sum of Office Duties",dutysystemlapivot!$A$3,"ReportingLevel","1:LA","lvl","North Lanarkshire")</f>
        <v>2</v>
      </c>
      <c r="F34" s="682">
        <f>GETPIVOTDATA("Sum of Trainees",dutysystemlapivot!$A$3,"ReportingLevel","1:LA","lvl","North Lanarkshire")</f>
        <v>0</v>
      </c>
      <c r="G34" s="682">
        <f t="shared" si="1"/>
        <v>169</v>
      </c>
    </row>
    <row r="35" spans="1:7" ht="15" customHeight="1" x14ac:dyDescent="0.25">
      <c r="A35" s="89" t="s">
        <v>278</v>
      </c>
      <c r="B35" s="48" t="s">
        <v>51</v>
      </c>
      <c r="C35" s="682" t="str">
        <f>IFERROR(GETPIVOTDATA("Sum of Operational Crewing",dutysystemlapivot!$A$3,"ReportingLevel","1:LA","lvl","Orkney Islands"), "-")</f>
        <v>-</v>
      </c>
      <c r="D35" s="682" t="str">
        <f>IFERROR(GETPIVOTDATA("Sum of Incident Command Officers",dutysystemlapivot!$A$3,"ReportingLevel","1:LA","lvl","Orkney Islands"), "-")</f>
        <v>-</v>
      </c>
      <c r="E35" s="682" t="str">
        <f>IFERROR(GETPIVOTDATA("Sum of Office Duties",dutysystemlapivot!$A$3,"ReportingLevel","1:LA","lvl","Orkney Islands"), "-")</f>
        <v>-</v>
      </c>
      <c r="F35" s="682" t="str">
        <f>IFERROR(GETPIVOTDATA("Sum of Trainees",dutysystemlapivot!$A$3,"ReportingLevel","1:LA","lvl","Orkney Islands"), "-")</f>
        <v>-</v>
      </c>
      <c r="G35" s="682">
        <f t="shared" si="1"/>
        <v>0</v>
      </c>
    </row>
    <row r="36" spans="1:7" ht="15" customHeight="1" x14ac:dyDescent="0.25">
      <c r="A36" s="89" t="s">
        <v>279</v>
      </c>
      <c r="B36" s="48" t="s">
        <v>52</v>
      </c>
      <c r="C36" s="682">
        <f>GETPIVOTDATA("Sum of Operational Crewing",dutysystemlapivot!$A$3,"ReportingLevel","1:LA","lvl","Perth and Kinross")</f>
        <v>65</v>
      </c>
      <c r="D36" s="682">
        <f>GETPIVOTDATA("Sum of Incident Command Officers",dutysystemlapivot!$A$3,"ReportingLevel","1:LA","lvl","Perth and Kinross")</f>
        <v>0</v>
      </c>
      <c r="E36" s="682">
        <f>GETPIVOTDATA("Sum of Office Duties",dutysystemlapivot!$A$3,"ReportingLevel","1:LA","lvl","Perth and Kinross")</f>
        <v>1</v>
      </c>
      <c r="F36" s="682">
        <f>GETPIVOTDATA("Sum of Trainees",dutysystemlapivot!$A$3,"ReportingLevel","1:LA","lvl","Perth and Kinross")</f>
        <v>0</v>
      </c>
      <c r="G36" s="682">
        <f t="shared" si="1"/>
        <v>66</v>
      </c>
    </row>
    <row r="37" spans="1:7" ht="15" customHeight="1" x14ac:dyDescent="0.25">
      <c r="A37" s="89" t="s">
        <v>289</v>
      </c>
      <c r="B37" s="48" t="s">
        <v>53</v>
      </c>
      <c r="C37" s="682">
        <f>GETPIVOTDATA("Sum of Operational Crewing",dutysystemlapivot!$A$3,"ReportingLevel","1:LA","lvl","Renfrewshire")</f>
        <v>102</v>
      </c>
      <c r="D37" s="682">
        <f>GETPIVOTDATA("Sum of Incident Command Officers",dutysystemlapivot!$A$3,"ReportingLevel","1:LA","lvl","Renfrewshire")</f>
        <v>0</v>
      </c>
      <c r="E37" s="682">
        <f>GETPIVOTDATA("Sum of Office Duties",dutysystemlapivot!$A$3,"ReportingLevel","1:LA","lvl","Renfrewshire")</f>
        <v>0</v>
      </c>
      <c r="F37" s="682">
        <f>GETPIVOTDATA("Sum of Trainees",dutysystemlapivot!$A$3,"ReportingLevel","1:LA","lvl","Renfrewshire")</f>
        <v>0</v>
      </c>
      <c r="G37" s="682">
        <f t="shared" si="1"/>
        <v>102</v>
      </c>
    </row>
    <row r="38" spans="1:7" ht="15" customHeight="1" x14ac:dyDescent="0.25">
      <c r="A38" s="89" t="s">
        <v>280</v>
      </c>
      <c r="B38" s="48" t="s">
        <v>54</v>
      </c>
      <c r="C38" s="682">
        <f>GETPIVOTDATA("Sum of Operational Crewing",dutysystemlapivot!$A$3,"ReportingLevel","1:LA","lvl","Scottish Borders")</f>
        <v>57</v>
      </c>
      <c r="D38" s="682">
        <f>GETPIVOTDATA("Sum of Incident Command Officers",dutysystemlapivot!$A$3,"ReportingLevel","1:LA","lvl","Scottish Borders")</f>
        <v>0</v>
      </c>
      <c r="E38" s="682">
        <f>GETPIVOTDATA("Sum of Office Duties",dutysystemlapivot!$A$3,"ReportingLevel","1:LA","lvl","Scottish Borders")</f>
        <v>0</v>
      </c>
      <c r="F38" s="682">
        <f>GETPIVOTDATA("Sum of Trainees",dutysystemlapivot!$A$3,"ReportingLevel","1:LA","lvl","Scottish Borders")</f>
        <v>0</v>
      </c>
      <c r="G38" s="682">
        <f t="shared" si="1"/>
        <v>57</v>
      </c>
    </row>
    <row r="39" spans="1:7" ht="15" customHeight="1" x14ac:dyDescent="0.25">
      <c r="A39" s="89" t="s">
        <v>281</v>
      </c>
      <c r="B39" s="48" t="s">
        <v>55</v>
      </c>
      <c r="C39" s="682" t="str">
        <f>IFERROR(GETPIVOTDATA("Sum of Operational Crewing",dutysystemlapivot!$A$3,"ReportingLevel","1:LA","lvl","Sheltnad Islands"), "-")</f>
        <v>-</v>
      </c>
      <c r="D39" s="682" t="str">
        <f>IFERROR(GETPIVOTDATA("Sum of Incident Command Officers",dutysystemlapivot!$A$3,"ReportingLevel","1:LA","lvl","Sheltand Islands"), "-")</f>
        <v>-</v>
      </c>
      <c r="E39" s="682" t="str">
        <f>IFERROR(GETPIVOTDATA("Sum of Office Duties",dutysystemlapivot!$A$3,"ReportingLevel","1:LA","lvl","Sheltnad Islands"), "-")</f>
        <v>-</v>
      </c>
      <c r="F39" s="682" t="str">
        <f>IFERROR(GETPIVOTDATA("Sum of Trainees",dutysystemlapivot!$A$3,"ReportingLevel","1:LA","lvl","Sheltnad Islands"), "-")</f>
        <v>-</v>
      </c>
      <c r="G39" s="682">
        <f t="shared" si="1"/>
        <v>0</v>
      </c>
    </row>
    <row r="40" spans="1:7" ht="15" customHeight="1" x14ac:dyDescent="0.25">
      <c r="A40" s="89" t="s">
        <v>282</v>
      </c>
      <c r="B40" s="48" t="s">
        <v>56</v>
      </c>
      <c r="C40" s="66">
        <f>GETPIVOTDATA("Sum of Operational Crewing",dutysystemlapivot!$A$3,"ReportingLevel","1:LA","lvl","South Ayrshire")</f>
        <v>51</v>
      </c>
      <c r="D40" s="66">
        <f>GETPIVOTDATA("Sum of Incident Command Officers",dutysystemlapivot!$A$3,"ReportingLevel","1:LA","lvl","South Ayrshire")</f>
        <v>0</v>
      </c>
      <c r="E40" s="66">
        <f>GETPIVOTDATA("Sum of Office Duties",dutysystemlapivot!$A$3,"ReportingLevel","1:LA","lvl","South Ayrshire")</f>
        <v>1</v>
      </c>
      <c r="F40" s="66">
        <f>GETPIVOTDATA("Sum of Trainees",dutysystemlapivot!$A$3,"ReportingLevel","1:LA","lvl","South Ayrshire")</f>
        <v>0</v>
      </c>
      <c r="G40" s="66">
        <f t="shared" si="1"/>
        <v>52</v>
      </c>
    </row>
    <row r="41" spans="1:7" ht="15" customHeight="1" x14ac:dyDescent="0.25">
      <c r="A41" s="89" t="s">
        <v>283</v>
      </c>
      <c r="B41" s="48" t="s">
        <v>57</v>
      </c>
      <c r="C41" s="66">
        <f>GETPIVOTDATA("Sum of Operational Crewing",dutysystemlapivot!$A$3,"ReportingLevel","1:LA","lvl","South Lanarkshire")</f>
        <v>161</v>
      </c>
      <c r="D41" s="66">
        <f>GETPIVOTDATA("Sum of Incident Command Officers",dutysystemlapivot!$A$3,"ReportingLevel","1:LA","lvl","South Lanarkshire")</f>
        <v>0</v>
      </c>
      <c r="E41" s="66">
        <f>GETPIVOTDATA("Sum of Office Duties",dutysystemlapivot!$A$3,"ReportingLevel","1:LA","lvl","South Lanarkshire")</f>
        <v>0</v>
      </c>
      <c r="F41" s="66">
        <f>GETPIVOTDATA("Sum of Trainees",dutysystemlapivot!$A$3,"ReportingLevel","1:LA","lvl","South Lanarkshire")</f>
        <v>0</v>
      </c>
      <c r="G41" s="66">
        <f t="shared" si="1"/>
        <v>161</v>
      </c>
    </row>
    <row r="42" spans="1:7" ht="15" customHeight="1" x14ac:dyDescent="0.25">
      <c r="A42" s="89" t="s">
        <v>284</v>
      </c>
      <c r="B42" s="48" t="s">
        <v>58</v>
      </c>
      <c r="C42" s="66">
        <f>GETPIVOTDATA("Sum of Operational Crewing",dutysystemlapivot!$A$3,"ReportingLevel","1:LA","lvl","Stirling")</f>
        <v>49</v>
      </c>
      <c r="D42" s="66">
        <f>GETPIVOTDATA("Sum of Incident Command Officers",dutysystemlapivot!$A$3,"ReportingLevel","1:LA","lvl","Stirling")</f>
        <v>0</v>
      </c>
      <c r="E42" s="66">
        <f>GETPIVOTDATA("Sum of Office Duties",dutysystemlapivot!$A$3,"ReportingLevel","1:LA","lvl","Stirling")</f>
        <v>0</v>
      </c>
      <c r="F42" s="66">
        <f>GETPIVOTDATA("Sum of Trainees",dutysystemlapivot!$A$3,"ReportingLevel","1:LA","lvl","Stirling")</f>
        <v>0</v>
      </c>
      <c r="G42" s="66">
        <f t="shared" si="1"/>
        <v>49</v>
      </c>
    </row>
    <row r="43" spans="1:7" ht="15" customHeight="1" x14ac:dyDescent="0.25">
      <c r="A43" s="89" t="s">
        <v>290</v>
      </c>
      <c r="B43" s="48" t="s">
        <v>59</v>
      </c>
      <c r="C43" s="66">
        <f>GETPIVOTDATA("Sum of Operational Crewing",dutysystemlapivot!$A$3,"ReportingLevel","1:LA","lvl","West Dunbartonshire")</f>
        <v>75</v>
      </c>
      <c r="D43" s="66">
        <f>GETPIVOTDATA("Sum of Incident Command Officers",dutysystemlapivot!$A$3,"ReportingLevel","1:LA","lvl","West Dunbartonshire")</f>
        <v>0</v>
      </c>
      <c r="E43" s="66">
        <f>GETPIVOTDATA("Sum of Office Duties",dutysystemlapivot!$A$3,"ReportingLevel","1:LA","lvl","West Dunbartonshire")</f>
        <v>0</v>
      </c>
      <c r="F43" s="66">
        <f>GETPIVOTDATA("Sum of Trainees",dutysystemlapivot!$A$3,"ReportingLevel","1:LA","lvl","West Dunbartonshire")</f>
        <v>0</v>
      </c>
      <c r="G43" s="66">
        <f t="shared" si="1"/>
        <v>75</v>
      </c>
    </row>
    <row r="44" spans="1:7" ht="15" customHeight="1" x14ac:dyDescent="0.25">
      <c r="A44" s="89" t="s">
        <v>291</v>
      </c>
      <c r="B44" s="419" t="s">
        <v>60</v>
      </c>
      <c r="C44" s="66">
        <f>GETPIVOTDATA("Sum of Operational Crewing",dutysystemlapivot!$A$3,"ReportingLevel","1:LA","lvl","West Lothian")</f>
        <v>60</v>
      </c>
      <c r="D44" s="66">
        <f>GETPIVOTDATA("Sum of Incident Command Officers",dutysystemlapivot!$A$3,"ReportingLevel","1:LA","lvl","West Lothian")</f>
        <v>0</v>
      </c>
      <c r="E44" s="66">
        <f>GETPIVOTDATA("Sum of Office Duties",dutysystemlapivot!$A$3,"ReportingLevel","1:LA","lvl","West Lothian")</f>
        <v>3</v>
      </c>
      <c r="F44" s="66">
        <f>GETPIVOTDATA("Sum of Trainees",dutysystemlapivot!$A$3,"ReportingLevel","1:LA","lvl","West Lothian")</f>
        <v>0</v>
      </c>
      <c r="G44" s="638">
        <f t="shared" si="1"/>
        <v>63</v>
      </c>
    </row>
    <row r="45" spans="1:7" ht="30" customHeight="1" thickBot="1" x14ac:dyDescent="0.3">
      <c r="A45" s="52"/>
      <c r="B45" s="637" t="s">
        <v>61</v>
      </c>
      <c r="C45" s="70">
        <f>GETPIVOTDATA("Sum of Operational Crewing",dutysystemlapivot!$A$3,"ReportingLevel","1:LA")</f>
        <v>2823</v>
      </c>
      <c r="D45" s="70">
        <f>GETPIVOTDATA("Sum of Incident Command Officers",dutysystemlapivot!$A$3,"ReportingLevel","1:LA")</f>
        <v>0</v>
      </c>
      <c r="E45" s="70">
        <f>GETPIVOTDATA("Sum of Office Duties",dutysystemlapivot!$A$3,"ReportingLevel","1:LA")</f>
        <v>47</v>
      </c>
      <c r="F45" s="70">
        <f>GETPIVOTDATA("Sum of Trainees",dutysystemlapivot!$A$3,"ReportingLevel","1:LA")</f>
        <v>0</v>
      </c>
      <c r="G45" s="636">
        <f>SUM(C45:F45)</f>
        <v>2870</v>
      </c>
    </row>
    <row r="46" spans="1:7" ht="22.5" customHeight="1" x14ac:dyDescent="0.25">
      <c r="A46" s="48"/>
      <c r="B46" s="48"/>
      <c r="C46" s="71"/>
      <c r="D46" s="71"/>
      <c r="E46" s="71"/>
      <c r="F46" s="55"/>
      <c r="G46" s="55"/>
    </row>
    <row r="47" spans="1:7" ht="15" customHeight="1" x14ac:dyDescent="0.25">
      <c r="A47" s="54" t="s">
        <v>459</v>
      </c>
      <c r="B47" s="639" t="s">
        <v>62</v>
      </c>
      <c r="C47" s="43"/>
      <c r="D47" s="43"/>
      <c r="E47" s="43"/>
      <c r="F47" s="43"/>
      <c r="G47" s="43"/>
    </row>
    <row r="48" spans="1:7" ht="15" customHeight="1" x14ac:dyDescent="0.25">
      <c r="A48" s="399" t="str">
        <f>IF(OR(A10="2021-22", A10 = "2022-23"), "S39000023", "S39000001")</f>
        <v>S39000001</v>
      </c>
      <c r="B48" s="680" t="str">
        <f>IF(OR(A10="2021-22", A10 = "2022-23", A10 = "2023-24"), "Aberdeen City, Aberdeenshire and Moray", "Aberdeen City")</f>
        <v>Aberdeen City, Aberdeenshire and Moray</v>
      </c>
      <c r="C48" s="66">
        <f>IF(OR(A10="2021-22", A10 = "2022-23", A10 = "2023-24"), GETPIVOTDATA("Sum of Operational Crewing",dutysystemlapivot!$A$3,"ReportingLevel","2:LSO","lvl","Aberdeen City, Aberdeenshire and Moray"), GETPIVOTDATA("Sum of Operational Crewing",dutysystemlapivot!$A$3,"ReportingLevel","2:LSO","lvl","Aberdeen City"))</f>
        <v>0</v>
      </c>
      <c r="D48" s="66">
        <f>IF(OR(A10="2021-22", A10 = "2022-23", A10 = "2023-24"), GETPIVOTDATA("Sum of Incident Command Officers",dutysystemlapivot!$A$3,"ReportingLevel","2:LSO","lvl","Aberdeen City, Aberdeenshire and Moray"), GETPIVOTDATA("Sum of Incident Command Officers",dutysystemlapivot!$A$3,"ReportingLevel","2:LSO","lvl","Aberdeen City"))</f>
        <v>16</v>
      </c>
      <c r="E48" s="66">
        <f>IF(OR(A10="2021-22", A10 = "2022-23", A10 = "2023-24"), GETPIVOTDATA("Sum of Office Duties",dutysystemlapivot!$A$3,"ReportingLevel","2:LSO","lvl","Aberdeen City, Aberdeenshire and Moray"), GETPIVOTDATA("Sum of Office Duties",dutysystemlapivot!$A$3,"ReportingLevel","2:LSO","lvl","Aberdeen City"))</f>
        <v>6</v>
      </c>
      <c r="F48" s="66">
        <f>IF(OR(A10="2021-22", A10 = "2022-23", A10 = "2023-24"), GETPIVOTDATA("Sum of Trainees",dutysystemlapivot!$A$3,"ReportingLevel","2:LSO","lvl","Aberdeen City, Aberdeenshire and Moray"), GETPIVOTDATA("Sum of Trainees",dutysystemlapivot!$A$3,"ReportingLevel","2:LSO","lvl","Aberdeen City"))</f>
        <v>0</v>
      </c>
      <c r="G48" s="66">
        <f>SUM(C48:F48)</f>
        <v>22</v>
      </c>
    </row>
    <row r="49" spans="1:7" ht="15" customHeight="1" x14ac:dyDescent="0.25">
      <c r="A49" s="400" t="str">
        <f>IF(OR(A10="2021-22", A10 = "2022-23"), "", "S39000002")</f>
        <v>S39000002</v>
      </c>
      <c r="B49" s="681" t="str">
        <f xml:space="preserve"> IF(OR(A10="2021-22", A10 = "2022-23", A10 = "2023-24"), "", "Aberdeenshire and Moray")</f>
        <v/>
      </c>
      <c r="C49" s="66" t="str">
        <f>IF(OR(A10="2021-22", A10 = "2022-23", A10 = "2023-24"), "", GETPIVOTDATA("Sum of Operational Crewing",dutysystemlapivot!$A$3,"ReportingLevel","2:LSO","lvl","Aberdeenshire and Moray"))</f>
        <v/>
      </c>
      <c r="D49" s="66" t="str">
        <f>IF(OR(A10="2021-22", A10 = "2022-23", A10 = "2023-24"), "", GETPIVOTDATA("Sum of Incident Command Officers",dutysystemlapivot!$A$3,"ReportingLevel","2:LSO","lvl","Aberdeenshire and Moray"))</f>
        <v/>
      </c>
      <c r="E49" s="66" t="str">
        <f>IF(OR(A10="2021-22", A10 = "2022-23", A10 = "2023-24"), "", GETPIVOTDATA("Sum of Office Duties",dutysystemlapivot!$A$3,"ReportingLevel","2:LSO","lvl","Aberdeenshire and Moray"))</f>
        <v/>
      </c>
      <c r="F49" s="66" t="str">
        <f>IF(OR(A10="2021-22", A10 = "2022-23", A10 = "2023-24"), "", GETPIVOTDATA("Sum of Trainees",dutysystemlapivot!$A$3,"ReportingLevel","2:LSO","lvl","Aberdeenshire and Moray"))</f>
        <v/>
      </c>
      <c r="G49" s="66">
        <f t="shared" ref="G49:G65" si="2">SUM(C49:F49)</f>
        <v>0</v>
      </c>
    </row>
    <row r="50" spans="1:7" ht="15" customHeight="1" x14ac:dyDescent="0.25">
      <c r="A50" s="400" t="s">
        <v>337</v>
      </c>
      <c r="B50" s="57" t="s">
        <v>64</v>
      </c>
      <c r="C50" s="66">
        <f>GETPIVOTDATA("Sum of Operational Crewing",dutysystemlapivot!$A$3,"ReportingLevel","2:LSO","lvl","Argyll and Bute, East Dunbartonshire and West Dunbartonshire")</f>
        <v>0</v>
      </c>
      <c r="D50" s="66">
        <f>GETPIVOTDATA("Sum of Incident Command Officers",dutysystemlapivot!$A$3,"ReportingLevel","2:LSO","lvl","Argyll and Bute, East Dunbartonshire and West Dunbartonshire")</f>
        <v>14</v>
      </c>
      <c r="E50" s="66">
        <f>GETPIVOTDATA("Sum of Office Duties",dutysystemlapivot!$A$3,"ReportingLevel","2:LSO","lvl","Argyll and Bute, East Dunbartonshire and West Dunbartonshire")</f>
        <v>14</v>
      </c>
      <c r="F50" s="66">
        <f>GETPIVOTDATA("Sum of Trainees",dutysystemlapivot!$A$3,"ReportingLevel","2:LSO","lvl","Argyll and Bute, East Dunbartonshire and West Dunbartonshire")</f>
        <v>0</v>
      </c>
      <c r="G50" s="66">
        <f t="shared" si="2"/>
        <v>28</v>
      </c>
    </row>
    <row r="51" spans="1:7" ht="15" customHeight="1" x14ac:dyDescent="0.25">
      <c r="A51" s="400" t="s">
        <v>338</v>
      </c>
      <c r="B51" s="57" t="s">
        <v>36</v>
      </c>
      <c r="C51" s="66">
        <f>GETPIVOTDATA("Sum of Operational Crewing",dutysystemlapivot!$A$3,"ReportingLevel","2:LSO","lvl","Dumfries and Galloway")</f>
        <v>0</v>
      </c>
      <c r="D51" s="66">
        <f>GETPIVOTDATA("Sum of Incident Command Officers",dutysystemlapivot!$A$3,"ReportingLevel","2:LSO","lvl","Dumfries and Galloway")</f>
        <v>8</v>
      </c>
      <c r="E51" s="66">
        <f>GETPIVOTDATA("Sum of Office Duties",dutysystemlapivot!$A$3,"ReportingLevel","2:LSO","lvl","Dumfries and Galloway")</f>
        <v>14</v>
      </c>
      <c r="F51" s="66">
        <f>GETPIVOTDATA("Sum of Trainees",dutysystemlapivot!$A$3,"ReportingLevel","2:LSO","lvl","Dumfries and Galloway")</f>
        <v>0</v>
      </c>
      <c r="G51" s="66">
        <f t="shared" si="2"/>
        <v>22</v>
      </c>
    </row>
    <row r="52" spans="1:7" ht="15" customHeight="1" x14ac:dyDescent="0.25">
      <c r="A52" s="400" t="s">
        <v>336</v>
      </c>
      <c r="B52" s="57" t="s">
        <v>65</v>
      </c>
      <c r="C52" s="66">
        <f>GETPIVOTDATA("Sum of Operational Crewing",dutysystemlapivot!$A$3,"ReportingLevel","2:LSO","lvl","Dundee, Angus, Perth and Kinross")</f>
        <v>0</v>
      </c>
      <c r="D52" s="66">
        <f>GETPIVOTDATA("Sum of Incident Command Officers",dutysystemlapivot!$A$3,"ReportingLevel","2:LSO","lvl","Dundee, Angus, Perth and Kinross")</f>
        <v>14</v>
      </c>
      <c r="E52" s="66">
        <f>GETPIVOTDATA("Sum of Office Duties",dutysystemlapivot!$A$3,"ReportingLevel","2:LSO","lvl","Dundee, Angus, Perth and Kinross")</f>
        <v>9</v>
      </c>
      <c r="F52" s="66">
        <f>GETPIVOTDATA("Sum of Trainees",dutysystemlapivot!$A$3,"ReportingLevel","2:LSO","lvl","Dundee, Angus, Perth and Kinross")</f>
        <v>0</v>
      </c>
      <c r="G52" s="66">
        <f t="shared" si="2"/>
        <v>23</v>
      </c>
    </row>
    <row r="53" spans="1:7" ht="15" customHeight="1" x14ac:dyDescent="0.25">
      <c r="A53" s="400" t="s">
        <v>339</v>
      </c>
      <c r="B53" s="57" t="s">
        <v>66</v>
      </c>
      <c r="C53" s="66">
        <f>GETPIVOTDATA("Sum of Operational Crewing",dutysystemlapivot!$A$3,"ReportingLevel","2:LSO","lvl","East Ayrshire, North Ayrshire and South Ayrshire")</f>
        <v>0</v>
      </c>
      <c r="D53" s="66">
        <f>GETPIVOTDATA("Sum of Incident Command Officers",dutysystemlapivot!$A$3,"ReportingLevel","2:LSO","lvl","East Ayrshire, North Ayrshire and South Ayrshire")</f>
        <v>13</v>
      </c>
      <c r="E53" s="66">
        <f>GETPIVOTDATA("Sum of Office Duties",dutysystemlapivot!$A$3,"ReportingLevel","2:LSO","lvl","East Ayrshire, North Ayrshire and South Ayrshire")</f>
        <v>12</v>
      </c>
      <c r="F53" s="66">
        <f>GETPIVOTDATA("Sum of Trainees",dutysystemlapivot!$A$3,"ReportingLevel","2:LSO","lvl","East Ayrshire, North Ayrshire and South Ayrshire")</f>
        <v>0</v>
      </c>
      <c r="G53" s="66">
        <f t="shared" si="2"/>
        <v>25</v>
      </c>
    </row>
    <row r="54" spans="1:7" ht="15" customHeight="1" x14ac:dyDescent="0.25">
      <c r="A54" s="400" t="s">
        <v>340</v>
      </c>
      <c r="B54" s="57" t="s">
        <v>67</v>
      </c>
      <c r="C54" s="66">
        <f>GETPIVOTDATA("Sum of Operational Crewing",dutysystemlapivot!$A$3,"ReportingLevel","2:LSO","lvl","East Lothian, Midlothian and the Scottish Borders")</f>
        <v>0</v>
      </c>
      <c r="D54" s="66">
        <f>GETPIVOTDATA("Sum of Incident Command Officers",dutysystemlapivot!$A$3,"ReportingLevel","2:LSO","lvl","East Lothian, Midlothian and the Scottish Borders")</f>
        <v>10</v>
      </c>
      <c r="E54" s="66">
        <f>GETPIVOTDATA("Sum of Office Duties",dutysystemlapivot!$A$3,"ReportingLevel","2:LSO","lvl","East Lothian, Midlothian and the Scottish Borders")</f>
        <v>16</v>
      </c>
      <c r="F54" s="66">
        <f>GETPIVOTDATA("Sum of Trainees",dutysystemlapivot!$A$3,"ReportingLevel","2:LSO","lvl","East Lothian, Midlothian and the Scottish Borders")</f>
        <v>0</v>
      </c>
      <c r="G54" s="66">
        <f t="shared" si="2"/>
        <v>26</v>
      </c>
    </row>
    <row r="55" spans="1:7" ht="15" customHeight="1" x14ac:dyDescent="0.25">
      <c r="A55" s="343" t="s">
        <v>341</v>
      </c>
      <c r="B55" s="57" t="s">
        <v>68</v>
      </c>
      <c r="C55" s="66">
        <f>GETPIVOTDATA("Sum of Operational Crewing",dutysystemlapivot!$A$3,"ReportingLevel","2:LSO","lvl","East Renfrewshire, Renfrewshire and Inverclyde")</f>
        <v>0</v>
      </c>
      <c r="D55" s="66">
        <f>GETPIVOTDATA("Sum of Incident Command Officers",dutysystemlapivot!$A$3,"ReportingLevel","2:LSO","lvl","East Renfrewshire, Renfrewshire and Inverclyde")</f>
        <v>10</v>
      </c>
      <c r="E55" s="66">
        <f>GETPIVOTDATA("Sum of Office Duties",dutysystemlapivot!$A$3,"ReportingLevel","2:LSO","lvl","East Renfrewshire, Renfrewshire and Inverclyde")</f>
        <v>8</v>
      </c>
      <c r="F55" s="66">
        <f>GETPIVOTDATA("Sum of Trainees",dutysystemlapivot!$A$3,"ReportingLevel","2:LSO","lvl","East Renfrewshire, Renfrewshire and Inverclyde")</f>
        <v>0</v>
      </c>
      <c r="G55" s="66">
        <f t="shared" si="2"/>
        <v>18</v>
      </c>
    </row>
    <row r="56" spans="1:7" ht="15" customHeight="1" x14ac:dyDescent="0.25">
      <c r="A56" s="400" t="s">
        <v>342</v>
      </c>
      <c r="B56" s="57" t="s">
        <v>165</v>
      </c>
      <c r="C56" s="66">
        <f>GETPIVOTDATA("Sum of Operational Crewing",dutysystemlapivot!$A$3,"ReportingLevel","2:LSO","lvl","Edinburgh City")</f>
        <v>0</v>
      </c>
      <c r="D56" s="66">
        <f>GETPIVOTDATA("Sum of Incident Command Officers",dutysystemlapivot!$A$3,"ReportingLevel","2:LSO","lvl","Edinburgh City")</f>
        <v>11</v>
      </c>
      <c r="E56" s="66">
        <f>GETPIVOTDATA("Sum of Office Duties",dutysystemlapivot!$A$3,"ReportingLevel","2:LSO","lvl","Edinburgh City")</f>
        <v>16</v>
      </c>
      <c r="F56" s="66">
        <f>GETPIVOTDATA("Sum of Trainees",dutysystemlapivot!$A$3,"ReportingLevel","2:LSO","lvl","Edinburgh City")</f>
        <v>0</v>
      </c>
      <c r="G56" s="66">
        <f t="shared" si="2"/>
        <v>27</v>
      </c>
    </row>
    <row r="57" spans="1:7" ht="15" customHeight="1" x14ac:dyDescent="0.25">
      <c r="A57" s="400" t="s">
        <v>343</v>
      </c>
      <c r="B57" s="57" t="s">
        <v>69</v>
      </c>
      <c r="C57" s="66">
        <f>GETPIVOTDATA("Sum of Operational Crewing",dutysystemlapivot!$A$3,"ReportingLevel","2:LSO","lvl","Falkirk and West Lothian")</f>
        <v>0</v>
      </c>
      <c r="D57" s="66">
        <f>GETPIVOTDATA("Sum of Incident Command Officers",dutysystemlapivot!$A$3,"ReportingLevel","2:LSO","lvl","Falkirk and West Lothian")</f>
        <v>9</v>
      </c>
      <c r="E57" s="66">
        <f>GETPIVOTDATA("Sum of Office Duties",dutysystemlapivot!$A$3,"ReportingLevel","2:LSO","lvl","Falkirk and West Lothian")</f>
        <v>10</v>
      </c>
      <c r="F57" s="66">
        <f>GETPIVOTDATA("Sum of Trainees",dutysystemlapivot!$A$3,"ReportingLevel","2:LSO","lvl","Falkirk and West Lothian")</f>
        <v>0</v>
      </c>
      <c r="G57" s="66">
        <f t="shared" si="2"/>
        <v>19</v>
      </c>
    </row>
    <row r="58" spans="1:7" ht="15" customHeight="1" x14ac:dyDescent="0.25">
      <c r="A58" s="400" t="str">
        <f>IF(A10="2018-19","S39000019","")</f>
        <v/>
      </c>
      <c r="B58" s="317" t="str">
        <f>IF(A10 = "2018-19", "Fife", "")</f>
        <v/>
      </c>
      <c r="C58" s="66" t="str">
        <f>IF(A10 = "2018-19", GETPIVOTDATA("Sum of Operational Crewing",dutysystemlapivot!$A$3,"ReportingLevel","2:LSO","lvl","Fife"), "")</f>
        <v/>
      </c>
      <c r="D58" s="66" t="str">
        <f>IF(A10 = "2018-19", GETPIVOTDATA("Sum of Incident Command Officers",dutysystemlapivot!$A$3,"ReportingLevel","2:LSO","lvl","Fife"), "")</f>
        <v/>
      </c>
      <c r="E58" s="66" t="str">
        <f>IF(A10 = "2018-19", GETPIVOTDATA("Sum of Office Duties",dutysystemlapivot!$A$3,"ReportingLevel","2:LSO","lvl","Fife"), "")</f>
        <v/>
      </c>
      <c r="F58" s="66" t="str">
        <f>IF(A10 = "2018-19", GETPIVOTDATA("Sum of Trainees",dutysystemlapivot!$A$3,"ReportingLevel","2:LSO","lvl","Fife"), "")</f>
        <v/>
      </c>
      <c r="G58" s="66">
        <f t="shared" si="2"/>
        <v>0</v>
      </c>
    </row>
    <row r="59" spans="1:7" ht="15" customHeight="1" x14ac:dyDescent="0.25">
      <c r="A59" s="400" t="str">
        <f>IF(A10="2018-19","S39000012","S39000020")</f>
        <v>S39000020</v>
      </c>
      <c r="B59" s="57" t="s">
        <v>117</v>
      </c>
      <c r="C59" s="66">
        <f>GETPIVOTDATA("Sum of Operational Crewing",dutysystemlapivot!$A$3,"ReportingLevel","2:LSO","lvl","Glasgow City")</f>
        <v>0</v>
      </c>
      <c r="D59" s="66">
        <f>GETPIVOTDATA("Sum of Incident Command Officers",dutysystemlapivot!$A$3,"ReportingLevel","2:LSO","lvl","Glasgow City")</f>
        <v>13</v>
      </c>
      <c r="E59" s="66">
        <f>GETPIVOTDATA("Sum of Office Duties",dutysystemlapivot!$A$3,"ReportingLevel","2:LSO","lvl","Glasgow City")</f>
        <v>10</v>
      </c>
      <c r="F59" s="66">
        <f>GETPIVOTDATA("Sum of Trainees",dutysystemlapivot!$A$3,"ReportingLevel","2:LSO","lvl","Glasgow City")</f>
        <v>0</v>
      </c>
      <c r="G59" s="66">
        <f t="shared" si="2"/>
        <v>23</v>
      </c>
    </row>
    <row r="60" spans="1:7" ht="15" customHeight="1" x14ac:dyDescent="0.25">
      <c r="A60" s="400" t="s">
        <v>344</v>
      </c>
      <c r="B60" s="57" t="s">
        <v>70</v>
      </c>
      <c r="C60" s="66">
        <f>GETPIVOTDATA("Sum of Operational Crewing",dutysystemlapivot!$A$3,"ReportingLevel","2:LSO","lvl","Highlands")</f>
        <v>0</v>
      </c>
      <c r="D60" s="66">
        <f>GETPIVOTDATA("Sum of Incident Command Officers",dutysystemlapivot!$A$3,"ReportingLevel","2:LSO","lvl","Highlands")</f>
        <v>17</v>
      </c>
      <c r="E60" s="66">
        <f>GETPIVOTDATA("Sum of Office Duties",dutysystemlapivot!$A$3,"ReportingLevel","2:LSO","lvl","Highlands")</f>
        <v>6</v>
      </c>
      <c r="F60" s="66">
        <f>GETPIVOTDATA("Sum of Trainees",dutysystemlapivot!$A$3,"ReportingLevel","2:LSO","lvl","Highlands")</f>
        <v>0</v>
      </c>
      <c r="G60" s="66">
        <f t="shared" si="2"/>
        <v>23</v>
      </c>
    </row>
    <row r="61" spans="1:7" ht="15" customHeight="1" x14ac:dyDescent="0.25">
      <c r="A61" s="400" t="str">
        <f>IF(A10="2021-22","S39000024","S39000021")</f>
        <v>S39000021</v>
      </c>
      <c r="B61" s="681" t="str">
        <f>IF( OR(A10 = "2021-22", , A10 = "2023-24"),"Lanarkshire", "North Lanarkshire")</f>
        <v>Lanarkshire</v>
      </c>
      <c r="C61" s="66">
        <f>IF(OR(A10="2021-22", A10 = "2022-23", A10 = "2023-24"), GETPIVOTDATA("Sum of Operational Crewing",dutysystemlapivot!$A$3,"ReportingLevel","2:LSO","lvl","Lanarkshire"), GETPIVOTDATA("Sum of Operational Crewing",dutysystemlapivot!$A$3,"ReportingLevel","2:LSO","lvl","North Lanarkshire"))</f>
        <v>0</v>
      </c>
      <c r="D61" s="66">
        <f>IF(OR(A10="2021-22", A10 = "2022-23", A10 = "2023-24"), GETPIVOTDATA("Sum of Incident Command Officers",dutysystemlapivot!$A$3,"ReportingLevel","2:LSO","lvl","Lanarkshire"), GETPIVOTDATA("Sum of Incident Command Officers",dutysystemlapivot!$A$3,"ReportingLevel","2:LSO","lvl","North Lanarkshire"))</f>
        <v>14</v>
      </c>
      <c r="E61" s="66">
        <f>IF(OR(A10="2021-22", A10 = "2022-23", A10 = "2023-24"), GETPIVOTDATA("Sum of Office Duties",dutysystemlapivot!$A$3,"ReportingLevel","2:LSO","lvl","Lanarkshire"), GETPIVOTDATA("Sum of Office Duties",dutysystemlapivot!$A$3,"ReportingLevel","2:LSO","lvl","North Lanarkshire"))</f>
        <v>13</v>
      </c>
      <c r="F61" s="66">
        <f>IF(OR(A10="2021-22", A10 = "2022-23", A10 = "2023-24"), GETPIVOTDATA("Sum of Trainees",dutysystemlapivot!$A$3,"ReportingLevel","2:LSO","lvl","Lanarkshire"), GETPIVOTDATA("Sum of Trainees",dutysystemlapivot!$A$3,"ReportingLevel","2:LSO","lvl","North Lanarkshire"))</f>
        <v>0</v>
      </c>
      <c r="G61" s="66">
        <f t="shared" si="2"/>
        <v>27</v>
      </c>
    </row>
    <row r="62" spans="1:7" ht="15" customHeight="1" x14ac:dyDescent="0.25">
      <c r="A62" s="400" t="str">
        <f>IF(A10="2021-22","","S39000015")</f>
        <v>S39000015</v>
      </c>
      <c r="B62" s="681" t="str">
        <f>IF( OR(A10 = "2021-22", A10 = "2023-24"), "", "South Lanarkshire")</f>
        <v/>
      </c>
      <c r="C62" s="66" t="str">
        <f>IF(OR(A10="2021-22", A10 = "2022-23", A10 = "2023-24"), "", GETPIVOTDATA("Sum of Operational Crewing",dutysystemlapivot!$A$3,"ReportingLevel","2:LSO","lvl","South Lanarkshire"))</f>
        <v/>
      </c>
      <c r="D62" s="66" t="str">
        <f>IF(OR(A10="2021-22", A10 = "2022-23", A10 = "2023-24"), "", GETPIVOTDATA("Sum of Incident Command Officers",dutysystemlapivot!$A$3,"ReportingLevel","2:LSO","lvl","South Lanarkshire"))</f>
        <v/>
      </c>
      <c r="E62" s="66" t="str">
        <f>IF(OR(A10="2021-22", A10 = "2022-23", A10 = "2023-24"), "", GETPIVOTDATA("Sum of Office Duties",dutysystemlapivot!$A$3,"ReportingLevel","2:LSO","lvl","South Lanarkshire"))</f>
        <v/>
      </c>
      <c r="F62" s="66" t="str">
        <f>IF(OR(A10="2021-22", A10 = "2022-23", A10 = "2023-24"), "", GETPIVOTDATA("Sum of Trainees",dutysystemlapivot!$A$3,"ReportingLevel","2:LSO","lvl","South Lanarkshire"))</f>
        <v/>
      </c>
      <c r="G62" s="66">
        <f t="shared" si="2"/>
        <v>0</v>
      </c>
    </row>
    <row r="63" spans="1:7" ht="15.75" customHeight="1" x14ac:dyDescent="0.25">
      <c r="A63" s="400" t="str">
        <f>IF(A10="2018-19","S39000016","S39000022")</f>
        <v>S39000022</v>
      </c>
      <c r="B63" s="593" t="str">
        <f>IF(A10="2018-19","Stirling and Clackmannanshire","Clackmannanshire, Fife and Stirling")</f>
        <v>Clackmannanshire, Fife and Stirling</v>
      </c>
      <c r="C63" s="66">
        <f>IF(A10 = "2018-19", GETPIVOTDATA("Sum of Operational Crewing",dutysystemlapivot!$A$3,"ReportingLevel","2:LSO","lvl","Stirling and Clackmannanshire"), GETPIVOTDATA("Sum of Operational Crewing",dutysystemlapivot!$A$3,"ReportingLevel","2:LSO","lvl","Stirling, Clackmannanshire and Fife"))</f>
        <v>0</v>
      </c>
      <c r="D63" s="66">
        <f>IF(A10 = "2018-19", GETPIVOTDATA("Sum of Incident Command Officers",dutysystemlapivot!$A$3,"ReportingLevel","2:LSO","lvl","Stirling and Clackmannanshire"), GETPIVOTDATA("Sum of Incident Command Officers",dutysystemlapivot!$A$3,"ReportingLevel","2:LSO","lvl","Stirling, Clackmannanshire and Fife"))</f>
        <v>14</v>
      </c>
      <c r="E63" s="66">
        <f>IF(A10 = "2018-19", GETPIVOTDATA("Sum of Office Duties",dutysystemlapivot!$A$3,"ReportingLevel","2:LSO","lvl","Stirling and Clackmannanshire"), GETPIVOTDATA("Sum of Office Duties",dutysystemlapivot!$A$3,"ReportingLevel","2:LSO","lvl","Stirling, Clackmannanshire and Fife"))</f>
        <v>19</v>
      </c>
      <c r="F63" s="66">
        <f>IF(A10 = "2018-19", GETPIVOTDATA("Sum of Trainees",dutysystemlapivot!$A$3,"ReportingLevel","2:LSO","lvl","Stirling and Clackmannanshire"), GETPIVOTDATA("Sum of Trainees",dutysystemlapivot!$A$3,"ReportingLevel","2:LSO","lvl","Stirling, Clackmannanshire and Fife"))</f>
        <v>0</v>
      </c>
      <c r="G63" s="66">
        <f t="shared" si="2"/>
        <v>33</v>
      </c>
    </row>
    <row r="64" spans="1:7" ht="12.75" customHeight="1" x14ac:dyDescent="0.25">
      <c r="A64" s="400" t="s">
        <v>346</v>
      </c>
      <c r="B64" s="641" t="s">
        <v>71</v>
      </c>
      <c r="C64" s="66">
        <f>GETPIVOTDATA("Sum of Operational Crewing",dutysystemlapivot!$A$3,"ReportingLevel","2:LSO","lvl","Western Isles, Orkney and Shetland Islands")</f>
        <v>0</v>
      </c>
      <c r="D64" s="66">
        <f>GETPIVOTDATA("Sum of Incident Command Officers",dutysystemlapivot!$A$3,"ReportingLevel","2:LSO","lvl","Western Isles, Orkney and Shetland Islands")</f>
        <v>11</v>
      </c>
      <c r="E64" s="66">
        <f>GETPIVOTDATA("Sum of Office Duties",dutysystemlapivot!$A$3,"ReportingLevel","2:LSO","lvl","Western Isles, Orkney and Shetland Islands")</f>
        <v>0</v>
      </c>
      <c r="F64" s="66">
        <f>GETPIVOTDATA("Sum of Trainees",dutysystemlapivot!$A$3,"ReportingLevel","2:LSO","lvl","Western Isles, Orkney and Shetland Islands")</f>
        <v>0</v>
      </c>
      <c r="G64" s="66">
        <f t="shared" si="2"/>
        <v>11</v>
      </c>
    </row>
    <row r="65" spans="1:8" ht="30" customHeight="1" thickBot="1" x14ac:dyDescent="0.3">
      <c r="A65" s="58"/>
      <c r="B65" s="640" t="s">
        <v>72</v>
      </c>
      <c r="C65" s="70">
        <f>GETPIVOTDATA("Sum of Operational Crewing",dutysystemlapivot!$A$3,"ReportingLevel","2:LSO")</f>
        <v>0</v>
      </c>
      <c r="D65" s="70">
        <f>GETPIVOTDATA("Sum of Incident Command Officers",dutysystemlapivot!$A$3,"ReportingLevel","2:LSO")</f>
        <v>174</v>
      </c>
      <c r="E65" s="70">
        <f>GETPIVOTDATA("Sum of Office Duties",dutysystemlapivot!$A$3,"ReportingLevel","2:LSO")</f>
        <v>153</v>
      </c>
      <c r="F65" s="70">
        <f>GETPIVOTDATA("Sum of Trainees",dutysystemlapivot!$A$3,"ReportingLevel","2:LSO")</f>
        <v>0</v>
      </c>
      <c r="G65" s="304">
        <f t="shared" si="2"/>
        <v>327</v>
      </c>
    </row>
    <row r="66" spans="1:8" ht="22.5" customHeight="1" x14ac:dyDescent="0.25">
      <c r="A66" s="48"/>
      <c r="B66" s="48"/>
      <c r="C66" s="74"/>
      <c r="D66" s="41"/>
      <c r="E66" s="41"/>
      <c r="F66" s="41"/>
      <c r="G66" s="41"/>
    </row>
    <row r="67" spans="1:8" ht="15" customHeight="1" x14ac:dyDescent="0.25">
      <c r="A67" s="36" t="s">
        <v>333</v>
      </c>
      <c r="B67" s="36" t="s">
        <v>15</v>
      </c>
      <c r="C67" s="43"/>
      <c r="D67" s="43"/>
      <c r="E67" s="43"/>
      <c r="F67" s="43"/>
      <c r="G67" s="43"/>
    </row>
    <row r="68" spans="1:8" ht="15" customHeight="1" x14ac:dyDescent="0.25">
      <c r="A68" s="490" t="s">
        <v>361</v>
      </c>
      <c r="B68" s="60" t="s">
        <v>164</v>
      </c>
      <c r="C68" s="66">
        <f>GETPIVOTDATA("Sum of Operational Crewing",dutysystemlapivot!$A$3,"ReportingLevel","3:SDA","lvl","East")</f>
        <v>0</v>
      </c>
      <c r="D68" s="66">
        <f>GETPIVOTDATA("Sum of Incident Command Officers",dutysystemlapivot!$A$3,"ReportingLevel","3:SDA","lvl","East")</f>
        <v>8</v>
      </c>
      <c r="E68" s="66">
        <f>GETPIVOTDATA("Sum of Office Duties",dutysystemlapivot!$A$3,"ReportingLevel","3:SDA","lvl","East")</f>
        <v>21</v>
      </c>
      <c r="F68" s="66">
        <f>GETPIVOTDATA("Sum of Trainees",dutysystemlapivot!$A$3,"ReportingLevel","3:SDA","lvl","East")</f>
        <v>0</v>
      </c>
      <c r="G68" s="66">
        <f>SUM(C68:F68)</f>
        <v>29</v>
      </c>
    </row>
    <row r="69" spans="1:8" ht="16.5" customHeight="1" x14ac:dyDescent="0.25">
      <c r="A69" s="50" t="s">
        <v>363</v>
      </c>
      <c r="B69" s="48" t="s">
        <v>162</v>
      </c>
      <c r="C69" s="66">
        <f>GETPIVOTDATA("Sum of Operational Crewing",dutysystemlapivot!$A$3,"ReportingLevel","3:SDA","lvl","North")</f>
        <v>0</v>
      </c>
      <c r="D69" s="66">
        <f>GETPIVOTDATA("Sum of Incident Command Officers",dutysystemlapivot!$A$3,"ReportingLevel","3:SDA","lvl","North")</f>
        <v>12</v>
      </c>
      <c r="E69" s="66">
        <f>GETPIVOTDATA("Sum of Office Duties",dutysystemlapivot!$A$3,"ReportingLevel","3:SDA","lvl","North")</f>
        <v>40</v>
      </c>
      <c r="F69" s="66">
        <f>GETPIVOTDATA("Sum of Trainees",dutysystemlapivot!$A$3,"ReportingLevel","3:SDA","lvl","North")</f>
        <v>0</v>
      </c>
      <c r="G69" s="66">
        <f t="shared" ref="G69:G70" si="3">SUM(C69:F69)</f>
        <v>52</v>
      </c>
    </row>
    <row r="70" spans="1:8" x14ac:dyDescent="0.25">
      <c r="A70" s="462" t="s">
        <v>362</v>
      </c>
      <c r="B70" s="48" t="s">
        <v>163</v>
      </c>
      <c r="C70" s="66">
        <f>GETPIVOTDATA("Sum of Operational Crewing",dutysystemlapivot!$A$3,"ReportingLevel","3:SDA","lvl","West")</f>
        <v>0</v>
      </c>
      <c r="D70" s="66">
        <f>GETPIVOTDATA("Sum of Incident Command Officers",dutysystemlapivot!$A$3,"ReportingLevel","3:SDA","lvl","West")</f>
        <v>13</v>
      </c>
      <c r="E70" s="66">
        <f>GETPIVOTDATA("Sum of Office Duties",dutysystemlapivot!$A$3,"ReportingLevel","3:SDA","lvl","West")</f>
        <v>46</v>
      </c>
      <c r="F70" s="66">
        <f>GETPIVOTDATA("Sum of Trainees",dutysystemlapivot!$A$3,"ReportingLevel","3:SDA","lvl","West")</f>
        <v>1</v>
      </c>
      <c r="G70" s="66">
        <f t="shared" si="3"/>
        <v>60</v>
      </c>
    </row>
    <row r="71" spans="1:8" ht="16.5" customHeight="1" thickBot="1" x14ac:dyDescent="0.3">
      <c r="A71" s="52"/>
      <c r="B71" s="52" t="s">
        <v>73</v>
      </c>
      <c r="C71" s="70">
        <f>GETPIVOTDATA("Sum of Operational Crewing",dutysystemlapivot!$A$3,"ReportingLevel","3:SDA")</f>
        <v>0</v>
      </c>
      <c r="D71" s="70">
        <f>GETPIVOTDATA("Sum of Incident Command Officers",dutysystemlapivot!$A$3,"ReportingLevel","3:SDA")</f>
        <v>33</v>
      </c>
      <c r="E71" s="70">
        <f>GETPIVOTDATA("Sum of Office Duties",dutysystemlapivot!$A$3,"ReportingLevel","3:SDA")</f>
        <v>107</v>
      </c>
      <c r="F71" s="70">
        <f>GETPIVOTDATA("Sum of Trainees",dutysystemlapivot!$A$3,"ReportingLevel","3:SDA")</f>
        <v>1</v>
      </c>
      <c r="G71" s="70">
        <f t="shared" ref="G71:G73" si="4">SUM(C71:F71)</f>
        <v>141</v>
      </c>
    </row>
    <row r="72" spans="1:8" ht="18.75" customHeight="1" x14ac:dyDescent="0.25">
      <c r="A72" s="36" t="s">
        <v>456</v>
      </c>
      <c r="B72" s="48"/>
      <c r="C72" s="44"/>
      <c r="D72" s="44"/>
      <c r="E72" s="44"/>
      <c r="F72" s="44"/>
      <c r="G72" s="683"/>
    </row>
    <row r="73" spans="1:8" ht="13.5" customHeight="1" thickBot="1" x14ac:dyDescent="0.3">
      <c r="A73" s="52" t="s">
        <v>347</v>
      </c>
      <c r="B73" s="76" t="s">
        <v>74</v>
      </c>
      <c r="C73" s="304">
        <f>GETPIVOTDATA("Sum of Operational Crewing",dutysystemlapivot!$A$3,"ReportingLevel","4:National","lvl","Scotland")</f>
        <v>0</v>
      </c>
      <c r="D73" s="304">
        <f>GETPIVOTDATA("Sum of Incident Command Officers",dutysystemlapivot!$A$3,"ReportingLevel","4:National","lvl","Scotland")</f>
        <v>56</v>
      </c>
      <c r="E73" s="304">
        <f>GETPIVOTDATA("Sum of Office Duties",dutysystemlapivot!$A$3,"ReportingLevel","4:National","lvl","Scotland")</f>
        <v>28</v>
      </c>
      <c r="F73" s="304">
        <f>GETPIVOTDATA("Sum of Trainees",dutysystemlapivot!$A$3,"ReportingLevel","4:National","lvl","Scotland")</f>
        <v>0</v>
      </c>
      <c r="G73" s="70">
        <f t="shared" si="4"/>
        <v>84</v>
      </c>
    </row>
    <row r="74" spans="1:8" ht="13.5" customHeight="1" x14ac:dyDescent="0.25"/>
    <row r="75" spans="1:8" x14ac:dyDescent="0.25">
      <c r="A75" s="353" t="s">
        <v>8</v>
      </c>
      <c r="B75" s="354"/>
      <c r="C75" s="354"/>
      <c r="D75" s="354"/>
      <c r="E75" s="354"/>
      <c r="F75" s="354"/>
      <c r="G75" s="354"/>
    </row>
    <row r="76" spans="1:8" ht="44.45" customHeight="1" x14ac:dyDescent="0.25">
      <c r="A76" s="992" t="s">
        <v>1215</v>
      </c>
      <c r="B76" s="992"/>
      <c r="C76" s="992"/>
      <c r="D76" s="992"/>
      <c r="E76" s="992"/>
      <c r="F76" s="992"/>
      <c r="G76" s="354"/>
    </row>
    <row r="77" spans="1:8" x14ac:dyDescent="0.25">
      <c r="A77" s="350" t="s">
        <v>217</v>
      </c>
      <c r="B77" s="344"/>
      <c r="C77" s="351"/>
      <c r="D77" s="352"/>
      <c r="E77" s="352"/>
      <c r="F77" s="352"/>
      <c r="G77" s="352"/>
    </row>
    <row r="78" spans="1:8" x14ac:dyDescent="0.25">
      <c r="A78" s="384"/>
      <c r="B78" s="430"/>
      <c r="C78" s="430"/>
      <c r="D78" s="430"/>
      <c r="E78" s="430"/>
      <c r="F78" s="430"/>
      <c r="G78" s="430"/>
      <c r="H78" s="379"/>
    </row>
    <row r="79" spans="1:8" x14ac:dyDescent="0.25">
      <c r="A79" s="350"/>
    </row>
  </sheetData>
  <sheetProtection algorithmName="SHA-512" hashValue="qqmdwoSMy/8wGabO94o6T2ITzxQpqkfodvE3yBEp7Vxzj5Z8IlUdREzTeSqGgBc8JCdvhTOik1QONnukBNPZzQ==" saltValue="m57RBXdhzQi0W0HF49bm/A==" spinCount="100000" sheet="1" scenarios="1" formatCells="0" sort="0" autoFilter="0" pivotTables="0"/>
  <mergeCells count="1">
    <mergeCell ref="A76:F76"/>
  </mergeCells>
  <hyperlinks>
    <hyperlink ref="A2" location="'Table of Contents'!A1" display="Back to Table of Contents" xr:uid="{00000000-0004-0000-1D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39997558519241921"/>
  </sheetPr>
  <dimension ref="A1:AM224"/>
  <sheetViews>
    <sheetView zoomScaleNormal="100" workbookViewId="0">
      <selection sqref="A1:B1"/>
    </sheetView>
  </sheetViews>
  <sheetFormatPr defaultColWidth="8.7109375" defaultRowHeight="15" x14ac:dyDescent="0.25"/>
  <cols>
    <col min="1" max="1" width="18.140625" style="378" customWidth="1"/>
    <col min="2" max="2" width="43.85546875" style="378" bestFit="1" customWidth="1"/>
    <col min="3" max="3" width="45.140625" style="378" bestFit="1" customWidth="1"/>
    <col min="4" max="4" width="24.140625" style="378" bestFit="1" customWidth="1"/>
    <col min="5" max="5" width="22.85546875" style="378" bestFit="1" customWidth="1"/>
    <col min="6" max="6" width="19.5703125" style="378" bestFit="1" customWidth="1"/>
    <col min="7" max="7" width="10.140625" style="378" bestFit="1" customWidth="1"/>
    <col min="8" max="8" width="10.85546875" style="378" bestFit="1" customWidth="1"/>
    <col min="9" max="16" width="10.42578125" style="378" customWidth="1"/>
    <col min="17" max="17" width="42.42578125" style="378" customWidth="1"/>
    <col min="18" max="18" width="44.140625" style="378" bestFit="1" customWidth="1"/>
    <col min="19" max="19" width="45.7109375" style="378" bestFit="1" customWidth="1"/>
    <col min="20" max="20" width="24.85546875" style="378" bestFit="1" customWidth="1"/>
    <col min="21" max="21" width="23.42578125" style="378" bestFit="1" customWidth="1"/>
    <col min="22" max="22" width="20.28515625" style="378" bestFit="1" customWidth="1"/>
    <col min="23" max="23" width="11" style="378" bestFit="1" customWidth="1"/>
    <col min="24" max="24" width="11.42578125" style="378" bestFit="1" customWidth="1"/>
    <col min="25" max="25" width="13.28515625" style="378" bestFit="1" customWidth="1"/>
    <col min="26" max="26" width="23" style="378" bestFit="1" customWidth="1"/>
    <col min="27" max="27" width="21.5703125" style="378" bestFit="1" customWidth="1"/>
    <col min="28" max="28" width="18.42578125" style="378" bestFit="1" customWidth="1"/>
    <col min="29" max="29" width="9.42578125" style="378" bestFit="1" customWidth="1"/>
    <col min="30" max="30" width="9.85546875" style="378" bestFit="1" customWidth="1"/>
    <col min="31" max="31" width="11.42578125" style="378" bestFit="1" customWidth="1"/>
    <col min="32" max="32" width="15.5703125" style="378" customWidth="1"/>
    <col min="33" max="33" width="23" style="378" customWidth="1"/>
    <col min="34" max="34" width="21.5703125" style="378" customWidth="1"/>
    <col min="35" max="16384" width="8.7109375" style="378"/>
  </cols>
  <sheetData>
    <row r="1" spans="1:38" ht="15.75" x14ac:dyDescent="0.25">
      <c r="A1" s="1007" t="s">
        <v>450</v>
      </c>
      <c r="B1" s="1007"/>
    </row>
    <row r="2" spans="1:38" ht="18" x14ac:dyDescent="0.25">
      <c r="A2" s="821" t="s">
        <v>511</v>
      </c>
      <c r="B2" s="1"/>
    </row>
    <row r="3" spans="1:38" ht="18" x14ac:dyDescent="0.25">
      <c r="A3" s="1"/>
    </row>
    <row r="4" spans="1:38" ht="15.75" x14ac:dyDescent="0.25">
      <c r="A4" s="1008" t="s">
        <v>475</v>
      </c>
      <c r="B4" s="1008"/>
    </row>
    <row r="5" spans="1:38" x14ac:dyDescent="0.25">
      <c r="A5" s="378" t="s">
        <v>328</v>
      </c>
      <c r="B5" s="378" t="s">
        <v>647</v>
      </c>
    </row>
    <row r="6" spans="1:38" x14ac:dyDescent="0.25">
      <c r="A6" s="378" t="s">
        <v>329</v>
      </c>
      <c r="B6" s="378" t="s">
        <v>331</v>
      </c>
    </row>
    <row r="7" spans="1:38" x14ac:dyDescent="0.25">
      <c r="A7" s="378" t="s">
        <v>330</v>
      </c>
      <c r="B7" s="378" t="s">
        <v>332</v>
      </c>
    </row>
    <row r="10" spans="1:38" s="344" customFormat="1" x14ac:dyDescent="0.25">
      <c r="A10" s="970" t="s">
        <v>1</v>
      </c>
      <c r="B10" s="970" t="s">
        <v>1016</v>
      </c>
      <c r="C10" s="970" t="s">
        <v>1017</v>
      </c>
      <c r="D10" s="970" t="s">
        <v>27</v>
      </c>
      <c r="E10" s="970" t="s">
        <v>28</v>
      </c>
      <c r="F10" s="970" t="s">
        <v>831</v>
      </c>
      <c r="G10" s="970" t="s">
        <v>2</v>
      </c>
      <c r="H10" s="970" t="s">
        <v>3</v>
      </c>
      <c r="I10" s="970" t="s">
        <v>29</v>
      </c>
      <c r="Q10" s="378"/>
      <c r="R10" s="378"/>
      <c r="S10" s="378"/>
      <c r="T10" s="378"/>
      <c r="U10" s="378"/>
      <c r="V10" s="378"/>
      <c r="W10" s="378"/>
      <c r="X10" s="378"/>
      <c r="Y10" s="378"/>
      <c r="Z10" s="378"/>
      <c r="AA10" s="378"/>
      <c r="AB10" s="378"/>
      <c r="AC10" s="378"/>
      <c r="AD10" s="378"/>
      <c r="AE10" s="378"/>
      <c r="AF10" s="378"/>
      <c r="AG10" s="378"/>
      <c r="AH10" s="378"/>
      <c r="AI10" s="378"/>
      <c r="AJ10" s="378"/>
      <c r="AK10" s="378"/>
      <c r="AL10" s="378"/>
    </row>
    <row r="11" spans="1:38" hidden="1" x14ac:dyDescent="0.25">
      <c r="A11" s="606" t="s">
        <v>239</v>
      </c>
      <c r="C11" s="378" t="s">
        <v>877</v>
      </c>
      <c r="D11" s="971">
        <v>5</v>
      </c>
      <c r="E11" s="971"/>
      <c r="F11" s="971"/>
      <c r="G11" s="971"/>
      <c r="H11" s="971">
        <v>182</v>
      </c>
      <c r="I11" s="971"/>
    </row>
    <row r="12" spans="1:38" hidden="1" x14ac:dyDescent="0.25">
      <c r="A12" s="606" t="s">
        <v>239</v>
      </c>
      <c r="C12" s="378" t="s">
        <v>878</v>
      </c>
      <c r="D12" s="971">
        <v>2</v>
      </c>
      <c r="E12" s="971"/>
      <c r="F12" s="971"/>
      <c r="G12" s="971"/>
      <c r="H12" s="971">
        <v>66</v>
      </c>
      <c r="I12" s="971"/>
    </row>
    <row r="13" spans="1:38" hidden="1" x14ac:dyDescent="0.25">
      <c r="A13" s="606" t="s">
        <v>239</v>
      </c>
      <c r="C13" s="378" t="s">
        <v>879</v>
      </c>
      <c r="D13" s="971"/>
      <c r="E13" s="971"/>
      <c r="F13" s="971"/>
      <c r="G13" s="971"/>
      <c r="H13" s="971">
        <v>67</v>
      </c>
      <c r="I13" s="971"/>
    </row>
    <row r="14" spans="1:38" hidden="1" x14ac:dyDescent="0.25">
      <c r="A14" s="606" t="s">
        <v>239</v>
      </c>
      <c r="C14" s="378" t="s">
        <v>1032</v>
      </c>
      <c r="D14" s="971">
        <v>3</v>
      </c>
      <c r="E14" s="971"/>
      <c r="F14" s="971"/>
      <c r="G14" s="971"/>
      <c r="H14" s="971">
        <v>46</v>
      </c>
      <c r="I14" s="971"/>
    </row>
    <row r="15" spans="1:38" hidden="1" x14ac:dyDescent="0.25">
      <c r="A15" s="606" t="s">
        <v>239</v>
      </c>
      <c r="C15" s="378" t="s">
        <v>1033</v>
      </c>
      <c r="D15" s="971">
        <v>2</v>
      </c>
      <c r="E15" s="971"/>
      <c r="F15" s="971"/>
      <c r="G15" s="971"/>
      <c r="H15" s="971">
        <v>56</v>
      </c>
      <c r="I15" s="971"/>
    </row>
    <row r="16" spans="1:38" hidden="1" x14ac:dyDescent="0.25">
      <c r="A16" s="606" t="s">
        <v>239</v>
      </c>
      <c r="C16" s="378" t="s">
        <v>881</v>
      </c>
      <c r="D16" s="971"/>
      <c r="E16" s="971"/>
      <c r="F16" s="971"/>
      <c r="G16" s="971"/>
      <c r="H16" s="971">
        <v>77</v>
      </c>
      <c r="I16" s="971"/>
    </row>
    <row r="17" spans="1:9" hidden="1" x14ac:dyDescent="0.25">
      <c r="A17" s="606" t="s">
        <v>239</v>
      </c>
      <c r="C17" s="378" t="s">
        <v>883</v>
      </c>
      <c r="D17" s="971">
        <v>200</v>
      </c>
      <c r="E17" s="971"/>
      <c r="F17" s="971"/>
      <c r="G17" s="971"/>
      <c r="H17" s="971">
        <v>82</v>
      </c>
      <c r="I17" s="971"/>
    </row>
    <row r="18" spans="1:9" hidden="1" x14ac:dyDescent="0.25">
      <c r="A18" s="606" t="s">
        <v>239</v>
      </c>
      <c r="C18" s="378" t="s">
        <v>884</v>
      </c>
      <c r="D18" s="971">
        <v>45</v>
      </c>
      <c r="E18" s="971"/>
      <c r="F18" s="971"/>
      <c r="G18" s="971">
        <v>197</v>
      </c>
      <c r="H18" s="971">
        <v>73</v>
      </c>
      <c r="I18" s="971"/>
    </row>
    <row r="19" spans="1:9" hidden="1" x14ac:dyDescent="0.25">
      <c r="A19" s="606" t="s">
        <v>239</v>
      </c>
      <c r="C19" s="378" t="s">
        <v>885</v>
      </c>
      <c r="D19" s="971">
        <v>4</v>
      </c>
      <c r="E19" s="971"/>
      <c r="F19" s="971"/>
      <c r="G19" s="971"/>
      <c r="H19" s="971">
        <v>3</v>
      </c>
      <c r="I19" s="971"/>
    </row>
    <row r="20" spans="1:9" hidden="1" x14ac:dyDescent="0.25">
      <c r="A20" s="606" t="s">
        <v>239</v>
      </c>
      <c r="C20" s="378" t="s">
        <v>886</v>
      </c>
      <c r="D20" s="971">
        <v>3101</v>
      </c>
      <c r="E20" s="971">
        <v>2935</v>
      </c>
      <c r="F20" s="971">
        <v>18</v>
      </c>
      <c r="G20" s="971"/>
      <c r="H20" s="971">
        <v>26</v>
      </c>
      <c r="I20" s="971">
        <v>321</v>
      </c>
    </row>
    <row r="21" spans="1:9" hidden="1" x14ac:dyDescent="0.25">
      <c r="A21" s="606" t="s">
        <v>239</v>
      </c>
      <c r="C21" s="378" t="s">
        <v>887</v>
      </c>
      <c r="D21" s="971">
        <v>5</v>
      </c>
      <c r="E21" s="971"/>
      <c r="F21" s="971"/>
      <c r="G21" s="971"/>
      <c r="H21" s="971"/>
      <c r="I21" s="971"/>
    </row>
    <row r="22" spans="1:9" hidden="1" x14ac:dyDescent="0.25">
      <c r="A22" s="606" t="s">
        <v>239</v>
      </c>
      <c r="C22" s="378" t="s">
        <v>888</v>
      </c>
      <c r="D22" s="971">
        <v>2</v>
      </c>
      <c r="E22" s="971"/>
      <c r="F22" s="971"/>
      <c r="G22" s="971"/>
      <c r="H22" s="971">
        <v>55</v>
      </c>
      <c r="I22" s="971"/>
    </row>
    <row r="23" spans="1:9" hidden="1" x14ac:dyDescent="0.25">
      <c r="A23" s="606" t="s">
        <v>239</v>
      </c>
      <c r="C23" s="378" t="s">
        <v>771</v>
      </c>
      <c r="D23" s="971">
        <v>65</v>
      </c>
      <c r="E23" s="971"/>
      <c r="F23" s="971"/>
      <c r="G23" s="971">
        <v>10</v>
      </c>
      <c r="H23" s="971">
        <v>1</v>
      </c>
      <c r="I23" s="971"/>
    </row>
    <row r="24" spans="1:9" hidden="1" x14ac:dyDescent="0.25">
      <c r="A24" s="968" t="s">
        <v>239</v>
      </c>
      <c r="B24" s="969"/>
      <c r="C24" s="969" t="s">
        <v>889</v>
      </c>
      <c r="D24" s="973">
        <v>203</v>
      </c>
      <c r="E24" s="973"/>
      <c r="F24" s="973"/>
      <c r="G24" s="973"/>
      <c r="H24" s="973">
        <v>58</v>
      </c>
      <c r="I24" s="973"/>
    </row>
    <row r="25" spans="1:9" hidden="1" x14ac:dyDescent="0.25">
      <c r="A25" s="606" t="s">
        <v>760</v>
      </c>
      <c r="C25" s="378" t="s">
        <v>877</v>
      </c>
      <c r="D25" s="971">
        <v>5</v>
      </c>
      <c r="E25" s="971"/>
      <c r="F25" s="971"/>
      <c r="G25" s="971"/>
      <c r="H25" s="971">
        <v>185</v>
      </c>
      <c r="I25" s="971"/>
    </row>
    <row r="26" spans="1:9" hidden="1" x14ac:dyDescent="0.25">
      <c r="A26" s="606" t="s">
        <v>760</v>
      </c>
      <c r="C26" s="378" t="s">
        <v>878</v>
      </c>
      <c r="D26" s="971">
        <v>2</v>
      </c>
      <c r="E26" s="971"/>
      <c r="F26" s="971"/>
      <c r="G26" s="971"/>
      <c r="H26" s="971">
        <v>71</v>
      </c>
      <c r="I26" s="971"/>
    </row>
    <row r="27" spans="1:9" hidden="1" x14ac:dyDescent="0.25">
      <c r="A27" s="606" t="s">
        <v>760</v>
      </c>
      <c r="C27" s="378" t="s">
        <v>879</v>
      </c>
      <c r="D27" s="971"/>
      <c r="E27" s="971"/>
      <c r="F27" s="971"/>
      <c r="G27" s="971"/>
      <c r="H27" s="971">
        <v>67</v>
      </c>
      <c r="I27" s="971"/>
    </row>
    <row r="28" spans="1:9" hidden="1" x14ac:dyDescent="0.25">
      <c r="A28" s="606" t="s">
        <v>760</v>
      </c>
      <c r="C28" s="378" t="s">
        <v>880</v>
      </c>
      <c r="D28" s="971">
        <v>2</v>
      </c>
      <c r="E28" s="971"/>
      <c r="F28" s="971"/>
      <c r="G28" s="971"/>
      <c r="H28" s="971">
        <v>17</v>
      </c>
      <c r="I28" s="971"/>
    </row>
    <row r="29" spans="1:9" hidden="1" x14ac:dyDescent="0.25">
      <c r="A29" s="606" t="s">
        <v>760</v>
      </c>
      <c r="C29" s="378" t="s">
        <v>881</v>
      </c>
      <c r="D29" s="971"/>
      <c r="E29" s="971"/>
      <c r="F29" s="971"/>
      <c r="G29" s="971"/>
      <c r="H29" s="971">
        <v>73</v>
      </c>
      <c r="I29" s="971"/>
    </row>
    <row r="30" spans="1:9" hidden="1" x14ac:dyDescent="0.25">
      <c r="A30" s="606" t="s">
        <v>760</v>
      </c>
      <c r="C30" s="378" t="s">
        <v>882</v>
      </c>
      <c r="D30" s="971">
        <v>2</v>
      </c>
      <c r="E30" s="971"/>
      <c r="F30" s="971"/>
      <c r="G30" s="971"/>
      <c r="H30" s="971">
        <v>95</v>
      </c>
      <c r="I30" s="971"/>
    </row>
    <row r="31" spans="1:9" hidden="1" x14ac:dyDescent="0.25">
      <c r="A31" s="606" t="s">
        <v>760</v>
      </c>
      <c r="C31" s="378" t="s">
        <v>883</v>
      </c>
      <c r="D31" s="971">
        <v>51</v>
      </c>
      <c r="E31" s="971"/>
      <c r="F31" s="971"/>
      <c r="G31" s="971"/>
      <c r="H31" s="971">
        <v>17</v>
      </c>
      <c r="I31" s="971"/>
    </row>
    <row r="32" spans="1:9" hidden="1" x14ac:dyDescent="0.25">
      <c r="A32" s="606" t="s">
        <v>760</v>
      </c>
      <c r="C32" s="378" t="s">
        <v>884</v>
      </c>
      <c r="D32" s="971">
        <v>52</v>
      </c>
      <c r="E32" s="971"/>
      <c r="F32" s="971"/>
      <c r="G32" s="971">
        <v>186</v>
      </c>
      <c r="H32" s="971">
        <v>77</v>
      </c>
      <c r="I32" s="971"/>
    </row>
    <row r="33" spans="1:38" hidden="1" x14ac:dyDescent="0.25">
      <c r="A33" s="606" t="s">
        <v>760</v>
      </c>
      <c r="C33" s="378" t="s">
        <v>885</v>
      </c>
      <c r="D33" s="971">
        <v>6</v>
      </c>
      <c r="E33" s="971"/>
      <c r="F33" s="971"/>
      <c r="G33" s="971"/>
      <c r="H33" s="971">
        <v>3</v>
      </c>
      <c r="I33" s="971"/>
    </row>
    <row r="34" spans="1:38" hidden="1" x14ac:dyDescent="0.25">
      <c r="A34" s="606" t="s">
        <v>760</v>
      </c>
      <c r="C34" s="378" t="s">
        <v>886</v>
      </c>
      <c r="D34" s="971">
        <v>3358</v>
      </c>
      <c r="E34" s="971">
        <v>2937</v>
      </c>
      <c r="F34" s="971">
        <v>36</v>
      </c>
      <c r="G34" s="971"/>
      <c r="H34" s="971">
        <v>96</v>
      </c>
      <c r="I34" s="971">
        <v>315</v>
      </c>
    </row>
    <row r="35" spans="1:38" hidden="1" x14ac:dyDescent="0.25">
      <c r="A35" s="606" t="s">
        <v>760</v>
      </c>
      <c r="C35" s="378" t="s">
        <v>887</v>
      </c>
      <c r="D35" s="971">
        <v>5</v>
      </c>
      <c r="E35" s="971"/>
      <c r="F35" s="971"/>
      <c r="G35" s="971"/>
      <c r="H35" s="971">
        <v>1</v>
      </c>
      <c r="I35" s="971"/>
    </row>
    <row r="36" spans="1:38" hidden="1" x14ac:dyDescent="0.25">
      <c r="A36" s="606" t="s">
        <v>760</v>
      </c>
      <c r="C36" s="378" t="s">
        <v>888</v>
      </c>
      <c r="D36" s="971">
        <v>2</v>
      </c>
      <c r="E36" s="971"/>
      <c r="F36" s="971"/>
      <c r="G36" s="971"/>
      <c r="H36" s="971">
        <v>61</v>
      </c>
      <c r="I36" s="971"/>
    </row>
    <row r="37" spans="1:38" hidden="1" x14ac:dyDescent="0.25">
      <c r="A37" s="606" t="s">
        <v>760</v>
      </c>
      <c r="C37" s="378" t="s">
        <v>771</v>
      </c>
      <c r="D37" s="971">
        <v>53</v>
      </c>
      <c r="E37" s="971"/>
      <c r="F37" s="971"/>
      <c r="G37" s="971">
        <v>2</v>
      </c>
      <c r="H37" s="971">
        <v>2</v>
      </c>
      <c r="I37" s="971"/>
    </row>
    <row r="38" spans="1:38" hidden="1" x14ac:dyDescent="0.25">
      <c r="A38" s="968" t="s">
        <v>760</v>
      </c>
      <c r="B38" s="969"/>
      <c r="C38" s="969" t="s">
        <v>889</v>
      </c>
      <c r="D38" s="973">
        <v>98</v>
      </c>
      <c r="E38" s="973"/>
      <c r="F38" s="973"/>
      <c r="G38" s="973"/>
      <c r="H38" s="973">
        <v>52</v>
      </c>
      <c r="I38" s="973"/>
    </row>
    <row r="39" spans="1:38" hidden="1" x14ac:dyDescent="0.25">
      <c r="A39" s="606" t="s">
        <v>917</v>
      </c>
      <c r="B39" s="378" t="s">
        <v>1018</v>
      </c>
      <c r="C39" s="378" t="s">
        <v>877</v>
      </c>
      <c r="D39" s="971">
        <v>6</v>
      </c>
      <c r="E39" s="971">
        <v>0</v>
      </c>
      <c r="F39" s="971">
        <v>0</v>
      </c>
      <c r="G39" s="971">
        <v>0</v>
      </c>
      <c r="H39" s="971">
        <v>185</v>
      </c>
      <c r="I39" s="971">
        <v>0</v>
      </c>
    </row>
    <row r="40" spans="1:38" hidden="1" x14ac:dyDescent="0.25">
      <c r="A40" s="606" t="s">
        <v>917</v>
      </c>
      <c r="B40" s="378" t="s">
        <v>1018</v>
      </c>
      <c r="C40" s="378" t="s">
        <v>879</v>
      </c>
      <c r="D40" s="971">
        <v>0</v>
      </c>
      <c r="E40" s="971">
        <v>0</v>
      </c>
      <c r="F40" s="971">
        <v>0</v>
      </c>
      <c r="G40" s="971">
        <v>0</v>
      </c>
      <c r="H40" s="971">
        <v>67</v>
      </c>
      <c r="I40" s="971">
        <v>0</v>
      </c>
    </row>
    <row r="41" spans="1:38" hidden="1" x14ac:dyDescent="0.25">
      <c r="A41" s="606" t="s">
        <v>917</v>
      </c>
      <c r="B41" s="378" t="s">
        <v>1025</v>
      </c>
      <c r="C41" s="378" t="s">
        <v>882</v>
      </c>
      <c r="D41" s="971">
        <v>1</v>
      </c>
      <c r="E41" s="971">
        <v>0</v>
      </c>
      <c r="F41" s="971">
        <v>0</v>
      </c>
      <c r="G41" s="971">
        <v>0</v>
      </c>
      <c r="H41" s="971">
        <v>106</v>
      </c>
      <c r="I41" s="971">
        <v>0</v>
      </c>
    </row>
    <row r="42" spans="1:38" hidden="1" x14ac:dyDescent="0.25">
      <c r="A42" s="606" t="s">
        <v>917</v>
      </c>
      <c r="B42" s="378" t="s">
        <v>886</v>
      </c>
      <c r="C42" s="378" t="s">
        <v>1019</v>
      </c>
      <c r="D42" s="971">
        <v>3285</v>
      </c>
      <c r="E42" s="971">
        <v>2872</v>
      </c>
      <c r="F42" s="971">
        <v>54</v>
      </c>
      <c r="G42" s="971">
        <v>0</v>
      </c>
      <c r="H42" s="971">
        <v>97</v>
      </c>
      <c r="I42" s="971">
        <v>303</v>
      </c>
    </row>
    <row r="43" spans="1:38" hidden="1" x14ac:dyDescent="0.25">
      <c r="A43" s="606" t="s">
        <v>917</v>
      </c>
      <c r="B43" s="378" t="s">
        <v>886</v>
      </c>
      <c r="C43" s="378" t="s">
        <v>1022</v>
      </c>
      <c r="D43" s="971">
        <v>40</v>
      </c>
      <c r="E43" s="971">
        <v>0</v>
      </c>
      <c r="F43" s="971">
        <v>0</v>
      </c>
      <c r="G43" s="971">
        <v>174</v>
      </c>
      <c r="H43" s="971">
        <v>74</v>
      </c>
      <c r="I43" s="971">
        <v>0</v>
      </c>
    </row>
    <row r="44" spans="1:38" s="606" customFormat="1" hidden="1" x14ac:dyDescent="0.25">
      <c r="A44" s="606" t="s">
        <v>917</v>
      </c>
      <c r="B44" s="378" t="s">
        <v>886</v>
      </c>
      <c r="C44" s="378" t="s">
        <v>1027</v>
      </c>
      <c r="D44" s="971">
        <v>52</v>
      </c>
      <c r="E44" s="971">
        <v>0</v>
      </c>
      <c r="F44" s="971">
        <v>0</v>
      </c>
      <c r="G44" s="971">
        <v>0</v>
      </c>
      <c r="H44" s="971">
        <v>17</v>
      </c>
      <c r="I44" s="971">
        <v>0</v>
      </c>
      <c r="Q44" s="378"/>
      <c r="R44" s="378"/>
      <c r="S44" s="378"/>
      <c r="T44" s="378"/>
      <c r="U44" s="378"/>
      <c r="V44" s="378"/>
      <c r="W44" s="378"/>
      <c r="X44" s="378"/>
      <c r="Y44" s="378"/>
      <c r="Z44" s="378"/>
      <c r="AA44" s="378"/>
      <c r="AB44" s="378"/>
      <c r="AC44" s="378"/>
      <c r="AD44" s="378"/>
      <c r="AE44" s="378"/>
      <c r="AF44" s="378"/>
      <c r="AG44" s="378"/>
      <c r="AH44" s="378"/>
      <c r="AI44" s="378"/>
      <c r="AJ44" s="378"/>
      <c r="AK44" s="378"/>
      <c r="AL44" s="378"/>
    </row>
    <row r="45" spans="1:38" hidden="1" x14ac:dyDescent="0.25">
      <c r="A45" s="606" t="s">
        <v>917</v>
      </c>
      <c r="B45" s="378" t="s">
        <v>886</v>
      </c>
      <c r="C45" s="378" t="s">
        <v>1021</v>
      </c>
      <c r="D45" s="971">
        <v>13</v>
      </c>
      <c r="E45" s="971">
        <v>0</v>
      </c>
      <c r="F45" s="971">
        <v>0</v>
      </c>
      <c r="G45" s="971">
        <v>8</v>
      </c>
      <c r="H45" s="971">
        <v>4</v>
      </c>
      <c r="I45" s="971">
        <v>0</v>
      </c>
    </row>
    <row r="46" spans="1:38" hidden="1" x14ac:dyDescent="0.25">
      <c r="A46" s="606" t="s">
        <v>917</v>
      </c>
      <c r="B46" s="378" t="s">
        <v>886</v>
      </c>
      <c r="C46" s="378" t="s">
        <v>771</v>
      </c>
      <c r="D46" s="971">
        <v>58</v>
      </c>
      <c r="E46" s="971">
        <v>0</v>
      </c>
      <c r="F46" s="971">
        <v>0</v>
      </c>
      <c r="G46" s="971">
        <v>0</v>
      </c>
      <c r="H46" s="971">
        <v>0</v>
      </c>
      <c r="I46" s="971">
        <v>0</v>
      </c>
    </row>
    <row r="47" spans="1:38" hidden="1" x14ac:dyDescent="0.25">
      <c r="A47" s="606" t="s">
        <v>917</v>
      </c>
      <c r="B47" s="378" t="s">
        <v>886</v>
      </c>
      <c r="C47" s="378" t="s">
        <v>319</v>
      </c>
      <c r="D47" s="971">
        <v>1</v>
      </c>
      <c r="E47" s="971">
        <v>0</v>
      </c>
      <c r="F47" s="971">
        <v>0</v>
      </c>
      <c r="G47" s="971">
        <v>0</v>
      </c>
      <c r="H47" s="971">
        <v>0</v>
      </c>
      <c r="I47" s="971">
        <v>0</v>
      </c>
    </row>
    <row r="48" spans="1:38" hidden="1" x14ac:dyDescent="0.25">
      <c r="A48" s="606" t="s">
        <v>917</v>
      </c>
      <c r="B48" s="378" t="s">
        <v>1023</v>
      </c>
      <c r="C48" s="378" t="s">
        <v>1030</v>
      </c>
      <c r="D48" s="971">
        <v>0</v>
      </c>
      <c r="E48" s="971">
        <v>0</v>
      </c>
      <c r="F48" s="971">
        <v>0</v>
      </c>
      <c r="G48" s="971">
        <v>0</v>
      </c>
      <c r="H48" s="971">
        <v>1</v>
      </c>
      <c r="I48" s="971">
        <v>0</v>
      </c>
    </row>
    <row r="49" spans="1:9" hidden="1" x14ac:dyDescent="0.25">
      <c r="A49" s="606" t="s">
        <v>917</v>
      </c>
      <c r="B49" s="378" t="s">
        <v>1023</v>
      </c>
      <c r="C49" s="378" t="s">
        <v>188</v>
      </c>
      <c r="D49" s="971">
        <v>6</v>
      </c>
      <c r="E49" s="971">
        <v>0</v>
      </c>
      <c r="F49" s="971">
        <v>0</v>
      </c>
      <c r="G49" s="971">
        <v>0</v>
      </c>
      <c r="H49" s="971">
        <v>84</v>
      </c>
      <c r="I49" s="971">
        <v>0</v>
      </c>
    </row>
    <row r="50" spans="1:9" hidden="1" x14ac:dyDescent="0.25">
      <c r="A50" s="606" t="s">
        <v>917</v>
      </c>
      <c r="B50" s="378" t="s">
        <v>1024</v>
      </c>
      <c r="C50" s="378" t="s">
        <v>992</v>
      </c>
      <c r="D50" s="971">
        <v>5</v>
      </c>
      <c r="E50" s="971">
        <v>0</v>
      </c>
      <c r="F50" s="971">
        <v>0</v>
      </c>
      <c r="G50" s="971">
        <v>0</v>
      </c>
      <c r="H50" s="971">
        <v>3</v>
      </c>
      <c r="I50" s="971">
        <v>0</v>
      </c>
    </row>
    <row r="51" spans="1:9" hidden="1" x14ac:dyDescent="0.25">
      <c r="A51" s="606" t="s">
        <v>917</v>
      </c>
      <c r="B51" s="378" t="s">
        <v>1028</v>
      </c>
      <c r="C51" s="378" t="s">
        <v>1031</v>
      </c>
      <c r="D51" s="971">
        <v>0</v>
      </c>
      <c r="E51" s="971">
        <v>0</v>
      </c>
      <c r="F51" s="971">
        <v>0</v>
      </c>
      <c r="G51" s="971">
        <v>0</v>
      </c>
      <c r="H51" s="971">
        <v>22</v>
      </c>
      <c r="I51" s="971">
        <v>0</v>
      </c>
    </row>
    <row r="52" spans="1:9" hidden="1" x14ac:dyDescent="0.25">
      <c r="A52" s="606" t="s">
        <v>917</v>
      </c>
      <c r="B52" s="378" t="s">
        <v>1028</v>
      </c>
      <c r="C52" s="378" t="s">
        <v>1029</v>
      </c>
      <c r="D52" s="971">
        <v>2</v>
      </c>
      <c r="E52" s="971">
        <v>0</v>
      </c>
      <c r="F52" s="971">
        <v>0</v>
      </c>
      <c r="G52" s="971">
        <v>0</v>
      </c>
      <c r="H52" s="971">
        <v>102</v>
      </c>
      <c r="I52" s="971">
        <v>0</v>
      </c>
    </row>
    <row r="53" spans="1:9" hidden="1" x14ac:dyDescent="0.25">
      <c r="A53" s="606" t="s">
        <v>917</v>
      </c>
      <c r="B53" s="378" t="s">
        <v>1020</v>
      </c>
      <c r="C53" s="378" t="s">
        <v>1026</v>
      </c>
      <c r="D53" s="971">
        <v>9</v>
      </c>
      <c r="E53" s="971">
        <v>0</v>
      </c>
      <c r="F53" s="971">
        <v>0</v>
      </c>
      <c r="G53" s="971">
        <v>0</v>
      </c>
      <c r="H53" s="971">
        <v>18</v>
      </c>
      <c r="I53" s="971">
        <v>0</v>
      </c>
    </row>
    <row r="54" spans="1:9" hidden="1" x14ac:dyDescent="0.25">
      <c r="A54" s="968" t="s">
        <v>917</v>
      </c>
      <c r="B54" s="969" t="s">
        <v>1020</v>
      </c>
      <c r="C54" s="969" t="s">
        <v>319</v>
      </c>
      <c r="D54" s="973">
        <v>103</v>
      </c>
      <c r="E54" s="973">
        <v>0</v>
      </c>
      <c r="F54" s="973">
        <v>0</v>
      </c>
      <c r="G54" s="973">
        <v>0</v>
      </c>
      <c r="H54" s="973">
        <v>55</v>
      </c>
      <c r="I54" s="973">
        <v>0</v>
      </c>
    </row>
    <row r="55" spans="1:9" hidden="1" x14ac:dyDescent="0.25">
      <c r="A55" s="606" t="s">
        <v>1010</v>
      </c>
      <c r="B55" s="378" t="s">
        <v>1018</v>
      </c>
      <c r="C55" s="378" t="s">
        <v>877</v>
      </c>
      <c r="D55" s="971">
        <v>5</v>
      </c>
      <c r="E55" s="971">
        <v>0</v>
      </c>
      <c r="F55" s="971">
        <v>0</v>
      </c>
      <c r="G55" s="971">
        <v>0</v>
      </c>
      <c r="H55" s="971">
        <v>181</v>
      </c>
      <c r="I55" s="971">
        <v>0</v>
      </c>
    </row>
    <row r="56" spans="1:9" hidden="1" x14ac:dyDescent="0.25">
      <c r="A56" s="606" t="s">
        <v>1010</v>
      </c>
      <c r="B56" s="378" t="s">
        <v>1018</v>
      </c>
      <c r="C56" s="378" t="s">
        <v>879</v>
      </c>
      <c r="D56" s="971">
        <v>0</v>
      </c>
      <c r="E56" s="971">
        <v>0</v>
      </c>
      <c r="F56" s="971">
        <v>0</v>
      </c>
      <c r="G56" s="971">
        <v>0</v>
      </c>
      <c r="H56" s="971">
        <v>72</v>
      </c>
      <c r="I56" s="971">
        <v>0</v>
      </c>
    </row>
    <row r="57" spans="1:9" hidden="1" x14ac:dyDescent="0.25">
      <c r="A57" s="606" t="s">
        <v>1010</v>
      </c>
      <c r="B57" s="378" t="s">
        <v>1025</v>
      </c>
      <c r="C57" s="378" t="s">
        <v>882</v>
      </c>
      <c r="D57" s="971">
        <v>2</v>
      </c>
      <c r="E57" s="971">
        <v>0</v>
      </c>
      <c r="F57" s="971">
        <v>0</v>
      </c>
      <c r="G57" s="971">
        <v>0</v>
      </c>
      <c r="H57" s="971">
        <v>137</v>
      </c>
      <c r="I57" s="971">
        <v>0</v>
      </c>
    </row>
    <row r="58" spans="1:9" hidden="1" x14ac:dyDescent="0.25">
      <c r="A58" s="606" t="s">
        <v>1010</v>
      </c>
      <c r="B58" s="378" t="s">
        <v>886</v>
      </c>
      <c r="C58" s="378" t="s">
        <v>1019</v>
      </c>
      <c r="D58" s="971">
        <v>3228</v>
      </c>
      <c r="E58" s="971">
        <v>2758</v>
      </c>
      <c r="F58" s="971">
        <v>53</v>
      </c>
      <c r="G58" s="971">
        <v>0</v>
      </c>
      <c r="H58" s="971">
        <v>123</v>
      </c>
      <c r="I58" s="971">
        <v>277</v>
      </c>
    </row>
    <row r="59" spans="1:9" hidden="1" x14ac:dyDescent="0.25">
      <c r="A59" s="606" t="s">
        <v>1010</v>
      </c>
      <c r="B59" s="378" t="s">
        <v>886</v>
      </c>
      <c r="C59" s="378" t="s">
        <v>1022</v>
      </c>
      <c r="D59" s="971">
        <v>45</v>
      </c>
      <c r="E59" s="971">
        <v>0</v>
      </c>
      <c r="F59" s="971">
        <v>0</v>
      </c>
      <c r="G59" s="971">
        <v>168</v>
      </c>
      <c r="H59" s="971">
        <v>77</v>
      </c>
      <c r="I59" s="971">
        <v>0</v>
      </c>
    </row>
    <row r="60" spans="1:9" hidden="1" x14ac:dyDescent="0.25">
      <c r="A60" s="606" t="s">
        <v>1010</v>
      </c>
      <c r="B60" s="378" t="s">
        <v>886</v>
      </c>
      <c r="C60" s="378" t="s">
        <v>1027</v>
      </c>
      <c r="D60" s="971">
        <v>50</v>
      </c>
      <c r="E60" s="971">
        <v>0</v>
      </c>
      <c r="F60" s="971">
        <v>0</v>
      </c>
      <c r="G60" s="971">
        <v>0</v>
      </c>
      <c r="H60" s="971">
        <v>18</v>
      </c>
      <c r="I60" s="971">
        <v>0</v>
      </c>
    </row>
    <row r="61" spans="1:9" hidden="1" x14ac:dyDescent="0.25">
      <c r="A61" s="606" t="s">
        <v>1010</v>
      </c>
      <c r="B61" s="378" t="s">
        <v>886</v>
      </c>
      <c r="C61" s="378" t="s">
        <v>771</v>
      </c>
      <c r="D61" s="971">
        <v>65</v>
      </c>
      <c r="E61" s="971">
        <v>0</v>
      </c>
      <c r="F61" s="971">
        <v>0</v>
      </c>
      <c r="G61" s="971">
        <v>0</v>
      </c>
      <c r="H61" s="971">
        <v>0</v>
      </c>
      <c r="I61" s="971">
        <v>0</v>
      </c>
    </row>
    <row r="62" spans="1:9" hidden="1" x14ac:dyDescent="0.25">
      <c r="A62" s="606" t="s">
        <v>1010</v>
      </c>
      <c r="B62" s="378" t="s">
        <v>1023</v>
      </c>
      <c r="C62" s="378" t="s">
        <v>1030</v>
      </c>
      <c r="D62" s="971">
        <v>0</v>
      </c>
      <c r="E62" s="971">
        <v>0</v>
      </c>
      <c r="F62" s="971">
        <v>0</v>
      </c>
      <c r="G62" s="971">
        <v>0</v>
      </c>
      <c r="H62" s="971">
        <v>1</v>
      </c>
      <c r="I62" s="971">
        <v>0</v>
      </c>
    </row>
    <row r="63" spans="1:9" hidden="1" x14ac:dyDescent="0.25">
      <c r="A63" s="606" t="s">
        <v>1010</v>
      </c>
      <c r="B63" s="378" t="s">
        <v>1023</v>
      </c>
      <c r="C63" s="378" t="s">
        <v>188</v>
      </c>
      <c r="D63" s="971">
        <v>7</v>
      </c>
      <c r="E63" s="971">
        <v>0</v>
      </c>
      <c r="F63" s="971">
        <v>0</v>
      </c>
      <c r="G63" s="971">
        <v>0</v>
      </c>
      <c r="H63" s="971">
        <v>100</v>
      </c>
      <c r="I63" s="971">
        <v>0</v>
      </c>
    </row>
    <row r="64" spans="1:9" hidden="1" x14ac:dyDescent="0.25">
      <c r="A64" s="606" t="s">
        <v>1010</v>
      </c>
      <c r="B64" s="378" t="s">
        <v>1024</v>
      </c>
      <c r="C64" s="378" t="s">
        <v>992</v>
      </c>
      <c r="D64" s="971">
        <v>5</v>
      </c>
      <c r="E64" s="971">
        <v>0</v>
      </c>
      <c r="F64" s="971">
        <v>0</v>
      </c>
      <c r="G64" s="971">
        <v>0</v>
      </c>
      <c r="H64" s="971">
        <v>4</v>
      </c>
      <c r="I64" s="971">
        <v>0</v>
      </c>
    </row>
    <row r="65" spans="1:9" hidden="1" x14ac:dyDescent="0.25">
      <c r="A65" s="606" t="s">
        <v>1010</v>
      </c>
      <c r="B65" s="378" t="s">
        <v>1028</v>
      </c>
      <c r="C65" s="378" t="s">
        <v>1031</v>
      </c>
      <c r="D65" s="971">
        <v>0</v>
      </c>
      <c r="E65" s="971">
        <v>0</v>
      </c>
      <c r="F65" s="971">
        <v>0</v>
      </c>
      <c r="G65" s="971">
        <v>0</v>
      </c>
      <c r="H65" s="971">
        <v>22</v>
      </c>
      <c r="I65" s="971">
        <v>0</v>
      </c>
    </row>
    <row r="66" spans="1:9" hidden="1" x14ac:dyDescent="0.25">
      <c r="A66" s="606" t="s">
        <v>1010</v>
      </c>
      <c r="B66" s="378" t="s">
        <v>1028</v>
      </c>
      <c r="C66" s="378" t="s">
        <v>1029</v>
      </c>
      <c r="D66" s="971">
        <v>3</v>
      </c>
      <c r="E66" s="971">
        <v>0</v>
      </c>
      <c r="F66" s="971">
        <v>0</v>
      </c>
      <c r="G66" s="971">
        <v>0</v>
      </c>
      <c r="H66" s="971">
        <v>111</v>
      </c>
      <c r="I66" s="971">
        <v>0</v>
      </c>
    </row>
    <row r="67" spans="1:9" hidden="1" x14ac:dyDescent="0.25">
      <c r="A67" s="606" t="s">
        <v>1010</v>
      </c>
      <c r="B67" s="378" t="s">
        <v>1020</v>
      </c>
      <c r="C67" s="378" t="s">
        <v>1021</v>
      </c>
      <c r="D67" s="971">
        <v>3</v>
      </c>
      <c r="E67" s="971">
        <v>0</v>
      </c>
      <c r="F67" s="971">
        <v>0</v>
      </c>
      <c r="G67" s="971">
        <v>6</v>
      </c>
      <c r="H67" s="971">
        <v>2</v>
      </c>
      <c r="I67" s="971">
        <v>0</v>
      </c>
    </row>
    <row r="68" spans="1:9" hidden="1" x14ac:dyDescent="0.25">
      <c r="A68" s="606" t="s">
        <v>1010</v>
      </c>
      <c r="B68" s="378" t="s">
        <v>1020</v>
      </c>
      <c r="C68" s="378" t="s">
        <v>1026</v>
      </c>
      <c r="D68" s="971">
        <v>8</v>
      </c>
      <c r="E68" s="971">
        <v>0</v>
      </c>
      <c r="F68" s="971">
        <v>0</v>
      </c>
      <c r="G68" s="971">
        <v>0</v>
      </c>
      <c r="H68" s="971">
        <v>20</v>
      </c>
      <c r="I68" s="971">
        <v>0</v>
      </c>
    </row>
    <row r="69" spans="1:9" hidden="1" x14ac:dyDescent="0.25">
      <c r="A69" s="968" t="s">
        <v>1010</v>
      </c>
      <c r="B69" s="969" t="s">
        <v>1020</v>
      </c>
      <c r="C69" s="969" t="s">
        <v>319</v>
      </c>
      <c r="D69" s="973">
        <v>109</v>
      </c>
      <c r="E69" s="973">
        <v>0</v>
      </c>
      <c r="F69" s="973">
        <v>0</v>
      </c>
      <c r="G69" s="973">
        <v>0</v>
      </c>
      <c r="H69" s="973">
        <v>52</v>
      </c>
      <c r="I69" s="973">
        <v>0</v>
      </c>
    </row>
    <row r="70" spans="1:9" hidden="1" x14ac:dyDescent="0.25">
      <c r="A70" s="606" t="s">
        <v>1061</v>
      </c>
      <c r="B70" s="378" t="s">
        <v>1018</v>
      </c>
      <c r="C70" s="378" t="s">
        <v>877</v>
      </c>
      <c r="D70" s="971">
        <v>5</v>
      </c>
      <c r="E70" s="971">
        <v>0</v>
      </c>
      <c r="F70" s="971">
        <v>0</v>
      </c>
      <c r="G70" s="971">
        <v>0</v>
      </c>
      <c r="H70" s="971">
        <v>184</v>
      </c>
      <c r="I70" s="971">
        <v>0</v>
      </c>
    </row>
    <row r="71" spans="1:9" hidden="1" x14ac:dyDescent="0.25">
      <c r="A71" s="606" t="s">
        <v>1061</v>
      </c>
      <c r="B71" s="378" t="s">
        <v>1018</v>
      </c>
      <c r="C71" s="378" t="s">
        <v>879</v>
      </c>
      <c r="D71" s="971">
        <v>0</v>
      </c>
      <c r="E71" s="971">
        <v>0</v>
      </c>
      <c r="F71" s="971">
        <v>0</v>
      </c>
      <c r="G71" s="971">
        <v>0</v>
      </c>
      <c r="H71" s="971">
        <v>70</v>
      </c>
      <c r="I71" s="971">
        <v>0</v>
      </c>
    </row>
    <row r="72" spans="1:9" hidden="1" x14ac:dyDescent="0.25">
      <c r="A72" s="606" t="s">
        <v>1061</v>
      </c>
      <c r="B72" s="378" t="s">
        <v>1025</v>
      </c>
      <c r="C72" s="378" t="s">
        <v>882</v>
      </c>
      <c r="D72" s="971">
        <v>2</v>
      </c>
      <c r="E72" s="971">
        <v>0</v>
      </c>
      <c r="F72" s="971">
        <v>0</v>
      </c>
      <c r="G72" s="971">
        <v>0</v>
      </c>
      <c r="H72" s="971">
        <v>115</v>
      </c>
      <c r="I72" s="971">
        <v>0</v>
      </c>
    </row>
    <row r="73" spans="1:9" hidden="1" x14ac:dyDescent="0.25">
      <c r="A73" s="606" t="s">
        <v>1061</v>
      </c>
      <c r="B73" s="378" t="s">
        <v>886</v>
      </c>
      <c r="C73" s="378" t="s">
        <v>1019</v>
      </c>
      <c r="D73" s="971">
        <v>3145</v>
      </c>
      <c r="E73" s="971">
        <v>2735</v>
      </c>
      <c r="F73" s="971">
        <v>54</v>
      </c>
      <c r="G73" s="971">
        <v>0</v>
      </c>
      <c r="H73" s="971">
        <v>124</v>
      </c>
      <c r="I73" s="971">
        <v>266</v>
      </c>
    </row>
    <row r="74" spans="1:9" hidden="1" x14ac:dyDescent="0.25">
      <c r="A74" s="606" t="s">
        <v>1061</v>
      </c>
      <c r="B74" s="378" t="s">
        <v>886</v>
      </c>
      <c r="C74" s="378" t="s">
        <v>1022</v>
      </c>
      <c r="D74" s="971">
        <v>39</v>
      </c>
      <c r="E74" s="971">
        <v>0</v>
      </c>
      <c r="F74" s="971">
        <v>0</v>
      </c>
      <c r="G74" s="971">
        <v>165</v>
      </c>
      <c r="H74" s="971">
        <v>76</v>
      </c>
      <c r="I74" s="971">
        <v>0</v>
      </c>
    </row>
    <row r="75" spans="1:9" hidden="1" x14ac:dyDescent="0.25">
      <c r="A75" s="606" t="s">
        <v>1061</v>
      </c>
      <c r="B75" s="378" t="s">
        <v>886</v>
      </c>
      <c r="C75" s="378" t="s">
        <v>1027</v>
      </c>
      <c r="D75" s="971">
        <v>40</v>
      </c>
      <c r="E75" s="971">
        <v>0</v>
      </c>
      <c r="F75" s="971">
        <v>0</v>
      </c>
      <c r="G75" s="971">
        <v>0</v>
      </c>
      <c r="H75" s="971">
        <v>21</v>
      </c>
      <c r="I75" s="971">
        <v>0</v>
      </c>
    </row>
    <row r="76" spans="1:9" hidden="1" x14ac:dyDescent="0.25">
      <c r="A76" s="606" t="s">
        <v>1061</v>
      </c>
      <c r="B76" s="378" t="s">
        <v>886</v>
      </c>
      <c r="C76" s="378" t="s">
        <v>771</v>
      </c>
      <c r="D76" s="971">
        <v>103</v>
      </c>
      <c r="E76" s="971">
        <v>0</v>
      </c>
      <c r="F76" s="971">
        <v>0</v>
      </c>
      <c r="G76" s="971">
        <v>0</v>
      </c>
      <c r="H76" s="971">
        <v>0</v>
      </c>
      <c r="I76" s="971">
        <v>0</v>
      </c>
    </row>
    <row r="77" spans="1:9" hidden="1" x14ac:dyDescent="0.25">
      <c r="A77" s="606" t="s">
        <v>1061</v>
      </c>
      <c r="B77" s="378" t="s">
        <v>1023</v>
      </c>
      <c r="C77" s="378" t="s">
        <v>1030</v>
      </c>
      <c r="D77" s="971">
        <v>0</v>
      </c>
      <c r="E77" s="971">
        <v>0</v>
      </c>
      <c r="F77" s="971">
        <v>0</v>
      </c>
      <c r="G77" s="971">
        <v>0</v>
      </c>
      <c r="H77" s="971">
        <v>1</v>
      </c>
      <c r="I77" s="971">
        <v>0</v>
      </c>
    </row>
    <row r="78" spans="1:9" hidden="1" x14ac:dyDescent="0.25">
      <c r="A78" s="606" t="s">
        <v>1061</v>
      </c>
      <c r="B78" s="378" t="s">
        <v>1023</v>
      </c>
      <c r="C78" s="378" t="s">
        <v>188</v>
      </c>
      <c r="D78" s="971">
        <v>9</v>
      </c>
      <c r="E78" s="971">
        <v>0</v>
      </c>
      <c r="F78" s="971">
        <v>0</v>
      </c>
      <c r="G78" s="971">
        <v>7</v>
      </c>
      <c r="H78" s="971">
        <v>111</v>
      </c>
      <c r="I78" s="971">
        <v>0</v>
      </c>
    </row>
    <row r="79" spans="1:9" hidden="1" x14ac:dyDescent="0.25">
      <c r="A79" s="606" t="s">
        <v>1061</v>
      </c>
      <c r="B79" s="378" t="s">
        <v>1024</v>
      </c>
      <c r="C79" s="378" t="s">
        <v>992</v>
      </c>
      <c r="D79" s="971">
        <v>5</v>
      </c>
      <c r="E79" s="971">
        <v>0</v>
      </c>
      <c r="F79" s="971">
        <v>0</v>
      </c>
      <c r="G79" s="971">
        <v>0</v>
      </c>
      <c r="H79" s="971">
        <v>4</v>
      </c>
      <c r="I79" s="971">
        <v>0</v>
      </c>
    </row>
    <row r="80" spans="1:9" hidden="1" x14ac:dyDescent="0.25">
      <c r="A80" s="606" t="s">
        <v>1061</v>
      </c>
      <c r="B80" s="378" t="s">
        <v>1028</v>
      </c>
      <c r="C80" s="378" t="s">
        <v>1031</v>
      </c>
      <c r="D80" s="971">
        <v>0</v>
      </c>
      <c r="E80" s="971">
        <v>0</v>
      </c>
      <c r="F80" s="971">
        <v>0</v>
      </c>
      <c r="G80" s="971">
        <v>0</v>
      </c>
      <c r="H80" s="971">
        <v>24</v>
      </c>
      <c r="I80" s="971">
        <v>0</v>
      </c>
    </row>
    <row r="81" spans="1:39" hidden="1" x14ac:dyDescent="0.25">
      <c r="A81" s="606" t="s">
        <v>1061</v>
      </c>
      <c r="B81" s="378" t="s">
        <v>1028</v>
      </c>
      <c r="C81" s="378" t="s">
        <v>1029</v>
      </c>
      <c r="D81" s="971">
        <v>2</v>
      </c>
      <c r="E81" s="971">
        <v>0</v>
      </c>
      <c r="F81" s="971">
        <v>0</v>
      </c>
      <c r="G81" s="971">
        <v>0</v>
      </c>
      <c r="H81" s="971">
        <v>102</v>
      </c>
      <c r="I81" s="971">
        <v>0</v>
      </c>
    </row>
    <row r="82" spans="1:39" hidden="1" x14ac:dyDescent="0.25">
      <c r="A82" s="606" t="s">
        <v>1061</v>
      </c>
      <c r="B82" s="378" t="s">
        <v>1020</v>
      </c>
      <c r="C82" s="378" t="s">
        <v>1021</v>
      </c>
      <c r="D82" s="971">
        <v>1</v>
      </c>
      <c r="E82" s="971">
        <v>0</v>
      </c>
      <c r="F82" s="971">
        <v>0</v>
      </c>
      <c r="G82" s="971">
        <v>0</v>
      </c>
      <c r="H82" s="971">
        <v>0</v>
      </c>
      <c r="I82" s="971">
        <v>0</v>
      </c>
    </row>
    <row r="83" spans="1:39" hidden="1" x14ac:dyDescent="0.25">
      <c r="A83" s="606" t="s">
        <v>1061</v>
      </c>
      <c r="B83" s="378" t="s">
        <v>1020</v>
      </c>
      <c r="C83" s="378" t="s">
        <v>1026</v>
      </c>
      <c r="D83" s="971">
        <v>9</v>
      </c>
      <c r="E83" s="971">
        <v>0</v>
      </c>
      <c r="F83" s="971">
        <v>0</v>
      </c>
      <c r="G83" s="971">
        <v>0</v>
      </c>
      <c r="H83" s="971">
        <v>18</v>
      </c>
      <c r="I83" s="971">
        <v>0</v>
      </c>
    </row>
    <row r="84" spans="1:39" hidden="1" x14ac:dyDescent="0.25">
      <c r="A84" s="968" t="s">
        <v>1061</v>
      </c>
      <c r="B84" s="969" t="s">
        <v>1020</v>
      </c>
      <c r="C84" s="969" t="s">
        <v>319</v>
      </c>
      <c r="D84" s="973">
        <v>130</v>
      </c>
      <c r="E84" s="973">
        <v>0</v>
      </c>
      <c r="F84" s="973">
        <v>1</v>
      </c>
      <c r="G84" s="973">
        <v>0</v>
      </c>
      <c r="H84" s="973">
        <v>51</v>
      </c>
      <c r="I84" s="973">
        <v>0</v>
      </c>
    </row>
    <row r="85" spans="1:39" x14ac:dyDescent="0.25">
      <c r="A85" s="606" t="s">
        <v>1108</v>
      </c>
      <c r="B85" s="378" t="s">
        <v>1018</v>
      </c>
      <c r="C85" s="378" t="s">
        <v>877</v>
      </c>
      <c r="D85" s="971">
        <v>5</v>
      </c>
      <c r="E85" s="971">
        <v>0</v>
      </c>
      <c r="F85" s="971">
        <v>0</v>
      </c>
      <c r="G85" s="971">
        <v>0</v>
      </c>
      <c r="H85" s="971">
        <v>186</v>
      </c>
      <c r="I85" s="971">
        <v>0</v>
      </c>
    </row>
    <row r="86" spans="1:39" x14ac:dyDescent="0.25">
      <c r="A86" s="606" t="s">
        <v>1108</v>
      </c>
      <c r="B86" s="378" t="s">
        <v>1018</v>
      </c>
      <c r="C86" s="378" t="s">
        <v>879</v>
      </c>
      <c r="D86" s="971">
        <v>0</v>
      </c>
      <c r="E86" s="971">
        <v>0</v>
      </c>
      <c r="F86" s="971">
        <v>0</v>
      </c>
      <c r="G86" s="971">
        <v>0</v>
      </c>
      <c r="H86" s="971">
        <v>65</v>
      </c>
      <c r="I86" s="971">
        <v>0</v>
      </c>
    </row>
    <row r="87" spans="1:39" x14ac:dyDescent="0.25">
      <c r="A87" s="606" t="s">
        <v>1108</v>
      </c>
      <c r="B87" s="378" t="s">
        <v>1018</v>
      </c>
      <c r="C87" s="378" t="s">
        <v>1030</v>
      </c>
      <c r="D87" s="971">
        <v>1</v>
      </c>
      <c r="E87" s="971">
        <v>0</v>
      </c>
      <c r="F87" s="971">
        <v>0</v>
      </c>
      <c r="G87" s="971">
        <v>0</v>
      </c>
      <c r="H87" s="971">
        <v>77</v>
      </c>
      <c r="I87" s="971">
        <v>0</v>
      </c>
    </row>
    <row r="88" spans="1:39" x14ac:dyDescent="0.25">
      <c r="A88" s="606" t="s">
        <v>1108</v>
      </c>
      <c r="B88" s="378" t="s">
        <v>1169</v>
      </c>
      <c r="C88" s="378" t="s">
        <v>992</v>
      </c>
      <c r="D88" s="971">
        <v>1</v>
      </c>
      <c r="E88" s="971">
        <v>0</v>
      </c>
      <c r="F88" s="971">
        <v>0</v>
      </c>
      <c r="G88" s="971">
        <v>0</v>
      </c>
      <c r="H88" s="971">
        <v>0</v>
      </c>
      <c r="I88" s="971">
        <v>0</v>
      </c>
    </row>
    <row r="89" spans="1:39" x14ac:dyDescent="0.25">
      <c r="A89" s="606" t="s">
        <v>1108</v>
      </c>
      <c r="B89" s="378" t="s">
        <v>1169</v>
      </c>
      <c r="C89" s="378" t="s">
        <v>1019</v>
      </c>
      <c r="D89" s="971">
        <v>3169</v>
      </c>
      <c r="E89" s="971">
        <v>2708</v>
      </c>
      <c r="F89" s="971">
        <v>53</v>
      </c>
      <c r="G89" s="971">
        <v>0</v>
      </c>
      <c r="H89" s="971">
        <v>124</v>
      </c>
      <c r="I89" s="971">
        <v>269</v>
      </c>
    </row>
    <row r="90" spans="1:39" x14ac:dyDescent="0.25">
      <c r="A90" s="606" t="s">
        <v>1108</v>
      </c>
      <c r="B90" s="378" t="s">
        <v>1169</v>
      </c>
      <c r="C90" s="378" t="s">
        <v>1022</v>
      </c>
      <c r="D90" s="971">
        <v>32</v>
      </c>
      <c r="E90" s="971">
        <v>0</v>
      </c>
      <c r="F90" s="971">
        <v>0</v>
      </c>
      <c r="G90" s="971">
        <v>167</v>
      </c>
      <c r="H90" s="971">
        <v>53</v>
      </c>
      <c r="I90" s="971">
        <v>0</v>
      </c>
    </row>
    <row r="91" spans="1:39" x14ac:dyDescent="0.25">
      <c r="A91" s="606" t="s">
        <v>1108</v>
      </c>
      <c r="B91" s="378" t="s">
        <v>1170</v>
      </c>
      <c r="C91" s="378" t="s">
        <v>992</v>
      </c>
      <c r="D91" s="971">
        <v>2</v>
      </c>
      <c r="E91" s="971">
        <v>0</v>
      </c>
      <c r="F91" s="971">
        <v>0</v>
      </c>
      <c r="G91" s="971">
        <v>0</v>
      </c>
      <c r="H91" s="971">
        <v>74</v>
      </c>
      <c r="I91" s="971">
        <v>0</v>
      </c>
    </row>
    <row r="92" spans="1:39" x14ac:dyDescent="0.25">
      <c r="A92" s="606" t="s">
        <v>1108</v>
      </c>
      <c r="B92" s="378" t="s">
        <v>1170</v>
      </c>
      <c r="C92" s="378" t="s">
        <v>1171</v>
      </c>
      <c r="D92" s="971">
        <v>0</v>
      </c>
      <c r="E92" s="971">
        <v>0</v>
      </c>
      <c r="F92" s="971">
        <v>0</v>
      </c>
      <c r="G92" s="971">
        <v>0</v>
      </c>
      <c r="H92" s="971">
        <v>13</v>
      </c>
      <c r="I92" s="971">
        <v>0</v>
      </c>
      <c r="AM92" s="484"/>
    </row>
    <row r="93" spans="1:39" x14ac:dyDescent="0.25">
      <c r="A93" s="606" t="s">
        <v>1108</v>
      </c>
      <c r="B93" s="378" t="s">
        <v>1170</v>
      </c>
      <c r="C93" s="378" t="s">
        <v>1172</v>
      </c>
      <c r="D93" s="971">
        <v>0</v>
      </c>
      <c r="E93" s="971">
        <v>0</v>
      </c>
      <c r="F93" s="971">
        <v>0</v>
      </c>
      <c r="G93" s="971">
        <v>0</v>
      </c>
      <c r="H93" s="971">
        <v>17</v>
      </c>
      <c r="I93" s="971">
        <v>0</v>
      </c>
    </row>
    <row r="94" spans="1:39" x14ac:dyDescent="0.25">
      <c r="A94" s="606" t="s">
        <v>1108</v>
      </c>
      <c r="B94" s="378" t="s">
        <v>1173</v>
      </c>
      <c r="C94" s="378" t="s">
        <v>992</v>
      </c>
      <c r="D94" s="971">
        <v>0</v>
      </c>
      <c r="E94" s="971">
        <v>0</v>
      </c>
      <c r="F94" s="971">
        <v>0</v>
      </c>
      <c r="G94" s="971">
        <v>0</v>
      </c>
      <c r="H94" s="971">
        <v>6</v>
      </c>
      <c r="I94" s="971">
        <v>0</v>
      </c>
    </row>
    <row r="95" spans="1:39" x14ac:dyDescent="0.25">
      <c r="A95" s="606" t="s">
        <v>1108</v>
      </c>
      <c r="B95" s="378" t="s">
        <v>1173</v>
      </c>
      <c r="C95" s="378" t="s">
        <v>1174</v>
      </c>
      <c r="D95" s="971">
        <v>0</v>
      </c>
      <c r="E95" s="971">
        <v>0</v>
      </c>
      <c r="F95" s="971">
        <v>0</v>
      </c>
      <c r="G95" s="971">
        <v>0</v>
      </c>
      <c r="H95" s="971">
        <v>3</v>
      </c>
      <c r="I95" s="971">
        <v>0</v>
      </c>
    </row>
    <row r="96" spans="1:39" x14ac:dyDescent="0.25">
      <c r="A96" s="606" t="s">
        <v>1108</v>
      </c>
      <c r="B96" s="378" t="s">
        <v>1173</v>
      </c>
      <c r="C96" s="378" t="s">
        <v>1175</v>
      </c>
      <c r="D96" s="971">
        <v>3</v>
      </c>
      <c r="E96" s="971">
        <v>0</v>
      </c>
      <c r="F96" s="971">
        <v>0</v>
      </c>
      <c r="G96" s="971">
        <v>4</v>
      </c>
      <c r="H96" s="971">
        <v>14</v>
      </c>
      <c r="I96" s="971">
        <v>0</v>
      </c>
    </row>
    <row r="97" spans="1:9" x14ac:dyDescent="0.25">
      <c r="A97" s="606" t="s">
        <v>1108</v>
      </c>
      <c r="B97" s="378" t="s">
        <v>1176</v>
      </c>
      <c r="C97" s="378" t="s">
        <v>992</v>
      </c>
      <c r="D97" s="971">
        <v>6</v>
      </c>
      <c r="E97" s="971">
        <v>0</v>
      </c>
      <c r="F97" s="971">
        <v>0</v>
      </c>
      <c r="G97" s="971">
        <v>0</v>
      </c>
      <c r="H97" s="971">
        <v>3</v>
      </c>
      <c r="I97" s="971">
        <v>0</v>
      </c>
    </row>
    <row r="98" spans="1:9" x14ac:dyDescent="0.25">
      <c r="A98" s="606" t="s">
        <v>1108</v>
      </c>
      <c r="B98" s="378" t="s">
        <v>1176</v>
      </c>
      <c r="C98" s="378" t="s">
        <v>1177</v>
      </c>
      <c r="D98" s="971">
        <v>10</v>
      </c>
      <c r="E98" s="971">
        <v>0</v>
      </c>
      <c r="F98" s="971">
        <v>0</v>
      </c>
      <c r="G98" s="971">
        <v>0</v>
      </c>
      <c r="H98" s="971">
        <v>46</v>
      </c>
      <c r="I98" s="971">
        <v>0</v>
      </c>
    </row>
    <row r="99" spans="1:9" x14ac:dyDescent="0.25">
      <c r="A99" s="606" t="s">
        <v>1108</v>
      </c>
      <c r="B99" s="378" t="s">
        <v>1176</v>
      </c>
      <c r="C99" s="378" t="s">
        <v>1178</v>
      </c>
      <c r="D99" s="971">
        <v>8</v>
      </c>
      <c r="E99" s="971">
        <v>0</v>
      </c>
      <c r="F99" s="971">
        <v>0</v>
      </c>
      <c r="G99" s="971">
        <v>0</v>
      </c>
      <c r="H99" s="971">
        <v>16</v>
      </c>
      <c r="I99" s="971">
        <v>0</v>
      </c>
    </row>
    <row r="100" spans="1:9" x14ac:dyDescent="0.25">
      <c r="A100" s="606" t="s">
        <v>1108</v>
      </c>
      <c r="B100" s="378" t="s">
        <v>1176</v>
      </c>
      <c r="C100" s="378" t="s">
        <v>1179</v>
      </c>
      <c r="D100" s="971">
        <v>29</v>
      </c>
      <c r="E100" s="971">
        <v>0</v>
      </c>
      <c r="F100" s="971">
        <v>0</v>
      </c>
      <c r="G100" s="971">
        <v>0</v>
      </c>
      <c r="H100" s="971">
        <v>4</v>
      </c>
      <c r="I100" s="971">
        <v>0</v>
      </c>
    </row>
    <row r="101" spans="1:9" x14ac:dyDescent="0.25">
      <c r="A101" s="606" t="s">
        <v>1108</v>
      </c>
      <c r="B101" s="378" t="s">
        <v>1023</v>
      </c>
      <c r="C101" s="378" t="s">
        <v>188</v>
      </c>
      <c r="D101" s="971">
        <v>0</v>
      </c>
      <c r="E101" s="971">
        <v>0</v>
      </c>
      <c r="F101" s="971">
        <v>0</v>
      </c>
      <c r="G101" s="971">
        <v>0</v>
      </c>
      <c r="H101" s="971">
        <v>1</v>
      </c>
      <c r="I101" s="971">
        <v>0</v>
      </c>
    </row>
    <row r="102" spans="1:9" x14ac:dyDescent="0.25">
      <c r="A102" s="606" t="s">
        <v>1108</v>
      </c>
      <c r="B102" s="378" t="s">
        <v>1024</v>
      </c>
      <c r="C102" s="378" t="s">
        <v>992</v>
      </c>
      <c r="D102" s="971">
        <v>5</v>
      </c>
      <c r="E102" s="971">
        <v>0</v>
      </c>
      <c r="F102" s="971">
        <v>0</v>
      </c>
      <c r="G102" s="971">
        <v>0</v>
      </c>
      <c r="H102" s="971">
        <v>4</v>
      </c>
      <c r="I102" s="971">
        <v>0</v>
      </c>
    </row>
    <row r="103" spans="1:9" x14ac:dyDescent="0.25">
      <c r="A103" s="606" t="s">
        <v>1108</v>
      </c>
      <c r="B103" s="378" t="s">
        <v>1028</v>
      </c>
      <c r="C103" s="378" t="s">
        <v>1031</v>
      </c>
      <c r="D103" s="971">
        <v>0</v>
      </c>
      <c r="E103" s="971">
        <v>0</v>
      </c>
      <c r="F103" s="971">
        <v>0</v>
      </c>
      <c r="G103" s="971">
        <v>0</v>
      </c>
      <c r="H103" s="971">
        <v>26</v>
      </c>
      <c r="I103" s="971">
        <v>0</v>
      </c>
    </row>
    <row r="104" spans="1:9" x14ac:dyDescent="0.25">
      <c r="A104" s="606" t="s">
        <v>1108</v>
      </c>
      <c r="B104" s="378" t="s">
        <v>1028</v>
      </c>
      <c r="C104" s="378" t="s">
        <v>1029</v>
      </c>
      <c r="D104" s="971">
        <v>2</v>
      </c>
      <c r="E104" s="971">
        <v>0</v>
      </c>
      <c r="F104" s="971">
        <v>0</v>
      </c>
      <c r="G104" s="971">
        <v>0</v>
      </c>
      <c r="H104" s="971">
        <v>104</v>
      </c>
      <c r="I104" s="971">
        <v>0</v>
      </c>
    </row>
    <row r="105" spans="1:9" x14ac:dyDescent="0.25">
      <c r="A105" s="606" t="s">
        <v>1108</v>
      </c>
      <c r="B105" s="378" t="s">
        <v>1020</v>
      </c>
      <c r="C105" s="378" t="s">
        <v>1026</v>
      </c>
      <c r="D105" s="971">
        <v>11</v>
      </c>
      <c r="E105" s="971">
        <v>0</v>
      </c>
      <c r="F105" s="971">
        <v>0</v>
      </c>
      <c r="G105" s="971">
        <v>0</v>
      </c>
      <c r="H105" s="971">
        <v>19</v>
      </c>
      <c r="I105" s="971">
        <v>0</v>
      </c>
    </row>
    <row r="106" spans="1:9" ht="15.75" thickBot="1" x14ac:dyDescent="0.3">
      <c r="A106" s="967" t="s">
        <v>1108</v>
      </c>
      <c r="B106" s="904" t="s">
        <v>1020</v>
      </c>
      <c r="C106" s="904" t="s">
        <v>319</v>
      </c>
      <c r="D106" s="972">
        <v>138</v>
      </c>
      <c r="E106" s="972">
        <v>0</v>
      </c>
      <c r="F106" s="972">
        <v>2</v>
      </c>
      <c r="G106" s="972">
        <v>0</v>
      </c>
      <c r="H106" s="972">
        <v>32</v>
      </c>
      <c r="I106" s="972">
        <v>0</v>
      </c>
    </row>
    <row r="109" spans="1:9" x14ac:dyDescent="0.25">
      <c r="A109" s="606" t="s">
        <v>8</v>
      </c>
    </row>
    <row r="110" spans="1:9" x14ac:dyDescent="0.25">
      <c r="A110" s="1005" t="s">
        <v>725</v>
      </c>
      <c r="B110" s="1005"/>
      <c r="C110" s="1005"/>
      <c r="D110" s="1005"/>
      <c r="E110" s="1005"/>
      <c r="F110" s="1005"/>
      <c r="G110" s="1005"/>
      <c r="H110" s="1005"/>
    </row>
    <row r="117" spans="1:8" ht="15.75" x14ac:dyDescent="0.25">
      <c r="A117" s="523" t="s">
        <v>476</v>
      </c>
      <c r="B117" s="523"/>
      <c r="C117" s="523"/>
      <c r="D117" s="523"/>
      <c r="E117" s="523"/>
      <c r="F117" s="523"/>
      <c r="G117" s="523"/>
      <c r="H117" s="523"/>
    </row>
    <row r="118" spans="1:8" x14ac:dyDescent="0.25">
      <c r="A118" s="378" t="s">
        <v>328</v>
      </c>
      <c r="B118" s="378" t="s">
        <v>646</v>
      </c>
    </row>
    <row r="119" spans="1:8" x14ac:dyDescent="0.25">
      <c r="A119" s="378" t="s">
        <v>329</v>
      </c>
      <c r="B119" s="378" t="s">
        <v>331</v>
      </c>
    </row>
    <row r="120" spans="1:8" x14ac:dyDescent="0.25">
      <c r="A120" s="378" t="s">
        <v>330</v>
      </c>
      <c r="B120" s="378" t="s">
        <v>332</v>
      </c>
    </row>
    <row r="122" spans="1:8" x14ac:dyDescent="0.25">
      <c r="A122" s="970" t="s">
        <v>313</v>
      </c>
      <c r="B122" s="970" t="s">
        <v>1016</v>
      </c>
      <c r="C122" s="970" t="s">
        <v>1017</v>
      </c>
      <c r="D122" s="970" t="s">
        <v>27</v>
      </c>
      <c r="E122" s="970" t="s">
        <v>28</v>
      </c>
      <c r="F122" s="970" t="s">
        <v>831</v>
      </c>
      <c r="G122" s="970" t="s">
        <v>2</v>
      </c>
      <c r="H122" s="970" t="s">
        <v>3</v>
      </c>
    </row>
    <row r="123" spans="1:8" hidden="1" x14ac:dyDescent="0.25">
      <c r="A123" s="606" t="s">
        <v>239</v>
      </c>
      <c r="C123" s="378" t="s">
        <v>877</v>
      </c>
      <c r="D123" s="971">
        <v>5</v>
      </c>
      <c r="E123" s="971"/>
      <c r="F123" s="971"/>
      <c r="G123" s="971"/>
      <c r="H123" s="971">
        <v>178.46999999999997</v>
      </c>
    </row>
    <row r="124" spans="1:8" hidden="1" x14ac:dyDescent="0.25">
      <c r="A124" s="606" t="s">
        <v>239</v>
      </c>
      <c r="C124" s="378" t="s">
        <v>878</v>
      </c>
      <c r="D124" s="971">
        <v>2</v>
      </c>
      <c r="E124" s="971"/>
      <c r="F124" s="971"/>
      <c r="G124" s="971"/>
      <c r="H124" s="971">
        <v>58.510000000000005</v>
      </c>
    </row>
    <row r="125" spans="1:8" hidden="1" x14ac:dyDescent="0.25">
      <c r="A125" s="606" t="s">
        <v>239</v>
      </c>
      <c r="C125" s="378" t="s">
        <v>879</v>
      </c>
      <c r="D125" s="971"/>
      <c r="E125" s="971"/>
      <c r="F125" s="971"/>
      <c r="G125" s="971"/>
      <c r="H125" s="971">
        <v>63.55</v>
      </c>
    </row>
    <row r="126" spans="1:8" hidden="1" x14ac:dyDescent="0.25">
      <c r="A126" s="606" t="s">
        <v>239</v>
      </c>
      <c r="C126" s="378" t="s">
        <v>1032</v>
      </c>
      <c r="D126" s="971">
        <v>3</v>
      </c>
      <c r="E126" s="971"/>
      <c r="F126" s="971"/>
      <c r="G126" s="971"/>
      <c r="H126" s="971">
        <v>42.75</v>
      </c>
    </row>
    <row r="127" spans="1:8" hidden="1" x14ac:dyDescent="0.25">
      <c r="A127" s="606" t="s">
        <v>239</v>
      </c>
      <c r="C127" s="378" t="s">
        <v>1033</v>
      </c>
      <c r="D127" s="971">
        <v>2</v>
      </c>
      <c r="E127" s="971"/>
      <c r="F127" s="971"/>
      <c r="G127" s="971"/>
      <c r="H127" s="971">
        <v>52.919999999999995</v>
      </c>
    </row>
    <row r="128" spans="1:8" hidden="1" x14ac:dyDescent="0.25">
      <c r="A128" s="606" t="s">
        <v>239</v>
      </c>
      <c r="C128" s="378" t="s">
        <v>881</v>
      </c>
      <c r="D128" s="971"/>
      <c r="E128" s="971"/>
      <c r="F128" s="971"/>
      <c r="G128" s="971"/>
      <c r="H128" s="971">
        <v>76</v>
      </c>
    </row>
    <row r="129" spans="1:8" hidden="1" x14ac:dyDescent="0.25">
      <c r="A129" s="606" t="s">
        <v>239</v>
      </c>
      <c r="C129" s="378" t="s">
        <v>883</v>
      </c>
      <c r="D129" s="971">
        <v>198.93</v>
      </c>
      <c r="E129" s="971"/>
      <c r="F129" s="971"/>
      <c r="G129" s="971"/>
      <c r="H129" s="971">
        <v>78.710000000000008</v>
      </c>
    </row>
    <row r="130" spans="1:8" hidden="1" x14ac:dyDescent="0.25">
      <c r="A130" s="606" t="s">
        <v>239</v>
      </c>
      <c r="C130" s="378" t="s">
        <v>884</v>
      </c>
      <c r="D130" s="971">
        <v>45</v>
      </c>
      <c r="E130" s="971"/>
      <c r="F130" s="971"/>
      <c r="G130" s="971">
        <v>192.33</v>
      </c>
      <c r="H130" s="971">
        <v>68.499999999999986</v>
      </c>
    </row>
    <row r="131" spans="1:8" hidden="1" x14ac:dyDescent="0.25">
      <c r="A131" s="606" t="s">
        <v>239</v>
      </c>
      <c r="C131" s="378" t="s">
        <v>885</v>
      </c>
      <c r="D131" s="971">
        <v>4</v>
      </c>
      <c r="E131" s="971"/>
      <c r="F131" s="971"/>
      <c r="G131" s="971"/>
      <c r="H131" s="971">
        <v>3</v>
      </c>
    </row>
    <row r="132" spans="1:8" hidden="1" x14ac:dyDescent="0.25">
      <c r="A132" s="606" t="s">
        <v>239</v>
      </c>
      <c r="C132" s="378" t="s">
        <v>886</v>
      </c>
      <c r="D132" s="971">
        <v>3101</v>
      </c>
      <c r="E132" s="971">
        <v>2583.98</v>
      </c>
      <c r="F132" s="971">
        <v>18</v>
      </c>
      <c r="G132" s="971"/>
      <c r="H132" s="971">
        <v>15.339999999999993</v>
      </c>
    </row>
    <row r="133" spans="1:8" hidden="1" x14ac:dyDescent="0.25">
      <c r="A133" s="606" t="s">
        <v>239</v>
      </c>
      <c r="C133" s="378" t="s">
        <v>887</v>
      </c>
      <c r="D133" s="971">
        <v>5</v>
      </c>
      <c r="E133" s="971"/>
      <c r="F133" s="971"/>
      <c r="G133" s="971"/>
      <c r="H133" s="971"/>
    </row>
    <row r="134" spans="1:8" hidden="1" x14ac:dyDescent="0.25">
      <c r="A134" s="606" t="s">
        <v>239</v>
      </c>
      <c r="C134" s="378" t="s">
        <v>888</v>
      </c>
      <c r="D134" s="971">
        <v>2</v>
      </c>
      <c r="E134" s="971"/>
      <c r="F134" s="971"/>
      <c r="G134" s="971"/>
      <c r="H134" s="971">
        <v>53.45</v>
      </c>
    </row>
    <row r="135" spans="1:8" hidden="1" x14ac:dyDescent="0.25">
      <c r="A135" s="606" t="s">
        <v>239</v>
      </c>
      <c r="C135" s="378" t="s">
        <v>771</v>
      </c>
      <c r="D135" s="971">
        <v>65</v>
      </c>
      <c r="E135" s="971"/>
      <c r="F135" s="971"/>
      <c r="G135" s="971">
        <v>10</v>
      </c>
      <c r="H135" s="971">
        <v>1</v>
      </c>
    </row>
    <row r="136" spans="1:8" hidden="1" x14ac:dyDescent="0.25">
      <c r="A136" s="968" t="s">
        <v>239</v>
      </c>
      <c r="B136" s="969"/>
      <c r="C136" s="969" t="s">
        <v>889</v>
      </c>
      <c r="D136" s="973">
        <v>203</v>
      </c>
      <c r="E136" s="973"/>
      <c r="F136" s="973"/>
      <c r="G136" s="973"/>
      <c r="H136" s="973">
        <v>53.36</v>
      </c>
    </row>
    <row r="137" spans="1:8" hidden="1" x14ac:dyDescent="0.25">
      <c r="A137" s="606" t="s">
        <v>760</v>
      </c>
      <c r="C137" s="378" t="s">
        <v>877</v>
      </c>
      <c r="D137" s="971">
        <v>5</v>
      </c>
      <c r="E137" s="971"/>
      <c r="F137" s="971"/>
      <c r="G137" s="971"/>
      <c r="H137" s="971">
        <v>182.2</v>
      </c>
    </row>
    <row r="138" spans="1:8" hidden="1" x14ac:dyDescent="0.25">
      <c r="A138" s="606" t="s">
        <v>760</v>
      </c>
      <c r="C138" s="378" t="s">
        <v>878</v>
      </c>
      <c r="D138" s="971">
        <v>2</v>
      </c>
      <c r="E138" s="971"/>
      <c r="F138" s="971"/>
      <c r="G138" s="971"/>
      <c r="H138" s="971">
        <v>63.31</v>
      </c>
    </row>
    <row r="139" spans="1:8" hidden="1" x14ac:dyDescent="0.25">
      <c r="A139" s="606" t="s">
        <v>760</v>
      </c>
      <c r="C139" s="378" t="s">
        <v>879</v>
      </c>
      <c r="D139" s="971"/>
      <c r="E139" s="971"/>
      <c r="F139" s="971"/>
      <c r="G139" s="971"/>
      <c r="H139" s="971">
        <v>61.3</v>
      </c>
    </row>
    <row r="140" spans="1:8" hidden="1" x14ac:dyDescent="0.25">
      <c r="A140" s="606" t="s">
        <v>760</v>
      </c>
      <c r="C140" s="378" t="s">
        <v>880</v>
      </c>
      <c r="D140" s="971">
        <v>2</v>
      </c>
      <c r="E140" s="971"/>
      <c r="F140" s="971"/>
      <c r="G140" s="971"/>
      <c r="H140" s="971">
        <v>16.86</v>
      </c>
    </row>
    <row r="141" spans="1:8" hidden="1" x14ac:dyDescent="0.25">
      <c r="A141" s="606" t="s">
        <v>760</v>
      </c>
      <c r="C141" s="378" t="s">
        <v>881</v>
      </c>
      <c r="D141" s="971"/>
      <c r="E141" s="971"/>
      <c r="F141" s="971"/>
      <c r="G141" s="971"/>
      <c r="H141" s="971">
        <v>71.490000000000009</v>
      </c>
    </row>
    <row r="142" spans="1:8" hidden="1" x14ac:dyDescent="0.25">
      <c r="A142" s="606" t="s">
        <v>760</v>
      </c>
      <c r="C142" s="378" t="s">
        <v>882</v>
      </c>
      <c r="D142" s="971">
        <v>2</v>
      </c>
      <c r="E142" s="971"/>
      <c r="F142" s="971"/>
      <c r="G142" s="971"/>
      <c r="H142" s="971">
        <v>90.61999999999999</v>
      </c>
    </row>
    <row r="143" spans="1:8" hidden="1" x14ac:dyDescent="0.25">
      <c r="A143" s="606" t="s">
        <v>760</v>
      </c>
      <c r="C143" s="378" t="s">
        <v>883</v>
      </c>
      <c r="D143" s="971">
        <v>51</v>
      </c>
      <c r="E143" s="971"/>
      <c r="F143" s="971"/>
      <c r="G143" s="971"/>
      <c r="H143" s="971">
        <v>16.689999999999998</v>
      </c>
    </row>
    <row r="144" spans="1:8" hidden="1" x14ac:dyDescent="0.25">
      <c r="A144" s="606" t="s">
        <v>760</v>
      </c>
      <c r="C144" s="378" t="s">
        <v>884</v>
      </c>
      <c r="D144" s="971">
        <v>52</v>
      </c>
      <c r="E144" s="971"/>
      <c r="F144" s="971"/>
      <c r="G144" s="971">
        <v>181.83</v>
      </c>
      <c r="H144" s="971">
        <v>72.069999999999993</v>
      </c>
    </row>
    <row r="145" spans="1:8" hidden="1" x14ac:dyDescent="0.25">
      <c r="A145" s="606" t="s">
        <v>760</v>
      </c>
      <c r="C145" s="378" t="s">
        <v>885</v>
      </c>
      <c r="D145" s="971">
        <v>6</v>
      </c>
      <c r="E145" s="971"/>
      <c r="F145" s="971"/>
      <c r="G145" s="971"/>
      <c r="H145" s="971">
        <v>3</v>
      </c>
    </row>
    <row r="146" spans="1:8" hidden="1" x14ac:dyDescent="0.25">
      <c r="A146" s="606" t="s">
        <v>760</v>
      </c>
      <c r="C146" s="378" t="s">
        <v>886</v>
      </c>
      <c r="D146" s="971">
        <v>3355.93</v>
      </c>
      <c r="E146" s="971">
        <v>2551.73</v>
      </c>
      <c r="F146" s="971">
        <v>36</v>
      </c>
      <c r="G146" s="971"/>
      <c r="H146" s="971">
        <v>78.530000000000044</v>
      </c>
    </row>
    <row r="147" spans="1:8" hidden="1" x14ac:dyDescent="0.25">
      <c r="A147" s="606" t="s">
        <v>760</v>
      </c>
      <c r="C147" s="378" t="s">
        <v>887</v>
      </c>
      <c r="D147" s="971">
        <v>5</v>
      </c>
      <c r="E147" s="971"/>
      <c r="F147" s="971"/>
      <c r="G147" s="971"/>
      <c r="H147" s="971">
        <v>1</v>
      </c>
    </row>
    <row r="148" spans="1:8" hidden="1" x14ac:dyDescent="0.25">
      <c r="A148" s="606" t="s">
        <v>760</v>
      </c>
      <c r="C148" s="378" t="s">
        <v>888</v>
      </c>
      <c r="D148" s="971">
        <v>2</v>
      </c>
      <c r="E148" s="971"/>
      <c r="F148" s="971"/>
      <c r="G148" s="971"/>
      <c r="H148" s="971">
        <v>58.519999999999996</v>
      </c>
    </row>
    <row r="149" spans="1:8" hidden="1" x14ac:dyDescent="0.25">
      <c r="A149" s="606" t="s">
        <v>760</v>
      </c>
      <c r="C149" s="378" t="s">
        <v>771</v>
      </c>
      <c r="D149" s="971">
        <v>53</v>
      </c>
      <c r="E149" s="971"/>
      <c r="F149" s="971"/>
      <c r="G149" s="971">
        <v>2</v>
      </c>
      <c r="H149" s="971">
        <v>2</v>
      </c>
    </row>
    <row r="150" spans="1:8" hidden="1" x14ac:dyDescent="0.25">
      <c r="A150" s="968" t="s">
        <v>760</v>
      </c>
      <c r="B150" s="969"/>
      <c r="C150" s="969" t="s">
        <v>889</v>
      </c>
      <c r="D150" s="973">
        <v>98</v>
      </c>
      <c r="E150" s="973"/>
      <c r="F150" s="973"/>
      <c r="G150" s="973"/>
      <c r="H150" s="973">
        <v>46.81</v>
      </c>
    </row>
    <row r="151" spans="1:8" hidden="1" x14ac:dyDescent="0.25">
      <c r="A151" s="606" t="s">
        <v>917</v>
      </c>
      <c r="B151" s="378" t="s">
        <v>1018</v>
      </c>
      <c r="C151" s="378" t="s">
        <v>877</v>
      </c>
      <c r="D151" s="971">
        <v>6</v>
      </c>
      <c r="E151" s="971">
        <v>0</v>
      </c>
      <c r="F151" s="971">
        <v>0</v>
      </c>
      <c r="G151" s="971">
        <v>0</v>
      </c>
      <c r="H151" s="971">
        <v>182.49000000000004</v>
      </c>
    </row>
    <row r="152" spans="1:8" hidden="1" x14ac:dyDescent="0.25">
      <c r="A152" s="606" t="s">
        <v>917</v>
      </c>
      <c r="B152" s="378" t="s">
        <v>1018</v>
      </c>
      <c r="C152" s="378" t="s">
        <v>879</v>
      </c>
      <c r="D152" s="971">
        <v>0</v>
      </c>
      <c r="E152" s="971">
        <v>0</v>
      </c>
      <c r="F152" s="971">
        <v>0</v>
      </c>
      <c r="G152" s="971">
        <v>0</v>
      </c>
      <c r="H152" s="971">
        <v>62.330000000000005</v>
      </c>
    </row>
    <row r="153" spans="1:8" hidden="1" x14ac:dyDescent="0.25">
      <c r="A153" s="606" t="s">
        <v>917</v>
      </c>
      <c r="B153" s="378" t="s">
        <v>1025</v>
      </c>
      <c r="C153" s="378" t="s">
        <v>882</v>
      </c>
      <c r="D153" s="971">
        <v>1</v>
      </c>
      <c r="E153" s="971">
        <v>0</v>
      </c>
      <c r="F153" s="971">
        <v>0</v>
      </c>
      <c r="G153" s="971">
        <v>0</v>
      </c>
      <c r="H153" s="971">
        <v>100.32</v>
      </c>
    </row>
    <row r="154" spans="1:8" hidden="1" x14ac:dyDescent="0.25">
      <c r="A154" s="606" t="s">
        <v>917</v>
      </c>
      <c r="B154" s="378" t="s">
        <v>886</v>
      </c>
      <c r="C154" s="378" t="s">
        <v>1019</v>
      </c>
      <c r="D154" s="971">
        <v>3282.43</v>
      </c>
      <c r="E154" s="971">
        <v>2482.48</v>
      </c>
      <c r="F154" s="971">
        <v>54</v>
      </c>
      <c r="G154" s="971">
        <v>0</v>
      </c>
      <c r="H154" s="971">
        <v>80.560000000000045</v>
      </c>
    </row>
    <row r="155" spans="1:8" hidden="1" x14ac:dyDescent="0.25">
      <c r="A155" s="606" t="s">
        <v>917</v>
      </c>
      <c r="B155" s="378" t="s">
        <v>886</v>
      </c>
      <c r="C155" s="378" t="s">
        <v>1022</v>
      </c>
      <c r="D155" s="971">
        <v>40</v>
      </c>
      <c r="E155" s="971">
        <v>0</v>
      </c>
      <c r="F155" s="971">
        <v>0</v>
      </c>
      <c r="G155" s="971">
        <v>168.06</v>
      </c>
      <c r="H155" s="971">
        <v>69.86999999999999</v>
      </c>
    </row>
    <row r="156" spans="1:8" hidden="1" x14ac:dyDescent="0.25">
      <c r="A156" s="606" t="s">
        <v>917</v>
      </c>
      <c r="B156" s="378" t="s">
        <v>886</v>
      </c>
      <c r="C156" s="378" t="s">
        <v>1027</v>
      </c>
      <c r="D156" s="971">
        <v>52</v>
      </c>
      <c r="E156" s="971">
        <v>0</v>
      </c>
      <c r="F156" s="971">
        <v>0</v>
      </c>
      <c r="G156" s="971">
        <v>0</v>
      </c>
      <c r="H156" s="971">
        <v>17</v>
      </c>
    </row>
    <row r="157" spans="1:8" hidden="1" x14ac:dyDescent="0.25">
      <c r="A157" s="606" t="s">
        <v>917</v>
      </c>
      <c r="B157" s="378" t="s">
        <v>886</v>
      </c>
      <c r="C157" s="378" t="s">
        <v>1021</v>
      </c>
      <c r="D157" s="971">
        <v>13</v>
      </c>
      <c r="E157" s="971">
        <v>0</v>
      </c>
      <c r="F157" s="971">
        <v>0</v>
      </c>
      <c r="G157" s="971">
        <v>8</v>
      </c>
      <c r="H157" s="971">
        <v>4</v>
      </c>
    </row>
    <row r="158" spans="1:8" hidden="1" x14ac:dyDescent="0.25">
      <c r="A158" s="606" t="s">
        <v>917</v>
      </c>
      <c r="B158" s="378" t="s">
        <v>886</v>
      </c>
      <c r="C158" s="378" t="s">
        <v>771</v>
      </c>
      <c r="D158" s="971">
        <v>58</v>
      </c>
      <c r="E158" s="971">
        <v>0</v>
      </c>
      <c r="F158" s="971">
        <v>0</v>
      </c>
      <c r="G158" s="971">
        <v>0</v>
      </c>
      <c r="H158" s="971">
        <v>0</v>
      </c>
    </row>
    <row r="159" spans="1:8" hidden="1" x14ac:dyDescent="0.25">
      <c r="A159" s="606" t="s">
        <v>917</v>
      </c>
      <c r="B159" s="378" t="s">
        <v>886</v>
      </c>
      <c r="C159" s="378" t="s">
        <v>319</v>
      </c>
      <c r="D159" s="971">
        <v>1</v>
      </c>
      <c r="E159" s="971">
        <v>0</v>
      </c>
      <c r="F159" s="971">
        <v>0</v>
      </c>
      <c r="G159" s="971">
        <v>0</v>
      </c>
      <c r="H159" s="971">
        <v>0</v>
      </c>
    </row>
    <row r="160" spans="1:8" hidden="1" x14ac:dyDescent="0.25">
      <c r="A160" s="606" t="s">
        <v>917</v>
      </c>
      <c r="B160" s="378" t="s">
        <v>1023</v>
      </c>
      <c r="C160" s="378" t="s">
        <v>1030</v>
      </c>
      <c r="D160" s="971">
        <v>0</v>
      </c>
      <c r="E160" s="971">
        <v>0</v>
      </c>
      <c r="F160" s="971">
        <v>0</v>
      </c>
      <c r="G160" s="971">
        <v>0</v>
      </c>
      <c r="H160" s="971">
        <v>1</v>
      </c>
    </row>
    <row r="161" spans="1:8" hidden="1" x14ac:dyDescent="0.25">
      <c r="A161" s="606" t="s">
        <v>917</v>
      </c>
      <c r="B161" s="378" t="s">
        <v>1023</v>
      </c>
      <c r="C161" s="378" t="s">
        <v>188</v>
      </c>
      <c r="D161" s="971">
        <v>6</v>
      </c>
      <c r="E161" s="971">
        <v>0</v>
      </c>
      <c r="F161" s="971">
        <v>0</v>
      </c>
      <c r="G161" s="971">
        <v>0</v>
      </c>
      <c r="H161" s="971">
        <v>82.990000000000009</v>
      </c>
    </row>
    <row r="162" spans="1:8" hidden="1" x14ac:dyDescent="0.25">
      <c r="A162" s="606" t="s">
        <v>917</v>
      </c>
      <c r="B162" s="378" t="s">
        <v>1024</v>
      </c>
      <c r="C162" s="378" t="s">
        <v>992</v>
      </c>
      <c r="D162" s="971">
        <v>5</v>
      </c>
      <c r="E162" s="971">
        <v>0</v>
      </c>
      <c r="F162" s="971">
        <v>0</v>
      </c>
      <c r="G162" s="971">
        <v>0</v>
      </c>
      <c r="H162" s="971">
        <v>3</v>
      </c>
    </row>
    <row r="163" spans="1:8" hidden="1" x14ac:dyDescent="0.25">
      <c r="A163" s="606" t="s">
        <v>917</v>
      </c>
      <c r="B163" s="378" t="s">
        <v>1028</v>
      </c>
      <c r="C163" s="378" t="s">
        <v>1031</v>
      </c>
      <c r="D163" s="971">
        <v>0</v>
      </c>
      <c r="E163" s="971">
        <v>0</v>
      </c>
      <c r="F163" s="971">
        <v>0</v>
      </c>
      <c r="G163" s="971">
        <v>0</v>
      </c>
      <c r="H163" s="971">
        <v>21.310000000000002</v>
      </c>
    </row>
    <row r="164" spans="1:8" hidden="1" x14ac:dyDescent="0.25">
      <c r="A164" s="606" t="s">
        <v>917</v>
      </c>
      <c r="B164" s="378" t="s">
        <v>1028</v>
      </c>
      <c r="C164" s="378" t="s">
        <v>1029</v>
      </c>
      <c r="D164" s="971">
        <v>2</v>
      </c>
      <c r="E164" s="971">
        <v>0</v>
      </c>
      <c r="F164" s="971">
        <v>0</v>
      </c>
      <c r="G164" s="971">
        <v>0</v>
      </c>
      <c r="H164" s="971">
        <v>94.609999999999971</v>
      </c>
    </row>
    <row r="165" spans="1:8" hidden="1" x14ac:dyDescent="0.25">
      <c r="A165" s="968" t="s">
        <v>917</v>
      </c>
      <c r="B165" s="969" t="s">
        <v>1020</v>
      </c>
      <c r="C165" s="969" t="s">
        <v>1026</v>
      </c>
      <c r="D165" s="973">
        <v>9</v>
      </c>
      <c r="E165" s="973">
        <v>0</v>
      </c>
      <c r="F165" s="973">
        <v>0</v>
      </c>
      <c r="G165" s="973">
        <v>0</v>
      </c>
      <c r="H165" s="973">
        <v>17</v>
      </c>
    </row>
    <row r="166" spans="1:8" hidden="1" x14ac:dyDescent="0.25">
      <c r="A166" s="606" t="s">
        <v>917</v>
      </c>
      <c r="B166" s="378" t="s">
        <v>1020</v>
      </c>
      <c r="C166" s="378" t="s">
        <v>319</v>
      </c>
      <c r="D166" s="971">
        <v>103</v>
      </c>
      <c r="E166" s="971">
        <v>0</v>
      </c>
      <c r="F166" s="971">
        <v>0</v>
      </c>
      <c r="G166" s="971">
        <v>0</v>
      </c>
      <c r="H166" s="971">
        <v>49.81</v>
      </c>
    </row>
    <row r="167" spans="1:8" hidden="1" x14ac:dyDescent="0.25">
      <c r="A167" s="606" t="s">
        <v>1010</v>
      </c>
      <c r="B167" s="378" t="s">
        <v>1018</v>
      </c>
      <c r="C167" s="378" t="s">
        <v>877</v>
      </c>
      <c r="D167" s="971">
        <v>5</v>
      </c>
      <c r="E167" s="971">
        <v>0</v>
      </c>
      <c r="F167" s="971">
        <v>0</v>
      </c>
      <c r="G167" s="971">
        <v>0</v>
      </c>
      <c r="H167" s="971">
        <v>179.21</v>
      </c>
    </row>
    <row r="168" spans="1:8" hidden="1" x14ac:dyDescent="0.25">
      <c r="A168" s="606" t="s">
        <v>1010</v>
      </c>
      <c r="B168" s="378" t="s">
        <v>1018</v>
      </c>
      <c r="C168" s="378" t="s">
        <v>879</v>
      </c>
      <c r="D168" s="971">
        <v>0</v>
      </c>
      <c r="E168" s="971">
        <v>0</v>
      </c>
      <c r="F168" s="971">
        <v>0</v>
      </c>
      <c r="G168" s="971">
        <v>0</v>
      </c>
      <c r="H168" s="971">
        <v>65.460000000000008</v>
      </c>
    </row>
    <row r="169" spans="1:8" hidden="1" x14ac:dyDescent="0.25">
      <c r="A169" s="606" t="s">
        <v>1010</v>
      </c>
      <c r="B169" s="378" t="s">
        <v>1025</v>
      </c>
      <c r="C169" s="378" t="s">
        <v>882</v>
      </c>
      <c r="D169" s="971">
        <v>2</v>
      </c>
      <c r="E169" s="971">
        <v>0</v>
      </c>
      <c r="F169" s="971">
        <v>0</v>
      </c>
      <c r="G169" s="971">
        <v>0</v>
      </c>
      <c r="H169" s="971">
        <v>128.1</v>
      </c>
    </row>
    <row r="170" spans="1:8" hidden="1" x14ac:dyDescent="0.25">
      <c r="A170" s="606" t="s">
        <v>1010</v>
      </c>
      <c r="B170" s="378" t="s">
        <v>886</v>
      </c>
      <c r="C170" s="378" t="s">
        <v>1019</v>
      </c>
      <c r="D170" s="971">
        <v>3226.43</v>
      </c>
      <c r="E170" s="971">
        <v>2375.48</v>
      </c>
      <c r="F170" s="971">
        <v>53</v>
      </c>
      <c r="G170" s="971">
        <v>0</v>
      </c>
      <c r="H170" s="971">
        <v>105.92000000000003</v>
      </c>
    </row>
    <row r="171" spans="1:8" hidden="1" x14ac:dyDescent="0.25">
      <c r="A171" s="606" t="s">
        <v>1010</v>
      </c>
      <c r="B171" s="378" t="s">
        <v>886</v>
      </c>
      <c r="C171" s="378" t="s">
        <v>1022</v>
      </c>
      <c r="D171" s="971">
        <v>45</v>
      </c>
      <c r="E171" s="971">
        <v>0</v>
      </c>
      <c r="F171" s="971">
        <v>0</v>
      </c>
      <c r="G171" s="971">
        <v>164.45999999999998</v>
      </c>
      <c r="H171" s="971">
        <v>72.799999999999983</v>
      </c>
    </row>
    <row r="172" spans="1:8" hidden="1" x14ac:dyDescent="0.25">
      <c r="A172" s="606" t="s">
        <v>1010</v>
      </c>
      <c r="B172" s="378" t="s">
        <v>886</v>
      </c>
      <c r="C172" s="378" t="s">
        <v>1027</v>
      </c>
      <c r="D172" s="971">
        <v>50</v>
      </c>
      <c r="E172" s="971">
        <v>0</v>
      </c>
      <c r="F172" s="971">
        <v>0</v>
      </c>
      <c r="G172" s="971">
        <v>0</v>
      </c>
      <c r="H172" s="971">
        <v>18</v>
      </c>
    </row>
    <row r="173" spans="1:8" hidden="1" x14ac:dyDescent="0.25">
      <c r="A173" s="606" t="s">
        <v>1010</v>
      </c>
      <c r="B173" s="378" t="s">
        <v>886</v>
      </c>
      <c r="C173" s="378" t="s">
        <v>771</v>
      </c>
      <c r="D173" s="971">
        <v>65</v>
      </c>
      <c r="E173" s="971">
        <v>0</v>
      </c>
      <c r="F173" s="971">
        <v>0</v>
      </c>
      <c r="G173" s="971">
        <v>0</v>
      </c>
      <c r="H173" s="971">
        <v>0</v>
      </c>
    </row>
    <row r="174" spans="1:8" hidden="1" x14ac:dyDescent="0.25">
      <c r="A174" s="606" t="s">
        <v>1010</v>
      </c>
      <c r="B174" s="378" t="s">
        <v>1023</v>
      </c>
      <c r="C174" s="378" t="s">
        <v>1030</v>
      </c>
      <c r="D174" s="971">
        <v>0</v>
      </c>
      <c r="E174" s="971">
        <v>0</v>
      </c>
      <c r="F174" s="971">
        <v>0</v>
      </c>
      <c r="G174" s="971">
        <v>0</v>
      </c>
      <c r="H174" s="971">
        <v>1</v>
      </c>
    </row>
    <row r="175" spans="1:8" hidden="1" x14ac:dyDescent="0.25">
      <c r="A175" s="606" t="s">
        <v>1010</v>
      </c>
      <c r="B175" s="378" t="s">
        <v>1023</v>
      </c>
      <c r="C175" s="378" t="s">
        <v>188</v>
      </c>
      <c r="D175" s="971">
        <v>7</v>
      </c>
      <c r="E175" s="971">
        <v>0</v>
      </c>
      <c r="F175" s="971">
        <v>0</v>
      </c>
      <c r="G175" s="971">
        <v>0</v>
      </c>
      <c r="H175" s="971">
        <v>98.99</v>
      </c>
    </row>
    <row r="176" spans="1:8" hidden="1" x14ac:dyDescent="0.25">
      <c r="A176" s="606" t="s">
        <v>1010</v>
      </c>
      <c r="B176" s="378" t="s">
        <v>1024</v>
      </c>
      <c r="C176" s="378" t="s">
        <v>992</v>
      </c>
      <c r="D176" s="971">
        <v>5</v>
      </c>
      <c r="E176" s="971">
        <v>0</v>
      </c>
      <c r="F176" s="971">
        <v>0</v>
      </c>
      <c r="G176" s="971">
        <v>0</v>
      </c>
      <c r="H176" s="971">
        <v>4</v>
      </c>
    </row>
    <row r="177" spans="1:8" hidden="1" x14ac:dyDescent="0.25">
      <c r="A177" s="606" t="s">
        <v>1010</v>
      </c>
      <c r="B177" s="378" t="s">
        <v>1028</v>
      </c>
      <c r="C177" s="378" t="s">
        <v>1031</v>
      </c>
      <c r="D177" s="971">
        <v>0</v>
      </c>
      <c r="E177" s="971">
        <v>0</v>
      </c>
      <c r="F177" s="971">
        <v>0</v>
      </c>
      <c r="G177" s="971">
        <v>0</v>
      </c>
      <c r="H177" s="971">
        <v>21.310000000000002</v>
      </c>
    </row>
    <row r="178" spans="1:8" hidden="1" x14ac:dyDescent="0.25">
      <c r="A178" s="606" t="s">
        <v>1010</v>
      </c>
      <c r="B178" s="378" t="s">
        <v>1028</v>
      </c>
      <c r="C178" s="378" t="s">
        <v>1029</v>
      </c>
      <c r="D178" s="971">
        <v>3</v>
      </c>
      <c r="E178" s="971">
        <v>0</v>
      </c>
      <c r="F178" s="971">
        <v>0</v>
      </c>
      <c r="G178" s="971">
        <v>0</v>
      </c>
      <c r="H178" s="971">
        <v>97.769999999999982</v>
      </c>
    </row>
    <row r="179" spans="1:8" hidden="1" x14ac:dyDescent="0.25">
      <c r="A179" s="606" t="s">
        <v>1010</v>
      </c>
      <c r="B179" s="378" t="s">
        <v>1020</v>
      </c>
      <c r="C179" s="378" t="s">
        <v>1021</v>
      </c>
      <c r="D179" s="971">
        <v>3</v>
      </c>
      <c r="E179" s="971">
        <v>0</v>
      </c>
      <c r="F179" s="971">
        <v>0</v>
      </c>
      <c r="G179" s="971">
        <v>6</v>
      </c>
      <c r="H179" s="971">
        <v>2</v>
      </c>
    </row>
    <row r="180" spans="1:8" hidden="1" x14ac:dyDescent="0.25">
      <c r="A180" s="968" t="s">
        <v>1010</v>
      </c>
      <c r="B180" s="969" t="s">
        <v>1020</v>
      </c>
      <c r="C180" s="969" t="s">
        <v>1026</v>
      </c>
      <c r="D180" s="973">
        <v>8</v>
      </c>
      <c r="E180" s="973">
        <v>0</v>
      </c>
      <c r="F180" s="973">
        <v>0</v>
      </c>
      <c r="G180" s="973">
        <v>0</v>
      </c>
      <c r="H180" s="973">
        <v>19.5</v>
      </c>
    </row>
    <row r="181" spans="1:8" hidden="1" x14ac:dyDescent="0.25">
      <c r="A181" s="606" t="s">
        <v>1010</v>
      </c>
      <c r="B181" s="378" t="s">
        <v>1020</v>
      </c>
      <c r="C181" s="378" t="s">
        <v>319</v>
      </c>
      <c r="D181" s="971">
        <v>109</v>
      </c>
      <c r="E181" s="971">
        <v>0</v>
      </c>
      <c r="F181" s="971">
        <v>0</v>
      </c>
      <c r="G181" s="971">
        <v>0</v>
      </c>
      <c r="H181" s="971">
        <v>48.4</v>
      </c>
    </row>
    <row r="182" spans="1:8" hidden="1" x14ac:dyDescent="0.25">
      <c r="A182" s="606" t="s">
        <v>1061</v>
      </c>
      <c r="B182" s="378" t="s">
        <v>1018</v>
      </c>
      <c r="C182" s="378" t="s">
        <v>877</v>
      </c>
      <c r="D182" s="971">
        <v>5</v>
      </c>
      <c r="E182" s="971">
        <v>0</v>
      </c>
      <c r="F182" s="971">
        <v>0</v>
      </c>
      <c r="G182" s="971">
        <v>0</v>
      </c>
      <c r="H182" s="971">
        <v>182.81</v>
      </c>
    </row>
    <row r="183" spans="1:8" hidden="1" x14ac:dyDescent="0.25">
      <c r="A183" s="606" t="s">
        <v>1061</v>
      </c>
      <c r="B183" s="378" t="s">
        <v>1018</v>
      </c>
      <c r="C183" s="378" t="s">
        <v>879</v>
      </c>
      <c r="D183" s="971">
        <v>0</v>
      </c>
      <c r="E183" s="971">
        <v>0</v>
      </c>
      <c r="F183" s="971">
        <v>0</v>
      </c>
      <c r="G183" s="971">
        <v>0</v>
      </c>
      <c r="H183" s="971">
        <v>62.059999999999995</v>
      </c>
    </row>
    <row r="184" spans="1:8" hidden="1" x14ac:dyDescent="0.25">
      <c r="A184" s="606" t="s">
        <v>1061</v>
      </c>
      <c r="B184" s="378" t="s">
        <v>1025</v>
      </c>
      <c r="C184" s="378" t="s">
        <v>882</v>
      </c>
      <c r="D184" s="971">
        <v>2</v>
      </c>
      <c r="E184" s="971">
        <v>0</v>
      </c>
      <c r="F184" s="971">
        <v>0</v>
      </c>
      <c r="G184" s="971">
        <v>0</v>
      </c>
      <c r="H184" s="971">
        <v>108.69</v>
      </c>
    </row>
    <row r="185" spans="1:8" hidden="1" x14ac:dyDescent="0.25">
      <c r="A185" s="606" t="s">
        <v>1061</v>
      </c>
      <c r="B185" s="378" t="s">
        <v>886</v>
      </c>
      <c r="C185" s="378" t="s">
        <v>1019</v>
      </c>
      <c r="D185" s="971">
        <v>3142.43</v>
      </c>
      <c r="E185" s="971">
        <v>2333.12</v>
      </c>
      <c r="F185" s="971">
        <v>54</v>
      </c>
      <c r="G185" s="971">
        <v>0</v>
      </c>
      <c r="H185" s="971">
        <v>107.48000000000002</v>
      </c>
    </row>
    <row r="186" spans="1:8" hidden="1" x14ac:dyDescent="0.25">
      <c r="A186" s="606" t="s">
        <v>1061</v>
      </c>
      <c r="B186" s="378" t="s">
        <v>886</v>
      </c>
      <c r="C186" s="378" t="s">
        <v>1022</v>
      </c>
      <c r="D186" s="971">
        <v>39</v>
      </c>
      <c r="E186" s="971">
        <v>0</v>
      </c>
      <c r="F186" s="971">
        <v>0</v>
      </c>
      <c r="G186" s="971">
        <v>161.05999999999997</v>
      </c>
      <c r="H186" s="971">
        <v>71.95</v>
      </c>
    </row>
    <row r="187" spans="1:8" hidden="1" x14ac:dyDescent="0.25">
      <c r="A187" s="606" t="s">
        <v>1061</v>
      </c>
      <c r="B187" s="378" t="s">
        <v>886</v>
      </c>
      <c r="C187" s="378" t="s">
        <v>1027</v>
      </c>
      <c r="D187" s="971">
        <v>40</v>
      </c>
      <c r="E187" s="971">
        <v>0</v>
      </c>
      <c r="F187" s="971">
        <v>0</v>
      </c>
      <c r="G187" s="971">
        <v>0</v>
      </c>
      <c r="H187" s="971">
        <v>21</v>
      </c>
    </row>
    <row r="188" spans="1:8" hidden="1" x14ac:dyDescent="0.25">
      <c r="A188" s="606" t="s">
        <v>1061</v>
      </c>
      <c r="B188" s="378" t="s">
        <v>886</v>
      </c>
      <c r="C188" s="378" t="s">
        <v>771</v>
      </c>
      <c r="D188" s="971">
        <v>103</v>
      </c>
      <c r="E188" s="971">
        <v>0</v>
      </c>
      <c r="F188" s="971">
        <v>0</v>
      </c>
      <c r="G188" s="971">
        <v>0</v>
      </c>
      <c r="H188" s="971">
        <v>0</v>
      </c>
    </row>
    <row r="189" spans="1:8" hidden="1" x14ac:dyDescent="0.25">
      <c r="A189" s="606" t="s">
        <v>1061</v>
      </c>
      <c r="B189" s="378" t="s">
        <v>1023</v>
      </c>
      <c r="C189" s="378" t="s">
        <v>1030</v>
      </c>
      <c r="D189" s="971">
        <v>0</v>
      </c>
      <c r="E189" s="971">
        <v>0</v>
      </c>
      <c r="F189" s="971">
        <v>0</v>
      </c>
      <c r="G189" s="971">
        <v>0</v>
      </c>
      <c r="H189" s="971">
        <v>1</v>
      </c>
    </row>
    <row r="190" spans="1:8" hidden="1" x14ac:dyDescent="0.25">
      <c r="A190" s="606" t="s">
        <v>1061</v>
      </c>
      <c r="B190" s="378" t="s">
        <v>1023</v>
      </c>
      <c r="C190" s="378" t="s">
        <v>188</v>
      </c>
      <c r="D190" s="971">
        <v>9</v>
      </c>
      <c r="E190" s="971">
        <v>0</v>
      </c>
      <c r="F190" s="971">
        <v>0</v>
      </c>
      <c r="G190" s="971">
        <v>7</v>
      </c>
      <c r="H190" s="971">
        <v>109.41</v>
      </c>
    </row>
    <row r="191" spans="1:8" hidden="1" x14ac:dyDescent="0.25">
      <c r="A191" s="606" t="s">
        <v>1061</v>
      </c>
      <c r="B191" s="378" t="s">
        <v>1024</v>
      </c>
      <c r="C191" s="378" t="s">
        <v>992</v>
      </c>
      <c r="D191" s="971">
        <v>5</v>
      </c>
      <c r="E191" s="971">
        <v>0</v>
      </c>
      <c r="F191" s="971">
        <v>0</v>
      </c>
      <c r="G191" s="971">
        <v>0</v>
      </c>
      <c r="H191" s="971">
        <v>4</v>
      </c>
    </row>
    <row r="192" spans="1:8" hidden="1" x14ac:dyDescent="0.25">
      <c r="A192" s="606" t="s">
        <v>1061</v>
      </c>
      <c r="B192" s="378" t="s">
        <v>1028</v>
      </c>
      <c r="C192" s="378" t="s">
        <v>1031</v>
      </c>
      <c r="D192" s="971">
        <v>0</v>
      </c>
      <c r="E192" s="971">
        <v>0</v>
      </c>
      <c r="F192" s="971">
        <v>0</v>
      </c>
      <c r="G192" s="971">
        <v>0</v>
      </c>
      <c r="H192" s="971">
        <v>23.689999999999998</v>
      </c>
    </row>
    <row r="193" spans="1:8" hidden="1" x14ac:dyDescent="0.25">
      <c r="A193" s="606" t="s">
        <v>1061</v>
      </c>
      <c r="B193" s="378" t="s">
        <v>1028</v>
      </c>
      <c r="C193" s="378" t="s">
        <v>1029</v>
      </c>
      <c r="D193" s="971">
        <v>2</v>
      </c>
      <c r="E193" s="971">
        <v>0</v>
      </c>
      <c r="F193" s="971">
        <v>0</v>
      </c>
      <c r="G193" s="971">
        <v>0</v>
      </c>
      <c r="H193" s="971">
        <v>94.049999999999983</v>
      </c>
    </row>
    <row r="194" spans="1:8" hidden="1" x14ac:dyDescent="0.25">
      <c r="A194" s="606" t="s">
        <v>1061</v>
      </c>
      <c r="B194" s="378" t="s">
        <v>1020</v>
      </c>
      <c r="C194" s="378" t="s">
        <v>1021</v>
      </c>
      <c r="D194" s="971">
        <v>1</v>
      </c>
      <c r="E194" s="971">
        <v>0</v>
      </c>
      <c r="F194" s="971">
        <v>0</v>
      </c>
      <c r="G194" s="971">
        <v>0</v>
      </c>
      <c r="H194" s="971">
        <v>0</v>
      </c>
    </row>
    <row r="195" spans="1:8" hidden="1" x14ac:dyDescent="0.25">
      <c r="A195" s="968" t="s">
        <v>1061</v>
      </c>
      <c r="B195" s="969" t="s">
        <v>1020</v>
      </c>
      <c r="C195" s="969" t="s">
        <v>1026</v>
      </c>
      <c r="D195" s="973">
        <v>9</v>
      </c>
      <c r="E195" s="973">
        <v>0</v>
      </c>
      <c r="F195" s="973">
        <v>0</v>
      </c>
      <c r="G195" s="973">
        <v>0</v>
      </c>
      <c r="H195" s="973">
        <v>17.09</v>
      </c>
    </row>
    <row r="196" spans="1:8" hidden="1" x14ac:dyDescent="0.25">
      <c r="A196" s="606" t="s">
        <v>1061</v>
      </c>
      <c r="B196" s="378" t="s">
        <v>1020</v>
      </c>
      <c r="C196" s="378" t="s">
        <v>319</v>
      </c>
      <c r="D196" s="971">
        <v>130</v>
      </c>
      <c r="E196" s="971">
        <v>0</v>
      </c>
      <c r="F196" s="971">
        <v>1</v>
      </c>
      <c r="G196" s="971">
        <v>0</v>
      </c>
      <c r="H196" s="971">
        <v>47.12</v>
      </c>
    </row>
    <row r="197" spans="1:8" x14ac:dyDescent="0.25">
      <c r="A197" s="606" t="s">
        <v>1108</v>
      </c>
      <c r="B197" s="378" t="s">
        <v>1018</v>
      </c>
      <c r="C197" s="378" t="s">
        <v>877</v>
      </c>
      <c r="D197" s="971">
        <v>5</v>
      </c>
      <c r="E197" s="971">
        <v>0</v>
      </c>
      <c r="F197" s="971">
        <v>0</v>
      </c>
      <c r="G197" s="971">
        <v>0</v>
      </c>
      <c r="H197" s="971">
        <v>183.94</v>
      </c>
    </row>
    <row r="198" spans="1:8" x14ac:dyDescent="0.25">
      <c r="A198" s="606" t="s">
        <v>1108</v>
      </c>
      <c r="B198" s="378" t="s">
        <v>1018</v>
      </c>
      <c r="C198" s="378" t="s">
        <v>879</v>
      </c>
      <c r="D198" s="971">
        <v>0</v>
      </c>
      <c r="E198" s="971">
        <v>0</v>
      </c>
      <c r="F198" s="971">
        <v>0</v>
      </c>
      <c r="G198" s="971">
        <v>0</v>
      </c>
      <c r="H198" s="971">
        <v>58.87</v>
      </c>
    </row>
    <row r="199" spans="1:8" x14ac:dyDescent="0.25">
      <c r="A199" s="606" t="s">
        <v>1108</v>
      </c>
      <c r="B199" s="378" t="s">
        <v>1018</v>
      </c>
      <c r="C199" s="378" t="s">
        <v>1030</v>
      </c>
      <c r="D199" s="971">
        <v>1</v>
      </c>
      <c r="E199" s="971">
        <v>0</v>
      </c>
      <c r="F199" s="971">
        <v>0</v>
      </c>
      <c r="G199" s="971">
        <v>0</v>
      </c>
      <c r="H199" s="971">
        <v>76.489999999999995</v>
      </c>
    </row>
    <row r="200" spans="1:8" x14ac:dyDescent="0.25">
      <c r="A200" s="606" t="s">
        <v>1108</v>
      </c>
      <c r="B200" s="378" t="s">
        <v>1169</v>
      </c>
      <c r="C200" s="378" t="s">
        <v>992</v>
      </c>
      <c r="D200" s="971">
        <v>1</v>
      </c>
      <c r="E200" s="971">
        <v>0</v>
      </c>
      <c r="F200" s="971">
        <v>0</v>
      </c>
      <c r="G200" s="971">
        <v>0</v>
      </c>
      <c r="H200" s="971">
        <v>0</v>
      </c>
    </row>
    <row r="201" spans="1:8" x14ac:dyDescent="0.25">
      <c r="A201" s="606" t="s">
        <v>1108</v>
      </c>
      <c r="B201" s="378" t="s">
        <v>1169</v>
      </c>
      <c r="C201" s="378" t="s">
        <v>1019</v>
      </c>
      <c r="D201" s="971">
        <v>3166.08</v>
      </c>
      <c r="E201" s="971">
        <v>2289.77</v>
      </c>
      <c r="F201" s="971">
        <v>53</v>
      </c>
      <c r="G201" s="971">
        <v>0</v>
      </c>
      <c r="H201" s="971">
        <v>104.05</v>
      </c>
    </row>
    <row r="202" spans="1:8" x14ac:dyDescent="0.25">
      <c r="A202" s="606" t="s">
        <v>1108</v>
      </c>
      <c r="B202" s="378" t="s">
        <v>1169</v>
      </c>
      <c r="C202" s="378" t="s">
        <v>1022</v>
      </c>
      <c r="D202" s="971">
        <v>32</v>
      </c>
      <c r="E202" s="971">
        <v>0</v>
      </c>
      <c r="F202" s="971">
        <v>0</v>
      </c>
      <c r="G202" s="971">
        <v>162.21</v>
      </c>
      <c r="H202" s="971">
        <v>49.11</v>
      </c>
    </row>
    <row r="203" spans="1:8" x14ac:dyDescent="0.25">
      <c r="A203" s="606" t="s">
        <v>1108</v>
      </c>
      <c r="B203" s="378" t="s">
        <v>1170</v>
      </c>
      <c r="C203" s="378" t="s">
        <v>992</v>
      </c>
      <c r="D203" s="971">
        <v>2</v>
      </c>
      <c r="E203" s="971">
        <v>0</v>
      </c>
      <c r="F203" s="971">
        <v>0</v>
      </c>
      <c r="G203" s="971">
        <v>0</v>
      </c>
      <c r="H203" s="971">
        <v>70.19</v>
      </c>
    </row>
    <row r="204" spans="1:8" x14ac:dyDescent="0.25">
      <c r="A204" s="606" t="s">
        <v>1108</v>
      </c>
      <c r="B204" s="378" t="s">
        <v>1170</v>
      </c>
      <c r="C204" s="378" t="s">
        <v>1171</v>
      </c>
      <c r="D204" s="971">
        <v>0</v>
      </c>
      <c r="E204" s="971">
        <v>0</v>
      </c>
      <c r="F204" s="971">
        <v>0</v>
      </c>
      <c r="G204" s="971">
        <v>0</v>
      </c>
      <c r="H204" s="971">
        <v>12.43</v>
      </c>
    </row>
    <row r="205" spans="1:8" x14ac:dyDescent="0.25">
      <c r="A205" s="606" t="s">
        <v>1108</v>
      </c>
      <c r="B205" s="378" t="s">
        <v>1170</v>
      </c>
      <c r="C205" s="378" t="s">
        <v>1172</v>
      </c>
      <c r="D205" s="971">
        <v>0</v>
      </c>
      <c r="E205" s="971">
        <v>0</v>
      </c>
      <c r="F205" s="971">
        <v>0</v>
      </c>
      <c r="G205" s="971">
        <v>0</v>
      </c>
      <c r="H205" s="971">
        <v>16.25</v>
      </c>
    </row>
    <row r="206" spans="1:8" x14ac:dyDescent="0.25">
      <c r="A206" s="606" t="s">
        <v>1108</v>
      </c>
      <c r="B206" s="378" t="s">
        <v>1173</v>
      </c>
      <c r="C206" s="378" t="s">
        <v>992</v>
      </c>
      <c r="D206" s="971">
        <v>0</v>
      </c>
      <c r="E206" s="971">
        <v>0</v>
      </c>
      <c r="F206" s="971">
        <v>0</v>
      </c>
      <c r="G206" s="971">
        <v>0</v>
      </c>
      <c r="H206" s="971">
        <v>5.8</v>
      </c>
    </row>
    <row r="207" spans="1:8" x14ac:dyDescent="0.25">
      <c r="A207" s="606" t="s">
        <v>1108</v>
      </c>
      <c r="B207" s="378" t="s">
        <v>1173</v>
      </c>
      <c r="C207" s="378" t="s">
        <v>1174</v>
      </c>
      <c r="D207" s="971">
        <v>0</v>
      </c>
      <c r="E207" s="971">
        <v>0</v>
      </c>
      <c r="F207" s="971">
        <v>0</v>
      </c>
      <c r="G207" s="971">
        <v>0</v>
      </c>
      <c r="H207" s="971">
        <v>3</v>
      </c>
    </row>
    <row r="208" spans="1:8" x14ac:dyDescent="0.25">
      <c r="A208" s="606" t="s">
        <v>1108</v>
      </c>
      <c r="B208" s="378" t="s">
        <v>1173</v>
      </c>
      <c r="C208" s="378" t="s">
        <v>1175</v>
      </c>
      <c r="D208" s="971">
        <v>3</v>
      </c>
      <c r="E208" s="971">
        <v>0</v>
      </c>
      <c r="F208" s="971">
        <v>0</v>
      </c>
      <c r="G208" s="971">
        <v>4</v>
      </c>
      <c r="H208" s="971">
        <v>13.260000000000002</v>
      </c>
    </row>
    <row r="209" spans="1:8" x14ac:dyDescent="0.25">
      <c r="A209" s="606" t="s">
        <v>1108</v>
      </c>
      <c r="B209" s="378" t="s">
        <v>1176</v>
      </c>
      <c r="C209" s="378" t="s">
        <v>992</v>
      </c>
      <c r="D209" s="971">
        <v>6</v>
      </c>
      <c r="E209" s="971">
        <v>0</v>
      </c>
      <c r="F209" s="971">
        <v>0</v>
      </c>
      <c r="G209" s="971">
        <v>0</v>
      </c>
      <c r="H209" s="971">
        <v>3</v>
      </c>
    </row>
    <row r="210" spans="1:8" x14ac:dyDescent="0.25">
      <c r="A210" s="606" t="s">
        <v>1108</v>
      </c>
      <c r="B210" s="378" t="s">
        <v>1176</v>
      </c>
      <c r="C210" s="378" t="s">
        <v>1177</v>
      </c>
      <c r="D210" s="971">
        <v>10</v>
      </c>
      <c r="E210" s="971">
        <v>0</v>
      </c>
      <c r="F210" s="971">
        <v>0</v>
      </c>
      <c r="G210" s="971">
        <v>0</v>
      </c>
      <c r="H210" s="971">
        <v>44.219999999999985</v>
      </c>
    </row>
    <row r="211" spans="1:8" x14ac:dyDescent="0.25">
      <c r="A211" s="606" t="s">
        <v>1108</v>
      </c>
      <c r="B211" s="378" t="s">
        <v>1176</v>
      </c>
      <c r="C211" s="378" t="s">
        <v>1178</v>
      </c>
      <c r="D211" s="971">
        <v>8</v>
      </c>
      <c r="E211" s="971">
        <v>0</v>
      </c>
      <c r="F211" s="971">
        <v>0</v>
      </c>
      <c r="G211" s="971">
        <v>0</v>
      </c>
      <c r="H211" s="971">
        <v>15.8</v>
      </c>
    </row>
    <row r="212" spans="1:8" x14ac:dyDescent="0.25">
      <c r="A212" s="606" t="s">
        <v>1108</v>
      </c>
      <c r="B212" s="378" t="s">
        <v>1176</v>
      </c>
      <c r="C212" s="378" t="s">
        <v>1179</v>
      </c>
      <c r="D212" s="971">
        <v>29</v>
      </c>
      <c r="E212" s="971">
        <v>0</v>
      </c>
      <c r="F212" s="971">
        <v>0</v>
      </c>
      <c r="G212" s="971">
        <v>0</v>
      </c>
      <c r="H212" s="971">
        <v>3.5</v>
      </c>
    </row>
    <row r="213" spans="1:8" x14ac:dyDescent="0.25">
      <c r="A213" s="606" t="s">
        <v>1108</v>
      </c>
      <c r="B213" s="378" t="s">
        <v>1023</v>
      </c>
      <c r="C213" s="378" t="s">
        <v>188</v>
      </c>
      <c r="D213" s="971">
        <v>0</v>
      </c>
      <c r="E213" s="971">
        <v>0</v>
      </c>
      <c r="F213" s="971">
        <v>0</v>
      </c>
      <c r="G213" s="971">
        <v>0</v>
      </c>
      <c r="H213" s="971">
        <v>1</v>
      </c>
    </row>
    <row r="214" spans="1:8" x14ac:dyDescent="0.25">
      <c r="A214" s="606" t="s">
        <v>1108</v>
      </c>
      <c r="B214" s="378" t="s">
        <v>1024</v>
      </c>
      <c r="C214" s="378" t="s">
        <v>992</v>
      </c>
      <c r="D214" s="971">
        <v>5</v>
      </c>
      <c r="E214" s="971">
        <v>0</v>
      </c>
      <c r="F214" s="971">
        <v>0</v>
      </c>
      <c r="G214" s="971">
        <v>0</v>
      </c>
      <c r="H214" s="971">
        <v>4</v>
      </c>
    </row>
    <row r="215" spans="1:8" x14ac:dyDescent="0.25">
      <c r="A215" s="606" t="s">
        <v>1108</v>
      </c>
      <c r="B215" s="378" t="s">
        <v>1028</v>
      </c>
      <c r="C215" s="378" t="s">
        <v>1031</v>
      </c>
      <c r="D215" s="971">
        <v>0</v>
      </c>
      <c r="E215" s="971">
        <v>0</v>
      </c>
      <c r="F215" s="971">
        <v>0</v>
      </c>
      <c r="G215" s="971">
        <v>0</v>
      </c>
      <c r="H215" s="971">
        <v>26</v>
      </c>
    </row>
    <row r="216" spans="1:8" x14ac:dyDescent="0.25">
      <c r="A216" s="606" t="s">
        <v>1108</v>
      </c>
      <c r="B216" s="378" t="s">
        <v>1028</v>
      </c>
      <c r="C216" s="378" t="s">
        <v>1029</v>
      </c>
      <c r="D216" s="971">
        <v>2</v>
      </c>
      <c r="E216" s="971">
        <v>0</v>
      </c>
      <c r="F216" s="971">
        <v>0</v>
      </c>
      <c r="G216" s="971">
        <v>0</v>
      </c>
      <c r="H216" s="971">
        <v>93.099999999999966</v>
      </c>
    </row>
    <row r="217" spans="1:8" x14ac:dyDescent="0.25">
      <c r="A217" s="606" t="s">
        <v>1108</v>
      </c>
      <c r="B217" s="378" t="s">
        <v>1020</v>
      </c>
      <c r="C217" s="378" t="s">
        <v>1026</v>
      </c>
      <c r="D217" s="971">
        <v>11</v>
      </c>
      <c r="E217" s="971">
        <v>0</v>
      </c>
      <c r="F217" s="971">
        <v>0</v>
      </c>
      <c r="G217" s="971">
        <v>0</v>
      </c>
      <c r="H217" s="971">
        <v>18.09</v>
      </c>
    </row>
    <row r="218" spans="1:8" ht="15.75" thickBot="1" x14ac:dyDescent="0.3">
      <c r="A218" s="967" t="s">
        <v>1108</v>
      </c>
      <c r="B218" s="904" t="s">
        <v>1020</v>
      </c>
      <c r="C218" s="904" t="s">
        <v>319</v>
      </c>
      <c r="D218" s="972">
        <v>138</v>
      </c>
      <c r="E218" s="972">
        <v>0</v>
      </c>
      <c r="F218" s="972">
        <v>2</v>
      </c>
      <c r="G218" s="972">
        <v>0</v>
      </c>
      <c r="H218" s="972">
        <v>27.3</v>
      </c>
    </row>
    <row r="220" spans="1:8" x14ac:dyDescent="0.25">
      <c r="A220" s="606" t="s">
        <v>8</v>
      </c>
    </row>
    <row r="221" spans="1:8" x14ac:dyDescent="0.25">
      <c r="A221" s="1005" t="s">
        <v>725</v>
      </c>
      <c r="B221" s="1005"/>
      <c r="C221" s="1005"/>
      <c r="D221" s="1005"/>
      <c r="E221" s="1005"/>
      <c r="F221" s="1005"/>
      <c r="G221" s="1005"/>
      <c r="H221" s="1005"/>
    </row>
    <row r="222" spans="1:8" x14ac:dyDescent="0.25">
      <c r="A222" s="1006" t="s">
        <v>212</v>
      </c>
      <c r="B222" s="1006"/>
      <c r="C222" s="1006"/>
      <c r="D222" s="1006"/>
      <c r="E222" s="1006"/>
      <c r="F222" s="1006"/>
      <c r="G222" s="1006"/>
      <c r="H222" s="1006"/>
    </row>
    <row r="223" spans="1:8" x14ac:dyDescent="0.25">
      <c r="A223" s="378" t="s">
        <v>211</v>
      </c>
      <c r="E223" s="822"/>
    </row>
    <row r="224" spans="1:8" x14ac:dyDescent="0.25">
      <c r="A224" s="822" t="s">
        <v>451</v>
      </c>
    </row>
  </sheetData>
  <sheetProtection algorithmName="SHA-512" hashValue="6FTUChstJiyiTxcJgAvqx/fnqbAVgDFaPyQ7yqX8utkQ7A2+b+2SDDpQ8qyCg2YFxHg+nRvyczN5moKEJM9cTw==" saltValue="8MEuywutEExZAIIRQe5UaA==" spinCount="100000" sheet="1" scenarios="1" formatCells="0" sort="0" autoFilter="0" pivotTables="0"/>
  <mergeCells count="5">
    <mergeCell ref="A221:H221"/>
    <mergeCell ref="A222:H222"/>
    <mergeCell ref="A1:B1"/>
    <mergeCell ref="A4:B4"/>
    <mergeCell ref="A110:H110"/>
  </mergeCells>
  <hyperlinks>
    <hyperlink ref="A2" location="'Table of Contents'!A1" display="Back to Table of Contents" xr:uid="{D8A2377C-7140-433B-9CFE-EE3E5CFBDECC}"/>
  </hyperlinks>
  <pageMargins left="0.7" right="0.7" top="0.75" bottom="0.75" header="0.3" footer="0.3"/>
  <pageSetup paperSize="9" orientation="portrait" r:id="rId1"/>
  <drawing r:id="rId2"/>
  <tableParts count="2">
    <tablePart r:id="rId3"/>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39997558519241921"/>
  </sheetPr>
  <dimension ref="A1:G8"/>
  <sheetViews>
    <sheetView workbookViewId="0">
      <selection activeCell="C5" sqref="C5"/>
    </sheetView>
  </sheetViews>
  <sheetFormatPr defaultRowHeight="15" x14ac:dyDescent="0.25"/>
  <cols>
    <col min="1" max="1" width="12.5703125" bestFit="1" customWidth="1"/>
    <col min="2" max="2" width="27.85546875" bestFit="1" customWidth="1"/>
    <col min="3" max="3" width="10.42578125" bestFit="1" customWidth="1"/>
    <col min="4" max="4" width="13.5703125" bestFit="1" customWidth="1"/>
    <col min="5" max="5" width="14" bestFit="1" customWidth="1"/>
    <col min="6" max="6" width="15.85546875" bestFit="1" customWidth="1"/>
    <col min="7" max="7" width="18.28515625" bestFit="1" customWidth="1"/>
  </cols>
  <sheetData>
    <row r="1" spans="1:7" x14ac:dyDescent="0.25">
      <c r="A1" s="394" t="s">
        <v>1</v>
      </c>
      <c r="B1" t="s">
        <v>1108</v>
      </c>
    </row>
    <row r="3" spans="1:7" x14ac:dyDescent="0.25">
      <c r="A3" s="394" t="s">
        <v>231</v>
      </c>
      <c r="B3" t="s">
        <v>977</v>
      </c>
      <c r="C3" t="s">
        <v>245</v>
      </c>
      <c r="D3" t="s">
        <v>246</v>
      </c>
      <c r="E3" t="s">
        <v>247</v>
      </c>
      <c r="F3" t="s">
        <v>316</v>
      </c>
      <c r="G3" t="s">
        <v>772</v>
      </c>
    </row>
    <row r="4" spans="1:7" x14ac:dyDescent="0.25">
      <c r="A4" s="395" t="s">
        <v>232</v>
      </c>
      <c r="B4">
        <v>2870</v>
      </c>
      <c r="C4">
        <v>2708</v>
      </c>
      <c r="D4">
        <v>0</v>
      </c>
      <c r="E4">
        <v>0</v>
      </c>
      <c r="F4">
        <v>269</v>
      </c>
      <c r="G4">
        <v>0</v>
      </c>
    </row>
    <row r="5" spans="1:7" x14ac:dyDescent="0.25">
      <c r="A5" s="395" t="s">
        <v>233</v>
      </c>
      <c r="B5">
        <v>327</v>
      </c>
      <c r="C5">
        <v>0</v>
      </c>
      <c r="D5">
        <v>0</v>
      </c>
      <c r="E5">
        <v>0</v>
      </c>
      <c r="F5">
        <v>0</v>
      </c>
      <c r="G5">
        <v>55</v>
      </c>
    </row>
    <row r="6" spans="1:7" x14ac:dyDescent="0.25">
      <c r="A6" s="395" t="s">
        <v>234</v>
      </c>
      <c r="B6">
        <v>141</v>
      </c>
      <c r="C6">
        <v>0</v>
      </c>
      <c r="D6">
        <v>0</v>
      </c>
      <c r="E6">
        <v>0</v>
      </c>
      <c r="F6">
        <v>0</v>
      </c>
      <c r="G6">
        <v>0</v>
      </c>
    </row>
    <row r="7" spans="1:7" x14ac:dyDescent="0.25">
      <c r="A7" s="395" t="s">
        <v>235</v>
      </c>
      <c r="B7">
        <v>84</v>
      </c>
      <c r="C7">
        <v>0</v>
      </c>
      <c r="D7">
        <v>171</v>
      </c>
      <c r="E7">
        <v>887</v>
      </c>
      <c r="F7">
        <v>0</v>
      </c>
      <c r="G7">
        <v>0</v>
      </c>
    </row>
    <row r="8" spans="1:7" x14ac:dyDescent="0.25">
      <c r="A8" s="395" t="s">
        <v>236</v>
      </c>
      <c r="B8">
        <v>3422</v>
      </c>
      <c r="C8">
        <v>2708</v>
      </c>
      <c r="D8">
        <v>171</v>
      </c>
      <c r="E8">
        <v>887</v>
      </c>
      <c r="F8">
        <v>269</v>
      </c>
      <c r="G8">
        <v>55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39997558519241921"/>
  </sheetPr>
  <dimension ref="A1:H45"/>
  <sheetViews>
    <sheetView topLeftCell="A2" workbookViewId="0">
      <selection activeCell="C17" sqref="C17"/>
    </sheetView>
  </sheetViews>
  <sheetFormatPr defaultRowHeight="15" x14ac:dyDescent="0.25"/>
  <cols>
    <col min="1" max="1" width="7.42578125" bestFit="1" customWidth="1"/>
    <col min="2" max="2" width="16.140625" bestFit="1" customWidth="1"/>
    <col min="3" max="3" width="23.85546875" bestFit="1" customWidth="1"/>
    <col min="4" max="4" width="6.5703125" bestFit="1" customWidth="1"/>
    <col min="5" max="5" width="14" bestFit="1" customWidth="1"/>
    <col min="6" max="6" width="9.5703125" bestFit="1" customWidth="1"/>
    <col min="7" max="7" width="9.85546875" bestFit="1" customWidth="1"/>
    <col min="8" max="8" width="11.85546875" bestFit="1" customWidth="1"/>
  </cols>
  <sheetData>
    <row r="1" spans="1:8" x14ac:dyDescent="0.25">
      <c r="A1" t="s">
        <v>1</v>
      </c>
      <c r="B1" t="s">
        <v>982</v>
      </c>
      <c r="C1" t="s">
        <v>27</v>
      </c>
      <c r="D1" t="s">
        <v>9</v>
      </c>
      <c r="E1" t="s">
        <v>761</v>
      </c>
      <c r="F1" t="s">
        <v>2</v>
      </c>
      <c r="G1" t="s">
        <v>3</v>
      </c>
      <c r="H1" t="s">
        <v>29</v>
      </c>
    </row>
    <row r="2" spans="1:8" x14ac:dyDescent="0.25">
      <c r="A2" t="s">
        <v>192</v>
      </c>
      <c r="B2" t="s">
        <v>235</v>
      </c>
      <c r="C2">
        <v>56</v>
      </c>
      <c r="F2">
        <v>223</v>
      </c>
      <c r="G2">
        <v>237</v>
      </c>
    </row>
    <row r="3" spans="1:8" x14ac:dyDescent="0.25">
      <c r="A3" t="s">
        <v>239</v>
      </c>
      <c r="B3" t="s">
        <v>233</v>
      </c>
      <c r="C3">
        <v>387</v>
      </c>
      <c r="D3">
        <v>0</v>
      </c>
      <c r="E3">
        <v>18</v>
      </c>
      <c r="F3">
        <v>0</v>
      </c>
      <c r="G3">
        <v>0</v>
      </c>
      <c r="H3">
        <v>0</v>
      </c>
    </row>
    <row r="4" spans="1:8" x14ac:dyDescent="0.25">
      <c r="A4" t="s">
        <v>239</v>
      </c>
      <c r="B4" t="s">
        <v>234</v>
      </c>
      <c r="C4">
        <v>146</v>
      </c>
      <c r="D4">
        <v>0</v>
      </c>
      <c r="E4">
        <v>0</v>
      </c>
      <c r="F4">
        <v>0</v>
      </c>
      <c r="G4">
        <v>0</v>
      </c>
      <c r="H4">
        <v>0</v>
      </c>
    </row>
    <row r="5" spans="1:8" x14ac:dyDescent="0.25">
      <c r="A5" t="s">
        <v>1010</v>
      </c>
      <c r="B5" t="s">
        <v>235</v>
      </c>
      <c r="C5">
        <v>88</v>
      </c>
      <c r="D5">
        <v>0</v>
      </c>
      <c r="E5">
        <v>0</v>
      </c>
      <c r="F5">
        <v>174</v>
      </c>
      <c r="G5">
        <v>920</v>
      </c>
      <c r="H5">
        <v>0</v>
      </c>
    </row>
    <row r="6" spans="1:8" x14ac:dyDescent="0.25">
      <c r="A6" t="s">
        <v>191</v>
      </c>
      <c r="B6" t="s">
        <v>235</v>
      </c>
      <c r="C6">
        <v>50</v>
      </c>
      <c r="F6">
        <v>230</v>
      </c>
      <c r="G6">
        <v>238</v>
      </c>
    </row>
    <row r="7" spans="1:8" x14ac:dyDescent="0.25">
      <c r="A7" t="s">
        <v>257</v>
      </c>
      <c r="B7" t="s">
        <v>235</v>
      </c>
      <c r="C7">
        <v>182</v>
      </c>
      <c r="F7">
        <v>165</v>
      </c>
      <c r="G7">
        <v>267</v>
      </c>
    </row>
    <row r="8" spans="1:8" x14ac:dyDescent="0.25">
      <c r="A8" t="s">
        <v>240</v>
      </c>
      <c r="B8" t="s">
        <v>233</v>
      </c>
      <c r="C8">
        <v>379</v>
      </c>
    </row>
    <row r="9" spans="1:8" x14ac:dyDescent="0.25">
      <c r="A9" t="s">
        <v>1108</v>
      </c>
      <c r="B9" t="s">
        <v>233</v>
      </c>
      <c r="C9">
        <v>327</v>
      </c>
      <c r="D9">
        <v>0</v>
      </c>
      <c r="E9">
        <v>55</v>
      </c>
      <c r="F9">
        <v>0</v>
      </c>
      <c r="G9">
        <v>0</v>
      </c>
      <c r="H9">
        <v>0</v>
      </c>
    </row>
    <row r="10" spans="1:8" x14ac:dyDescent="0.25">
      <c r="A10" t="s">
        <v>1108</v>
      </c>
      <c r="B10" t="s">
        <v>235</v>
      </c>
      <c r="C10">
        <v>84</v>
      </c>
      <c r="D10">
        <v>0</v>
      </c>
      <c r="E10">
        <v>0</v>
      </c>
      <c r="F10">
        <v>171</v>
      </c>
      <c r="G10">
        <v>887</v>
      </c>
      <c r="H10">
        <v>0</v>
      </c>
    </row>
    <row r="11" spans="1:8" x14ac:dyDescent="0.25">
      <c r="A11" t="s">
        <v>192</v>
      </c>
      <c r="B11" t="s">
        <v>234</v>
      </c>
      <c r="C11">
        <v>268</v>
      </c>
      <c r="G11">
        <v>724</v>
      </c>
    </row>
    <row r="12" spans="1:8" x14ac:dyDescent="0.25">
      <c r="A12" t="s">
        <v>191</v>
      </c>
      <c r="B12" t="s">
        <v>232</v>
      </c>
      <c r="C12">
        <v>3285</v>
      </c>
      <c r="D12">
        <v>2950</v>
      </c>
      <c r="H12">
        <v>378</v>
      </c>
    </row>
    <row r="13" spans="1:8" x14ac:dyDescent="0.25">
      <c r="A13" t="s">
        <v>239</v>
      </c>
      <c r="B13" t="s">
        <v>232</v>
      </c>
      <c r="C13">
        <v>2955</v>
      </c>
      <c r="D13">
        <v>2935</v>
      </c>
      <c r="E13">
        <v>0</v>
      </c>
      <c r="F13">
        <v>0</v>
      </c>
      <c r="G13">
        <v>0</v>
      </c>
      <c r="H13">
        <v>321</v>
      </c>
    </row>
    <row r="14" spans="1:8" x14ac:dyDescent="0.25">
      <c r="A14" t="s">
        <v>760</v>
      </c>
      <c r="B14" t="s">
        <v>232</v>
      </c>
      <c r="C14">
        <v>2966</v>
      </c>
      <c r="D14">
        <v>2937</v>
      </c>
      <c r="E14">
        <v>0</v>
      </c>
      <c r="F14">
        <v>0</v>
      </c>
      <c r="G14">
        <v>0</v>
      </c>
      <c r="H14">
        <v>315</v>
      </c>
    </row>
    <row r="15" spans="1:8" x14ac:dyDescent="0.25">
      <c r="A15" t="s">
        <v>760</v>
      </c>
      <c r="B15" t="s">
        <v>233</v>
      </c>
      <c r="C15">
        <v>383</v>
      </c>
      <c r="D15">
        <v>0</v>
      </c>
      <c r="E15">
        <v>36</v>
      </c>
      <c r="F15">
        <v>0</v>
      </c>
      <c r="G15">
        <v>0</v>
      </c>
      <c r="H15">
        <v>0</v>
      </c>
    </row>
    <row r="16" spans="1:8" x14ac:dyDescent="0.25">
      <c r="A16" t="s">
        <v>1061</v>
      </c>
      <c r="B16" t="s">
        <v>233</v>
      </c>
      <c r="C16">
        <v>328</v>
      </c>
      <c r="D16">
        <v>0</v>
      </c>
      <c r="E16">
        <v>55</v>
      </c>
      <c r="F16">
        <v>0</v>
      </c>
      <c r="G16">
        <v>0</v>
      </c>
      <c r="H16">
        <v>0</v>
      </c>
    </row>
    <row r="17" spans="1:8" x14ac:dyDescent="0.25">
      <c r="A17" t="s">
        <v>1108</v>
      </c>
      <c r="B17" t="s">
        <v>232</v>
      </c>
      <c r="C17">
        <v>2870</v>
      </c>
      <c r="D17">
        <v>2708</v>
      </c>
      <c r="E17">
        <v>0</v>
      </c>
      <c r="F17">
        <v>0</v>
      </c>
      <c r="G17">
        <v>0</v>
      </c>
      <c r="H17">
        <v>269</v>
      </c>
    </row>
    <row r="18" spans="1:8" x14ac:dyDescent="0.25">
      <c r="A18" t="s">
        <v>917</v>
      </c>
      <c r="B18" t="s">
        <v>233</v>
      </c>
      <c r="C18">
        <v>376</v>
      </c>
      <c r="D18">
        <v>0</v>
      </c>
      <c r="E18">
        <v>54</v>
      </c>
      <c r="F18">
        <v>0</v>
      </c>
      <c r="G18">
        <v>0</v>
      </c>
      <c r="H18">
        <v>0</v>
      </c>
    </row>
    <row r="19" spans="1:8" x14ac:dyDescent="0.25">
      <c r="A19" t="s">
        <v>1010</v>
      </c>
      <c r="B19" t="s">
        <v>233</v>
      </c>
      <c r="C19">
        <v>378</v>
      </c>
      <c r="D19">
        <v>0</v>
      </c>
      <c r="E19">
        <v>53</v>
      </c>
      <c r="F19">
        <v>0</v>
      </c>
      <c r="G19">
        <v>0</v>
      </c>
      <c r="H19">
        <v>0</v>
      </c>
    </row>
    <row r="20" spans="1:8" x14ac:dyDescent="0.25">
      <c r="A20" t="s">
        <v>1061</v>
      </c>
      <c r="B20" t="s">
        <v>234</v>
      </c>
      <c r="C20">
        <v>256</v>
      </c>
      <c r="D20">
        <v>0</v>
      </c>
      <c r="E20">
        <v>0</v>
      </c>
      <c r="F20">
        <v>0</v>
      </c>
      <c r="G20">
        <v>0</v>
      </c>
      <c r="H20">
        <v>0</v>
      </c>
    </row>
    <row r="21" spans="1:8" x14ac:dyDescent="0.25">
      <c r="A21" t="s">
        <v>192</v>
      </c>
      <c r="B21" t="s">
        <v>233</v>
      </c>
      <c r="C21">
        <v>285</v>
      </c>
    </row>
    <row r="22" spans="1:8" x14ac:dyDescent="0.25">
      <c r="A22" t="s">
        <v>240</v>
      </c>
      <c r="B22" t="s">
        <v>232</v>
      </c>
      <c r="C22">
        <v>2868</v>
      </c>
      <c r="D22">
        <v>2863</v>
      </c>
      <c r="H22">
        <v>336</v>
      </c>
    </row>
    <row r="23" spans="1:8" x14ac:dyDescent="0.25">
      <c r="A23" t="s">
        <v>239</v>
      </c>
      <c r="B23" t="s">
        <v>235</v>
      </c>
      <c r="C23">
        <v>149</v>
      </c>
      <c r="D23">
        <v>0</v>
      </c>
      <c r="E23">
        <v>0</v>
      </c>
      <c r="F23">
        <v>207</v>
      </c>
      <c r="G23">
        <v>792</v>
      </c>
      <c r="H23">
        <v>0</v>
      </c>
    </row>
    <row r="24" spans="1:8" x14ac:dyDescent="0.25">
      <c r="A24" t="s">
        <v>917</v>
      </c>
      <c r="B24" t="s">
        <v>232</v>
      </c>
      <c r="C24">
        <v>2903</v>
      </c>
      <c r="D24">
        <v>2872</v>
      </c>
      <c r="E24">
        <v>0</v>
      </c>
      <c r="F24">
        <v>0</v>
      </c>
      <c r="G24">
        <v>0</v>
      </c>
      <c r="H24">
        <v>303</v>
      </c>
    </row>
    <row r="25" spans="1:8" x14ac:dyDescent="0.25">
      <c r="A25" t="s">
        <v>1061</v>
      </c>
      <c r="B25" t="s">
        <v>235</v>
      </c>
      <c r="C25">
        <v>69</v>
      </c>
      <c r="D25">
        <v>0</v>
      </c>
      <c r="E25">
        <v>0</v>
      </c>
      <c r="F25">
        <v>172</v>
      </c>
      <c r="G25">
        <v>901</v>
      </c>
      <c r="H25">
        <v>0</v>
      </c>
    </row>
    <row r="26" spans="1:8" x14ac:dyDescent="0.25">
      <c r="A26" t="s">
        <v>190</v>
      </c>
      <c r="B26" t="s">
        <v>233</v>
      </c>
      <c r="C26">
        <v>385</v>
      </c>
    </row>
    <row r="27" spans="1:8" x14ac:dyDescent="0.25">
      <c r="A27" t="s">
        <v>190</v>
      </c>
      <c r="B27" t="s">
        <v>235</v>
      </c>
      <c r="C27">
        <v>195</v>
      </c>
      <c r="F27">
        <v>203</v>
      </c>
      <c r="G27">
        <v>297</v>
      </c>
    </row>
    <row r="28" spans="1:8" x14ac:dyDescent="0.25">
      <c r="A28" t="s">
        <v>257</v>
      </c>
      <c r="B28" t="s">
        <v>232</v>
      </c>
      <c r="C28">
        <v>2923</v>
      </c>
      <c r="D28">
        <v>2870</v>
      </c>
      <c r="H28">
        <v>320</v>
      </c>
    </row>
    <row r="29" spans="1:8" x14ac:dyDescent="0.25">
      <c r="A29" t="s">
        <v>240</v>
      </c>
      <c r="B29" t="s">
        <v>234</v>
      </c>
      <c r="C29">
        <v>156</v>
      </c>
      <c r="G29">
        <v>569</v>
      </c>
    </row>
    <row r="30" spans="1:8" x14ac:dyDescent="0.25">
      <c r="A30" t="s">
        <v>240</v>
      </c>
      <c r="B30" t="s">
        <v>235</v>
      </c>
      <c r="C30">
        <v>143</v>
      </c>
      <c r="F30">
        <v>189</v>
      </c>
      <c r="G30">
        <v>277</v>
      </c>
    </row>
    <row r="31" spans="1:8" x14ac:dyDescent="0.25">
      <c r="A31" t="s">
        <v>192</v>
      </c>
      <c r="B31" t="s">
        <v>232</v>
      </c>
      <c r="C31">
        <v>3392</v>
      </c>
      <c r="D31">
        <v>2940</v>
      </c>
      <c r="H31">
        <v>359</v>
      </c>
    </row>
    <row r="32" spans="1:8" x14ac:dyDescent="0.25">
      <c r="A32" t="s">
        <v>191</v>
      </c>
      <c r="B32" t="s">
        <v>234</v>
      </c>
      <c r="C32">
        <v>251</v>
      </c>
      <c r="G32">
        <v>629</v>
      </c>
    </row>
    <row r="33" spans="1:8" x14ac:dyDescent="0.25">
      <c r="A33" t="s">
        <v>760</v>
      </c>
      <c r="B33" t="s">
        <v>234</v>
      </c>
      <c r="C33">
        <v>197</v>
      </c>
      <c r="D33">
        <v>0</v>
      </c>
      <c r="E33">
        <v>0</v>
      </c>
      <c r="F33">
        <v>0</v>
      </c>
      <c r="G33">
        <v>0</v>
      </c>
      <c r="H33">
        <v>0</v>
      </c>
    </row>
    <row r="34" spans="1:8" x14ac:dyDescent="0.25">
      <c r="A34" t="s">
        <v>917</v>
      </c>
      <c r="B34" t="s">
        <v>234</v>
      </c>
      <c r="C34">
        <v>212</v>
      </c>
      <c r="D34">
        <v>0</v>
      </c>
      <c r="E34">
        <v>0</v>
      </c>
      <c r="F34">
        <v>0</v>
      </c>
      <c r="G34">
        <v>0</v>
      </c>
      <c r="H34">
        <v>0</v>
      </c>
    </row>
    <row r="35" spans="1:8" x14ac:dyDescent="0.25">
      <c r="A35" t="s">
        <v>917</v>
      </c>
      <c r="B35" t="s">
        <v>235</v>
      </c>
      <c r="C35">
        <v>90</v>
      </c>
      <c r="D35">
        <v>0</v>
      </c>
      <c r="E35">
        <v>0</v>
      </c>
      <c r="F35">
        <v>182</v>
      </c>
      <c r="G35">
        <v>835</v>
      </c>
      <c r="H35">
        <v>0</v>
      </c>
    </row>
    <row r="36" spans="1:8" x14ac:dyDescent="0.25">
      <c r="A36" t="s">
        <v>1061</v>
      </c>
      <c r="B36" t="s">
        <v>232</v>
      </c>
      <c r="C36">
        <v>2837</v>
      </c>
      <c r="D36">
        <v>2735</v>
      </c>
      <c r="E36">
        <v>0</v>
      </c>
      <c r="F36">
        <v>0</v>
      </c>
      <c r="G36">
        <v>0</v>
      </c>
      <c r="H36">
        <v>266</v>
      </c>
    </row>
    <row r="37" spans="1:8" x14ac:dyDescent="0.25">
      <c r="A37" t="s">
        <v>1108</v>
      </c>
      <c r="B37" t="s">
        <v>234</v>
      </c>
      <c r="C37">
        <v>141</v>
      </c>
      <c r="D37">
        <v>0</v>
      </c>
      <c r="E37">
        <v>0</v>
      </c>
      <c r="F37">
        <v>0</v>
      </c>
      <c r="G37">
        <v>0</v>
      </c>
      <c r="H37">
        <v>0</v>
      </c>
    </row>
    <row r="38" spans="1:8" x14ac:dyDescent="0.25">
      <c r="A38" t="s">
        <v>191</v>
      </c>
      <c r="B38" t="s">
        <v>233</v>
      </c>
      <c r="C38">
        <v>270</v>
      </c>
    </row>
    <row r="39" spans="1:8" x14ac:dyDescent="0.25">
      <c r="A39" t="s">
        <v>190</v>
      </c>
      <c r="B39" t="s">
        <v>232</v>
      </c>
      <c r="C39">
        <v>3025</v>
      </c>
      <c r="D39">
        <v>2870</v>
      </c>
      <c r="H39">
        <v>342</v>
      </c>
    </row>
    <row r="40" spans="1:8" x14ac:dyDescent="0.25">
      <c r="A40" t="s">
        <v>190</v>
      </c>
      <c r="B40" t="s">
        <v>234</v>
      </c>
      <c r="C40">
        <v>85</v>
      </c>
      <c r="G40">
        <v>531</v>
      </c>
    </row>
    <row r="41" spans="1:8" x14ac:dyDescent="0.25">
      <c r="A41" t="s">
        <v>257</v>
      </c>
      <c r="B41" t="s">
        <v>233</v>
      </c>
      <c r="C41">
        <v>389</v>
      </c>
    </row>
    <row r="42" spans="1:8" x14ac:dyDescent="0.25">
      <c r="A42" t="s">
        <v>257</v>
      </c>
      <c r="B42" t="s">
        <v>234</v>
      </c>
      <c r="C42">
        <v>151</v>
      </c>
      <c r="G42">
        <v>571</v>
      </c>
    </row>
    <row r="43" spans="1:8" x14ac:dyDescent="0.25">
      <c r="A43" t="s">
        <v>760</v>
      </c>
      <c r="B43" t="s">
        <v>235</v>
      </c>
      <c r="C43">
        <v>90</v>
      </c>
      <c r="D43">
        <v>0</v>
      </c>
      <c r="E43">
        <v>0</v>
      </c>
      <c r="F43">
        <v>188</v>
      </c>
      <c r="G43">
        <v>817</v>
      </c>
      <c r="H43">
        <v>0</v>
      </c>
    </row>
    <row r="44" spans="1:8" x14ac:dyDescent="0.25">
      <c r="A44" t="s">
        <v>1010</v>
      </c>
      <c r="B44" t="s">
        <v>232</v>
      </c>
      <c r="C44">
        <v>2843</v>
      </c>
      <c r="D44">
        <v>2758</v>
      </c>
      <c r="E44">
        <v>0</v>
      </c>
      <c r="F44">
        <v>0</v>
      </c>
      <c r="G44">
        <v>0</v>
      </c>
      <c r="H44">
        <v>277</v>
      </c>
    </row>
    <row r="45" spans="1:8" x14ac:dyDescent="0.25">
      <c r="A45" t="s">
        <v>1010</v>
      </c>
      <c r="B45" t="s">
        <v>234</v>
      </c>
      <c r="C45">
        <v>221</v>
      </c>
      <c r="D45">
        <v>0</v>
      </c>
      <c r="E45">
        <v>0</v>
      </c>
      <c r="F45">
        <v>0</v>
      </c>
      <c r="G45">
        <v>0</v>
      </c>
      <c r="H45">
        <v>0</v>
      </c>
    </row>
  </sheetData>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theme="9" tint="0.39997558519241921"/>
    <pageSetUpPr fitToPage="1"/>
  </sheetPr>
  <dimension ref="A1:K40"/>
  <sheetViews>
    <sheetView showGridLines="0" workbookViewId="0">
      <pane ySplit="2" topLeftCell="A3" activePane="bottomLeft" state="frozen"/>
      <selection pane="bottomLeft" sqref="A1:I1"/>
    </sheetView>
  </sheetViews>
  <sheetFormatPr defaultRowHeight="15" x14ac:dyDescent="0.25"/>
  <cols>
    <col min="1" max="1" width="27.42578125" customWidth="1"/>
    <col min="2" max="2" width="12.42578125" bestFit="1" customWidth="1"/>
    <col min="3" max="4" width="9.28515625" customWidth="1"/>
    <col min="5" max="6" width="9" bestFit="1" customWidth="1"/>
    <col min="7" max="7" width="10.5703125" customWidth="1"/>
    <col min="8" max="8" width="11.140625" customWidth="1"/>
    <col min="9" max="9" width="10.7109375" customWidth="1"/>
    <col min="10" max="10" width="9.28515625" customWidth="1"/>
    <col min="11" max="11" width="11.42578125" customWidth="1"/>
    <col min="12" max="12" width="12.42578125" customWidth="1"/>
  </cols>
  <sheetData>
    <row r="1" spans="1:11" ht="15.75" x14ac:dyDescent="0.25">
      <c r="A1" s="993" t="s">
        <v>450</v>
      </c>
      <c r="B1" s="993"/>
      <c r="C1" s="993"/>
      <c r="D1" s="993"/>
      <c r="E1" s="993"/>
      <c r="F1" s="993"/>
      <c r="G1" s="993"/>
      <c r="H1" s="993"/>
      <c r="I1" s="993"/>
    </row>
    <row r="2" spans="1:11" ht="18" x14ac:dyDescent="0.25">
      <c r="A2" s="507" t="s">
        <v>511</v>
      </c>
      <c r="B2" s="1"/>
      <c r="C2" s="1"/>
      <c r="D2" s="1"/>
      <c r="E2" s="1"/>
      <c r="F2" s="1"/>
      <c r="G2" s="1"/>
      <c r="H2" s="1"/>
      <c r="I2" s="1"/>
    </row>
    <row r="3" spans="1:11" ht="18" x14ac:dyDescent="0.25">
      <c r="A3" s="1"/>
      <c r="B3" s="1"/>
      <c r="C3" s="1"/>
      <c r="D3" s="1"/>
      <c r="E3" s="1"/>
      <c r="F3" s="1"/>
      <c r="G3" s="1"/>
      <c r="H3" s="1"/>
      <c r="I3" s="1"/>
      <c r="J3" s="25"/>
      <c r="K3" s="25"/>
    </row>
    <row r="4" spans="1:11" ht="37.5" customHeight="1" x14ac:dyDescent="0.25">
      <c r="A4" s="447" t="s">
        <v>501</v>
      </c>
      <c r="B4" s="447"/>
      <c r="C4" s="447"/>
      <c r="D4" s="447"/>
      <c r="E4" s="447"/>
      <c r="F4" s="447"/>
      <c r="G4" s="447"/>
      <c r="H4" s="447"/>
      <c r="I4" s="447"/>
      <c r="J4" s="447"/>
      <c r="K4" s="447"/>
    </row>
    <row r="5" spans="1:11" ht="15" customHeight="1" x14ac:dyDescent="0.25">
      <c r="A5" t="s">
        <v>328</v>
      </c>
      <c r="B5" t="s">
        <v>648</v>
      </c>
      <c r="C5" s="232"/>
      <c r="D5" s="232"/>
      <c r="E5" s="232"/>
      <c r="F5" s="232"/>
      <c r="G5" s="232"/>
      <c r="H5" s="232"/>
      <c r="I5" s="232"/>
      <c r="J5" s="232"/>
      <c r="K5" s="232"/>
    </row>
    <row r="6" spans="1:11" ht="15" customHeight="1" x14ac:dyDescent="0.25">
      <c r="A6" t="s">
        <v>329</v>
      </c>
      <c r="B6" t="s">
        <v>331</v>
      </c>
      <c r="C6" s="232"/>
      <c r="D6" s="232"/>
      <c r="E6" s="232"/>
      <c r="F6" s="232"/>
      <c r="G6" s="232"/>
      <c r="H6" s="232"/>
      <c r="I6" s="232"/>
      <c r="J6" s="232"/>
      <c r="K6" s="232"/>
    </row>
    <row r="7" spans="1:11" ht="15" customHeight="1" x14ac:dyDescent="0.25">
      <c r="A7" t="s">
        <v>330</v>
      </c>
      <c r="B7" t="s">
        <v>332</v>
      </c>
      <c r="C7" s="232"/>
      <c r="D7" s="232"/>
      <c r="E7" s="232"/>
      <c r="F7" s="232"/>
      <c r="G7" s="232"/>
      <c r="H7" s="232"/>
      <c r="I7" s="232"/>
      <c r="J7" s="232"/>
      <c r="K7" s="232"/>
    </row>
    <row r="8" spans="1:11" ht="17.25" customHeight="1" x14ac:dyDescent="0.25">
      <c r="A8" s="232"/>
      <c r="B8" s="26"/>
      <c r="C8" s="26"/>
      <c r="D8" s="26"/>
      <c r="E8" s="26"/>
      <c r="F8" s="26"/>
      <c r="G8" s="26"/>
      <c r="H8" s="450"/>
      <c r="I8" s="235" t="s">
        <v>6</v>
      </c>
      <c r="J8" s="235"/>
      <c r="K8" s="235" t="s">
        <v>7</v>
      </c>
    </row>
    <row r="9" spans="1:11" ht="40.5" customHeight="1" x14ac:dyDescent="0.25">
      <c r="A9" s="2" t="s">
        <v>205</v>
      </c>
      <c r="B9" s="3" t="s">
        <v>27</v>
      </c>
      <c r="C9" s="3" t="s">
        <v>9</v>
      </c>
      <c r="D9" s="3" t="s">
        <v>1251</v>
      </c>
      <c r="E9" s="209" t="s">
        <v>2</v>
      </c>
      <c r="F9" s="209" t="s">
        <v>3</v>
      </c>
      <c r="G9" s="209" t="s">
        <v>29</v>
      </c>
      <c r="H9" s="452" t="s">
        <v>10</v>
      </c>
      <c r="I9" s="432" t="s">
        <v>11</v>
      </c>
      <c r="J9" s="452" t="s">
        <v>10</v>
      </c>
      <c r="K9" s="451" t="s">
        <v>12</v>
      </c>
    </row>
    <row r="10" spans="1:11" ht="22.5" customHeight="1" x14ac:dyDescent="0.25">
      <c r="A10" s="5" t="s">
        <v>13</v>
      </c>
      <c r="B10" s="614">
        <f>geographicpivot!B4</f>
        <v>2870</v>
      </c>
      <c r="C10" s="614">
        <f>geographicpivot!C4</f>
        <v>2708</v>
      </c>
      <c r="D10" s="614">
        <f>GETPIVOTDATA("Sum of RDS Fulltime",geographicpivot!$A$3,"ReportingLevel","1:LA")</f>
        <v>0</v>
      </c>
      <c r="E10" s="614">
        <f>geographicpivot!D4</f>
        <v>0</v>
      </c>
      <c r="F10" s="614">
        <f>geographicpivot!E4</f>
        <v>0</v>
      </c>
      <c r="G10" s="614">
        <f>geographicpivot!F4</f>
        <v>269</v>
      </c>
      <c r="H10" s="284">
        <f>SUM(B10:G10)</f>
        <v>5847</v>
      </c>
      <c r="I10" s="284">
        <f>SUM(B10:F10)</f>
        <v>5578</v>
      </c>
      <c r="J10" s="293">
        <f>H10/$H$14</f>
        <v>0.77835463258785942</v>
      </c>
      <c r="K10" s="292">
        <f>I10/$I$14</f>
        <v>0.77012287726080353</v>
      </c>
    </row>
    <row r="11" spans="1:11" ht="15" customHeight="1" x14ac:dyDescent="0.25">
      <c r="A11" s="5" t="s">
        <v>14</v>
      </c>
      <c r="B11" s="614">
        <f>geographicpivot!B5</f>
        <v>327</v>
      </c>
      <c r="C11" s="614">
        <f>geographicpivot!C5</f>
        <v>0</v>
      </c>
      <c r="D11" s="614">
        <f>GETPIVOTDATA("Sum of RDS Fulltime",geographicpivot!$A$3,"ReportingLevel","2:LSO")</f>
        <v>55</v>
      </c>
      <c r="E11" s="614">
        <f>geographicpivot!D5</f>
        <v>0</v>
      </c>
      <c r="F11" s="614">
        <f>geographicpivot!E5</f>
        <v>0</v>
      </c>
      <c r="G11" s="614">
        <f>geographicpivot!F5</f>
        <v>0</v>
      </c>
      <c r="H11" s="284">
        <f>SUM(B11:G11)</f>
        <v>382</v>
      </c>
      <c r="I11" s="284">
        <f>SUM(B11:F11)</f>
        <v>382</v>
      </c>
      <c r="J11" s="293">
        <f>H11/$H$14</f>
        <v>5.0851970181043663E-2</v>
      </c>
      <c r="K11" s="293">
        <f>I11/$I$14</f>
        <v>5.2740577108932762E-2</v>
      </c>
    </row>
    <row r="12" spans="1:11" ht="15" customHeight="1" x14ac:dyDescent="0.25">
      <c r="A12" s="5" t="s">
        <v>15</v>
      </c>
      <c r="B12" s="614">
        <f>geographicpivot!B6</f>
        <v>141</v>
      </c>
      <c r="C12" s="614">
        <f>geographicpivot!C6</f>
        <v>0</v>
      </c>
      <c r="D12" s="614">
        <f>GETPIVOTDATA("Sum of RDS Fulltime",geographicpivot!$A$3,"ReportingLevel","3:SDA")</f>
        <v>0</v>
      </c>
      <c r="E12" s="614">
        <f>geographicpivot!D6</f>
        <v>0</v>
      </c>
      <c r="F12" s="614">
        <f>geographicpivot!E6</f>
        <v>0</v>
      </c>
      <c r="G12" s="614">
        <f>geographicpivot!F6</f>
        <v>0</v>
      </c>
      <c r="H12" s="284">
        <f>SUM(B12:G12)</f>
        <v>141</v>
      </c>
      <c r="I12" s="284">
        <f>SUM(B12:F12)</f>
        <v>141</v>
      </c>
      <c r="J12" s="293">
        <f>H12/$H$14</f>
        <v>1.8769968051118212E-2</v>
      </c>
      <c r="K12" s="293">
        <f>I12/$I$14</f>
        <v>1.9467071655391414E-2</v>
      </c>
    </row>
    <row r="13" spans="1:11" ht="15" customHeight="1" x14ac:dyDescent="0.25">
      <c r="A13" s="16" t="s">
        <v>16</v>
      </c>
      <c r="B13" s="614">
        <f>geographicpivot!B7</f>
        <v>84</v>
      </c>
      <c r="C13" s="614">
        <f>geographicpivot!C7</f>
        <v>0</v>
      </c>
      <c r="D13" s="614">
        <f>GETPIVOTDATA("Sum of RDS Fulltime",geographicpivot!$A$3,"ReportingLevel","4:National")</f>
        <v>0</v>
      </c>
      <c r="E13" s="614">
        <f>geographicpivot!D7</f>
        <v>171</v>
      </c>
      <c r="F13" s="642">
        <f>geographicpivot!E7</f>
        <v>887</v>
      </c>
      <c r="G13" s="642">
        <f>geographicpivot!F7</f>
        <v>0</v>
      </c>
      <c r="H13" s="454">
        <f>SUM(B13:G13)</f>
        <v>1142</v>
      </c>
      <c r="I13" s="454">
        <f>SUM(B13:F13)</f>
        <v>1142</v>
      </c>
      <c r="J13" s="455">
        <f>H13/$H$14</f>
        <v>0.15202342917997871</v>
      </c>
      <c r="K13" s="293">
        <f>I13/$I$14</f>
        <v>0.1576694739748723</v>
      </c>
    </row>
    <row r="14" spans="1:11" ht="30" customHeight="1" thickBot="1" x14ac:dyDescent="0.3">
      <c r="A14" s="27" t="s">
        <v>17</v>
      </c>
      <c r="B14" s="288">
        <f t="shared" ref="B14:I14" si="0">SUM(B10:B13)</f>
        <v>3422</v>
      </c>
      <c r="C14" s="288">
        <f t="shared" si="0"/>
        <v>2708</v>
      </c>
      <c r="D14" s="288">
        <f t="shared" si="0"/>
        <v>55</v>
      </c>
      <c r="E14" s="288">
        <f t="shared" si="0"/>
        <v>171</v>
      </c>
      <c r="F14" s="294">
        <f t="shared" si="0"/>
        <v>887</v>
      </c>
      <c r="G14" s="294">
        <f t="shared" si="0"/>
        <v>269</v>
      </c>
      <c r="H14" s="294">
        <f>SUM(H10:H13)</f>
        <v>7512</v>
      </c>
      <c r="I14" s="294">
        <f t="shared" si="0"/>
        <v>7243</v>
      </c>
      <c r="J14" s="453">
        <f>H14/H14</f>
        <v>1</v>
      </c>
      <c r="K14" s="28">
        <f>I14/I14</f>
        <v>1</v>
      </c>
    </row>
    <row r="15" spans="1:11" ht="15" customHeight="1" x14ac:dyDescent="0.25">
      <c r="A15" s="341"/>
    </row>
    <row r="16" spans="1:11" ht="15" customHeight="1" x14ac:dyDescent="0.25">
      <c r="A16" s="353" t="s">
        <v>8</v>
      </c>
    </row>
    <row r="17" spans="1:11" ht="15" customHeight="1" x14ac:dyDescent="0.25">
      <c r="A17" s="572" t="s">
        <v>726</v>
      </c>
    </row>
    <row r="18" spans="1:11" ht="50.45" customHeight="1" x14ac:dyDescent="0.25">
      <c r="A18" s="1009" t="s">
        <v>1103</v>
      </c>
      <c r="B18" s="1009"/>
      <c r="C18" s="1009"/>
      <c r="D18" s="1009"/>
      <c r="E18" s="1009"/>
      <c r="F18" s="1009"/>
      <c r="G18" s="1009"/>
      <c r="H18" s="1009"/>
      <c r="I18" s="1009"/>
      <c r="J18" s="1009"/>
      <c r="K18" s="1009"/>
    </row>
    <row r="19" spans="1:11" ht="15" customHeight="1" x14ac:dyDescent="0.25"/>
    <row r="20" spans="1:11" ht="15" customHeight="1" x14ac:dyDescent="0.25"/>
    <row r="21" spans="1:11" ht="15" customHeight="1" x14ac:dyDescent="0.25">
      <c r="B21" s="232"/>
    </row>
    <row r="22" spans="1:11" ht="15" customHeight="1" x14ac:dyDescent="0.25"/>
    <row r="23" spans="1:11" ht="15" customHeight="1" x14ac:dyDescent="0.25"/>
    <row r="24" spans="1:11" ht="15" customHeight="1" x14ac:dyDescent="0.25"/>
    <row r="25" spans="1:11" ht="15" customHeight="1" x14ac:dyDescent="0.25"/>
    <row r="26" spans="1:11" ht="15" customHeight="1" x14ac:dyDescent="0.25">
      <c r="A26" s="29"/>
      <c r="B26" s="295"/>
      <c r="C26" s="295"/>
      <c r="D26" s="295"/>
      <c r="E26" s="295"/>
      <c r="F26" s="295"/>
      <c r="G26" s="295"/>
      <c r="H26" s="295"/>
      <c r="I26" s="295"/>
      <c r="J26" s="30"/>
      <c r="K26" s="297"/>
    </row>
    <row r="27" spans="1:11" ht="15" customHeight="1" x14ac:dyDescent="0.25"/>
    <row r="28" spans="1:11" ht="15" customHeight="1" x14ac:dyDescent="0.25"/>
    <row r="29" spans="1:11" ht="33" customHeight="1" x14ac:dyDescent="0.25"/>
    <row r="30" spans="1:11" ht="15" customHeight="1" x14ac:dyDescent="0.25"/>
    <row r="31" spans="1:11" ht="15" customHeight="1" x14ac:dyDescent="0.25"/>
    <row r="32" spans="1:11" ht="15" customHeight="1" x14ac:dyDescent="0.25"/>
    <row r="33" ht="15" customHeight="1" x14ac:dyDescent="0.25"/>
    <row r="34" ht="15" customHeight="1" x14ac:dyDescent="0.25"/>
    <row r="35" ht="15" customHeight="1" x14ac:dyDescent="0.25"/>
    <row r="36" ht="15" customHeight="1" x14ac:dyDescent="0.25"/>
    <row r="37" ht="15" customHeight="1" x14ac:dyDescent="0.25"/>
    <row r="40" ht="30" customHeight="1" x14ac:dyDescent="0.25"/>
  </sheetData>
  <sheetProtection algorithmName="SHA-512" hashValue="rcbypKRWUiGHtbRJHjOZWe1gU4kR/XnglK+IQGx0yelfntVeLeKBHq/9wIVOQ8vY8lUOCiPT82bCoyjZ+wolTg==" saltValue="68FUrprYzhlYKE16Wb6Cuw==" spinCount="100000" sheet="1" scenarios="1" formatCells="0" sort="0" autoFilter="0" pivotTables="0"/>
  <mergeCells count="2">
    <mergeCell ref="A18:K18"/>
    <mergeCell ref="A1:I1"/>
  </mergeCells>
  <hyperlinks>
    <hyperlink ref="A2" location="'Table of Contents'!A1" display="Back to Table of Contents" xr:uid="{00000000-0004-0000-2300-000000000000}"/>
  </hyperlinks>
  <pageMargins left="0.70866141732283472" right="0.70866141732283472" top="0.74803149606299213" bottom="0.74803149606299213" header="0.31496062992125984" footer="0.31496062992125984"/>
  <pageSetup paperSize="9" scale="59" orientation="portrait" r:id="rId1"/>
  <drawing r:id="rId2"/>
  <extLst>
    <ext xmlns:x14="http://schemas.microsoft.com/office/spreadsheetml/2009/9/main" uri="{A8765BA9-456A-4dab-B4F3-ACF838C121DE}">
      <x14:slicerList>
        <x14:slicer r:id="rId3"/>
      </x14:slicerList>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39997558519241921"/>
  </sheetPr>
  <dimension ref="A1:G62"/>
  <sheetViews>
    <sheetView zoomScale="90" zoomScaleNormal="90" workbookViewId="0">
      <selection activeCell="B12" sqref="B12"/>
    </sheetView>
  </sheetViews>
  <sheetFormatPr defaultRowHeight="15" x14ac:dyDescent="0.25"/>
  <cols>
    <col min="1" max="1" width="59.42578125" bestFit="1" customWidth="1"/>
    <col min="2" max="2" width="13.42578125" bestFit="1" customWidth="1"/>
    <col min="3" max="3" width="14" bestFit="1" customWidth="1"/>
    <col min="4" max="4" width="17.85546875" bestFit="1" customWidth="1"/>
    <col min="5" max="5" width="26" bestFit="1" customWidth="1"/>
    <col min="6" max="6" width="15.85546875" bestFit="1" customWidth="1"/>
    <col min="7" max="7" width="27.5703125" bestFit="1" customWidth="1"/>
  </cols>
  <sheetData>
    <row r="1" spans="1:7" x14ac:dyDescent="0.25">
      <c r="A1" s="394" t="s">
        <v>1</v>
      </c>
      <c r="B1" t="s">
        <v>1108</v>
      </c>
    </row>
    <row r="3" spans="1:7" x14ac:dyDescent="0.25">
      <c r="A3" s="394" t="s">
        <v>231</v>
      </c>
      <c r="B3" t="s">
        <v>246</v>
      </c>
      <c r="C3" t="s">
        <v>247</v>
      </c>
      <c r="D3" t="s">
        <v>772</v>
      </c>
      <c r="E3" t="s">
        <v>978</v>
      </c>
      <c r="F3" t="s">
        <v>316</v>
      </c>
      <c r="G3" t="s">
        <v>977</v>
      </c>
    </row>
    <row r="4" spans="1:7" x14ac:dyDescent="0.25">
      <c r="A4" s="395" t="s">
        <v>232</v>
      </c>
    </row>
    <row r="5" spans="1:7" x14ac:dyDescent="0.25">
      <c r="A5" s="396" t="s">
        <v>31</v>
      </c>
      <c r="B5">
        <v>0</v>
      </c>
      <c r="C5">
        <v>0</v>
      </c>
      <c r="D5">
        <v>0</v>
      </c>
      <c r="E5">
        <v>10</v>
      </c>
      <c r="F5">
        <v>0</v>
      </c>
      <c r="G5">
        <v>162</v>
      </c>
    </row>
    <row r="6" spans="1:7" x14ac:dyDescent="0.25">
      <c r="A6" s="396" t="s">
        <v>32</v>
      </c>
      <c r="B6">
        <v>0</v>
      </c>
      <c r="C6">
        <v>0</v>
      </c>
      <c r="D6">
        <v>0</v>
      </c>
      <c r="E6">
        <v>266</v>
      </c>
      <c r="F6">
        <v>0</v>
      </c>
      <c r="G6">
        <v>28</v>
      </c>
    </row>
    <row r="7" spans="1:7" x14ac:dyDescent="0.25">
      <c r="A7" s="396" t="s">
        <v>33</v>
      </c>
      <c r="B7">
        <v>0</v>
      </c>
      <c r="C7">
        <v>0</v>
      </c>
      <c r="D7">
        <v>0</v>
      </c>
      <c r="E7">
        <v>100</v>
      </c>
      <c r="F7">
        <v>0</v>
      </c>
      <c r="G7">
        <v>27</v>
      </c>
    </row>
    <row r="8" spans="1:7" x14ac:dyDescent="0.25">
      <c r="A8" s="396" t="s">
        <v>34</v>
      </c>
      <c r="B8">
        <v>0</v>
      </c>
      <c r="C8">
        <v>0</v>
      </c>
      <c r="D8">
        <v>0</v>
      </c>
      <c r="E8">
        <v>173</v>
      </c>
      <c r="F8">
        <v>172</v>
      </c>
      <c r="G8">
        <v>55</v>
      </c>
    </row>
    <row r="9" spans="1:7" x14ac:dyDescent="0.25">
      <c r="A9" s="396" t="s">
        <v>243</v>
      </c>
      <c r="B9">
        <v>0</v>
      </c>
      <c r="C9">
        <v>0</v>
      </c>
      <c r="D9">
        <v>0</v>
      </c>
      <c r="E9">
        <v>9</v>
      </c>
      <c r="F9">
        <v>0</v>
      </c>
      <c r="G9">
        <v>293</v>
      </c>
    </row>
    <row r="10" spans="1:7" x14ac:dyDescent="0.25">
      <c r="A10" s="396" t="s">
        <v>35</v>
      </c>
      <c r="B10">
        <v>0</v>
      </c>
      <c r="C10">
        <v>0</v>
      </c>
      <c r="D10">
        <v>0</v>
      </c>
      <c r="E10">
        <v>23</v>
      </c>
      <c r="F10">
        <v>0</v>
      </c>
      <c r="G10">
        <v>27</v>
      </c>
    </row>
    <row r="11" spans="1:7" x14ac:dyDescent="0.25">
      <c r="A11" s="396" t="s">
        <v>36</v>
      </c>
      <c r="B11">
        <v>0</v>
      </c>
      <c r="C11">
        <v>0</v>
      </c>
      <c r="D11">
        <v>0</v>
      </c>
      <c r="E11">
        <v>179</v>
      </c>
      <c r="F11">
        <v>7</v>
      </c>
      <c r="G11">
        <v>53</v>
      </c>
    </row>
    <row r="12" spans="1:7" x14ac:dyDescent="0.25">
      <c r="A12" s="396" t="s">
        <v>37</v>
      </c>
      <c r="B12">
        <v>0</v>
      </c>
      <c r="C12">
        <v>0</v>
      </c>
      <c r="D12">
        <v>0</v>
      </c>
      <c r="E12">
        <v>14</v>
      </c>
      <c r="F12">
        <v>0</v>
      </c>
      <c r="G12">
        <v>168</v>
      </c>
    </row>
    <row r="13" spans="1:7" x14ac:dyDescent="0.25">
      <c r="A13" s="396" t="s">
        <v>38</v>
      </c>
      <c r="B13">
        <v>0</v>
      </c>
      <c r="C13">
        <v>0</v>
      </c>
      <c r="D13">
        <v>0</v>
      </c>
      <c r="E13">
        <v>71</v>
      </c>
      <c r="F13">
        <v>0</v>
      </c>
      <c r="G13">
        <v>48</v>
      </c>
    </row>
    <row r="14" spans="1:7" x14ac:dyDescent="0.25">
      <c r="A14" s="396" t="s">
        <v>39</v>
      </c>
      <c r="B14">
        <v>0</v>
      </c>
      <c r="C14">
        <v>0</v>
      </c>
      <c r="D14">
        <v>0</v>
      </c>
      <c r="E14">
        <v>0</v>
      </c>
      <c r="F14">
        <v>0</v>
      </c>
      <c r="G14">
        <v>76</v>
      </c>
    </row>
    <row r="15" spans="1:7" x14ac:dyDescent="0.25">
      <c r="A15" s="396" t="s">
        <v>40</v>
      </c>
      <c r="B15">
        <v>0</v>
      </c>
      <c r="C15">
        <v>0</v>
      </c>
      <c r="D15">
        <v>0</v>
      </c>
      <c r="E15">
        <v>56</v>
      </c>
      <c r="F15">
        <v>0</v>
      </c>
      <c r="G15">
        <v>25</v>
      </c>
    </row>
    <row r="16" spans="1:7" x14ac:dyDescent="0.25">
      <c r="A16" s="396" t="s">
        <v>41</v>
      </c>
      <c r="B16">
        <v>0</v>
      </c>
      <c r="C16">
        <v>0</v>
      </c>
      <c r="D16">
        <v>0</v>
      </c>
      <c r="E16">
        <v>0</v>
      </c>
      <c r="F16">
        <v>0</v>
      </c>
      <c r="G16">
        <v>53</v>
      </c>
    </row>
    <row r="17" spans="1:7" x14ac:dyDescent="0.25">
      <c r="A17" s="396" t="s">
        <v>42</v>
      </c>
      <c r="B17">
        <v>0</v>
      </c>
      <c r="C17">
        <v>0</v>
      </c>
      <c r="D17">
        <v>0</v>
      </c>
      <c r="E17">
        <v>61</v>
      </c>
      <c r="F17">
        <v>0</v>
      </c>
      <c r="G17">
        <v>91</v>
      </c>
    </row>
    <row r="18" spans="1:7" x14ac:dyDescent="0.25">
      <c r="A18" s="396" t="s">
        <v>43</v>
      </c>
      <c r="B18">
        <v>0</v>
      </c>
      <c r="C18">
        <v>0</v>
      </c>
      <c r="D18">
        <v>0</v>
      </c>
      <c r="E18">
        <v>104</v>
      </c>
      <c r="F18">
        <v>0</v>
      </c>
      <c r="G18">
        <v>216</v>
      </c>
    </row>
    <row r="19" spans="1:7" x14ac:dyDescent="0.25">
      <c r="A19" s="396" t="s">
        <v>117</v>
      </c>
      <c r="B19">
        <v>0</v>
      </c>
      <c r="C19">
        <v>0</v>
      </c>
      <c r="D19">
        <v>0</v>
      </c>
      <c r="E19">
        <v>0</v>
      </c>
      <c r="F19">
        <v>0</v>
      </c>
      <c r="G19">
        <v>463</v>
      </c>
    </row>
    <row r="20" spans="1:7" x14ac:dyDescent="0.25">
      <c r="A20" s="396" t="s">
        <v>70</v>
      </c>
      <c r="B20">
        <v>0</v>
      </c>
      <c r="C20">
        <v>0</v>
      </c>
      <c r="D20">
        <v>0</v>
      </c>
      <c r="E20">
        <v>464</v>
      </c>
      <c r="F20">
        <v>47</v>
      </c>
      <c r="G20">
        <v>80</v>
      </c>
    </row>
    <row r="21" spans="1:7" x14ac:dyDescent="0.25">
      <c r="A21" s="396" t="s">
        <v>45</v>
      </c>
      <c r="B21">
        <v>0</v>
      </c>
      <c r="C21">
        <v>0</v>
      </c>
      <c r="D21">
        <v>0</v>
      </c>
      <c r="E21">
        <v>35</v>
      </c>
      <c r="F21">
        <v>0</v>
      </c>
      <c r="G21">
        <v>63</v>
      </c>
    </row>
    <row r="22" spans="1:7" x14ac:dyDescent="0.25">
      <c r="A22" s="396" t="s">
        <v>46</v>
      </c>
      <c r="B22">
        <v>0</v>
      </c>
      <c r="C22">
        <v>0</v>
      </c>
      <c r="D22">
        <v>0</v>
      </c>
      <c r="E22">
        <v>13</v>
      </c>
      <c r="F22">
        <v>0</v>
      </c>
      <c r="G22">
        <v>29</v>
      </c>
    </row>
    <row r="23" spans="1:7" x14ac:dyDescent="0.25">
      <c r="A23" s="396" t="s">
        <v>47</v>
      </c>
      <c r="B23">
        <v>0</v>
      </c>
      <c r="C23">
        <v>0</v>
      </c>
      <c r="D23">
        <v>0</v>
      </c>
      <c r="E23">
        <v>116</v>
      </c>
      <c r="F23">
        <v>3</v>
      </c>
      <c r="G23">
        <v>30</v>
      </c>
    </row>
    <row r="24" spans="1:7" x14ac:dyDescent="0.25">
      <c r="A24" s="396" t="s">
        <v>48</v>
      </c>
      <c r="B24">
        <v>0</v>
      </c>
      <c r="C24">
        <v>0</v>
      </c>
      <c r="D24">
        <v>0</v>
      </c>
      <c r="E24">
        <v>132</v>
      </c>
      <c r="F24">
        <v>0</v>
      </c>
      <c r="G24">
        <v>3</v>
      </c>
    </row>
    <row r="25" spans="1:7" x14ac:dyDescent="0.25">
      <c r="A25" s="396" t="s">
        <v>49</v>
      </c>
      <c r="B25">
        <v>0</v>
      </c>
      <c r="C25">
        <v>0</v>
      </c>
      <c r="D25">
        <v>0</v>
      </c>
      <c r="E25">
        <v>98</v>
      </c>
      <c r="F25">
        <v>19</v>
      </c>
      <c r="G25">
        <v>85</v>
      </c>
    </row>
    <row r="26" spans="1:7" x14ac:dyDescent="0.25">
      <c r="A26" s="396" t="s">
        <v>50</v>
      </c>
      <c r="B26">
        <v>0</v>
      </c>
      <c r="C26">
        <v>0</v>
      </c>
      <c r="D26">
        <v>0</v>
      </c>
      <c r="E26">
        <v>29</v>
      </c>
      <c r="F26">
        <v>0</v>
      </c>
      <c r="G26">
        <v>169</v>
      </c>
    </row>
    <row r="27" spans="1:7" x14ac:dyDescent="0.25">
      <c r="A27" s="396" t="s">
        <v>51</v>
      </c>
      <c r="B27">
        <v>0</v>
      </c>
      <c r="C27">
        <v>0</v>
      </c>
      <c r="D27">
        <v>0</v>
      </c>
      <c r="E27">
        <v>112</v>
      </c>
      <c r="F27">
        <v>0</v>
      </c>
      <c r="G27">
        <v>0</v>
      </c>
    </row>
    <row r="28" spans="1:7" x14ac:dyDescent="0.25">
      <c r="A28" s="396" t="s">
        <v>52</v>
      </c>
      <c r="B28">
        <v>0</v>
      </c>
      <c r="C28">
        <v>0</v>
      </c>
      <c r="D28">
        <v>0</v>
      </c>
      <c r="E28">
        <v>117</v>
      </c>
      <c r="F28">
        <v>21</v>
      </c>
      <c r="G28">
        <v>66</v>
      </c>
    </row>
    <row r="29" spans="1:7" x14ac:dyDescent="0.25">
      <c r="A29" s="396" t="s">
        <v>53</v>
      </c>
      <c r="B29">
        <v>0</v>
      </c>
      <c r="C29">
        <v>0</v>
      </c>
      <c r="D29">
        <v>0</v>
      </c>
      <c r="E29">
        <v>11</v>
      </c>
      <c r="F29">
        <v>0</v>
      </c>
      <c r="G29">
        <v>102</v>
      </c>
    </row>
    <row r="30" spans="1:7" x14ac:dyDescent="0.25">
      <c r="A30" s="396" t="s">
        <v>54</v>
      </c>
      <c r="B30">
        <v>0</v>
      </c>
      <c r="C30">
        <v>0</v>
      </c>
      <c r="D30">
        <v>0</v>
      </c>
      <c r="E30">
        <v>137</v>
      </c>
      <c r="F30">
        <v>0</v>
      </c>
      <c r="G30">
        <v>57</v>
      </c>
    </row>
    <row r="31" spans="1:7" x14ac:dyDescent="0.25">
      <c r="A31" s="396" t="s">
        <v>55</v>
      </c>
      <c r="B31">
        <v>0</v>
      </c>
      <c r="C31">
        <v>0</v>
      </c>
      <c r="D31">
        <v>0</v>
      </c>
      <c r="E31">
        <v>114</v>
      </c>
      <c r="F31">
        <v>0</v>
      </c>
      <c r="G31">
        <v>1</v>
      </c>
    </row>
    <row r="32" spans="1:7" x14ac:dyDescent="0.25">
      <c r="A32" s="396" t="s">
        <v>56</v>
      </c>
      <c r="B32">
        <v>0</v>
      </c>
      <c r="C32">
        <v>0</v>
      </c>
      <c r="D32">
        <v>0</v>
      </c>
      <c r="E32">
        <v>46</v>
      </c>
      <c r="F32">
        <v>0</v>
      </c>
      <c r="G32">
        <v>52</v>
      </c>
    </row>
    <row r="33" spans="1:7" x14ac:dyDescent="0.25">
      <c r="A33" s="396" t="s">
        <v>57</v>
      </c>
      <c r="B33">
        <v>0</v>
      </c>
      <c r="C33">
        <v>0</v>
      </c>
      <c r="D33">
        <v>0</v>
      </c>
      <c r="E33">
        <v>73</v>
      </c>
      <c r="F33">
        <v>0</v>
      </c>
      <c r="G33">
        <v>161</v>
      </c>
    </row>
    <row r="34" spans="1:7" x14ac:dyDescent="0.25">
      <c r="A34" s="396" t="s">
        <v>58</v>
      </c>
      <c r="B34">
        <v>0</v>
      </c>
      <c r="C34">
        <v>0</v>
      </c>
      <c r="D34">
        <v>0</v>
      </c>
      <c r="E34">
        <v>68</v>
      </c>
      <c r="F34">
        <v>0</v>
      </c>
      <c r="G34">
        <v>49</v>
      </c>
    </row>
    <row r="35" spans="1:7" x14ac:dyDescent="0.25">
      <c r="A35" s="396" t="s">
        <v>59</v>
      </c>
      <c r="B35">
        <v>0</v>
      </c>
      <c r="C35">
        <v>0</v>
      </c>
      <c r="D35">
        <v>0</v>
      </c>
      <c r="E35">
        <v>21</v>
      </c>
      <c r="F35">
        <v>0</v>
      </c>
      <c r="G35">
        <v>75</v>
      </c>
    </row>
    <row r="36" spans="1:7" x14ac:dyDescent="0.25">
      <c r="A36" s="396" t="s">
        <v>60</v>
      </c>
      <c r="B36">
        <v>0</v>
      </c>
      <c r="C36">
        <v>0</v>
      </c>
      <c r="D36">
        <v>0</v>
      </c>
      <c r="E36">
        <v>56</v>
      </c>
      <c r="F36">
        <v>0</v>
      </c>
      <c r="G36">
        <v>63</v>
      </c>
    </row>
    <row r="37" spans="1:7" x14ac:dyDescent="0.25">
      <c r="A37" s="395" t="s">
        <v>832</v>
      </c>
      <c r="B37">
        <v>0</v>
      </c>
      <c r="C37">
        <v>0</v>
      </c>
      <c r="D37">
        <v>0</v>
      </c>
      <c r="E37">
        <v>2708</v>
      </c>
      <c r="F37">
        <v>269</v>
      </c>
      <c r="G37">
        <v>2870</v>
      </c>
    </row>
    <row r="38" spans="1:7" x14ac:dyDescent="0.25">
      <c r="A38" s="395" t="s">
        <v>233</v>
      </c>
    </row>
    <row r="39" spans="1:7" x14ac:dyDescent="0.25">
      <c r="A39" s="396" t="s">
        <v>64</v>
      </c>
      <c r="B39">
        <v>0</v>
      </c>
      <c r="C39">
        <v>0</v>
      </c>
      <c r="D39">
        <v>6</v>
      </c>
      <c r="E39">
        <v>0</v>
      </c>
      <c r="F39">
        <v>0</v>
      </c>
      <c r="G39">
        <v>28</v>
      </c>
    </row>
    <row r="40" spans="1:7" x14ac:dyDescent="0.25">
      <c r="A40" s="396" t="s">
        <v>36</v>
      </c>
      <c r="B40">
        <v>0</v>
      </c>
      <c r="C40">
        <v>0</v>
      </c>
      <c r="D40">
        <v>4</v>
      </c>
      <c r="E40">
        <v>0</v>
      </c>
      <c r="F40">
        <v>0</v>
      </c>
      <c r="G40">
        <v>22</v>
      </c>
    </row>
    <row r="41" spans="1:7" x14ac:dyDescent="0.25">
      <c r="A41" s="396" t="s">
        <v>65</v>
      </c>
      <c r="B41">
        <v>0</v>
      </c>
      <c r="C41">
        <v>0</v>
      </c>
      <c r="D41">
        <v>3</v>
      </c>
      <c r="E41">
        <v>0</v>
      </c>
      <c r="F41">
        <v>0</v>
      </c>
      <c r="G41">
        <v>23</v>
      </c>
    </row>
    <row r="42" spans="1:7" x14ac:dyDescent="0.25">
      <c r="A42" s="396" t="s">
        <v>66</v>
      </c>
      <c r="B42">
        <v>0</v>
      </c>
      <c r="C42">
        <v>0</v>
      </c>
      <c r="D42">
        <v>4</v>
      </c>
      <c r="E42">
        <v>0</v>
      </c>
      <c r="F42">
        <v>0</v>
      </c>
      <c r="G42">
        <v>25</v>
      </c>
    </row>
    <row r="43" spans="1:7" x14ac:dyDescent="0.25">
      <c r="A43" s="396" t="s">
        <v>67</v>
      </c>
      <c r="B43">
        <v>0</v>
      </c>
      <c r="C43">
        <v>0</v>
      </c>
      <c r="D43">
        <v>3</v>
      </c>
      <c r="E43">
        <v>0</v>
      </c>
      <c r="F43">
        <v>0</v>
      </c>
      <c r="G43">
        <v>26</v>
      </c>
    </row>
    <row r="44" spans="1:7" x14ac:dyDescent="0.25">
      <c r="A44" s="396" t="s">
        <v>68</v>
      </c>
      <c r="B44">
        <v>0</v>
      </c>
      <c r="C44">
        <v>0</v>
      </c>
      <c r="D44">
        <v>0</v>
      </c>
      <c r="E44">
        <v>0</v>
      </c>
      <c r="F44">
        <v>0</v>
      </c>
      <c r="G44">
        <v>18</v>
      </c>
    </row>
    <row r="45" spans="1:7" x14ac:dyDescent="0.25">
      <c r="A45" s="396" t="s">
        <v>165</v>
      </c>
      <c r="B45">
        <v>0</v>
      </c>
      <c r="C45">
        <v>0</v>
      </c>
      <c r="D45">
        <v>0</v>
      </c>
      <c r="E45">
        <v>0</v>
      </c>
      <c r="F45">
        <v>0</v>
      </c>
      <c r="G45">
        <v>27</v>
      </c>
    </row>
    <row r="46" spans="1:7" x14ac:dyDescent="0.25">
      <c r="A46" s="396" t="s">
        <v>69</v>
      </c>
      <c r="B46">
        <v>0</v>
      </c>
      <c r="C46">
        <v>0</v>
      </c>
      <c r="D46">
        <v>2</v>
      </c>
      <c r="E46">
        <v>0</v>
      </c>
      <c r="F46">
        <v>0</v>
      </c>
      <c r="G46">
        <v>19</v>
      </c>
    </row>
    <row r="47" spans="1:7" x14ac:dyDescent="0.25">
      <c r="A47" s="396" t="s">
        <v>117</v>
      </c>
      <c r="B47">
        <v>0</v>
      </c>
      <c r="C47">
        <v>0</v>
      </c>
      <c r="D47">
        <v>0</v>
      </c>
      <c r="E47">
        <v>0</v>
      </c>
      <c r="F47">
        <v>0</v>
      </c>
      <c r="G47">
        <v>23</v>
      </c>
    </row>
    <row r="48" spans="1:7" x14ac:dyDescent="0.25">
      <c r="A48" s="396" t="s">
        <v>70</v>
      </c>
      <c r="B48">
        <v>0</v>
      </c>
      <c r="C48">
        <v>0</v>
      </c>
      <c r="D48">
        <v>11</v>
      </c>
      <c r="E48">
        <v>0</v>
      </c>
      <c r="F48">
        <v>0</v>
      </c>
      <c r="G48">
        <v>23</v>
      </c>
    </row>
    <row r="49" spans="1:7" x14ac:dyDescent="0.25">
      <c r="A49" s="396" t="s">
        <v>762</v>
      </c>
      <c r="B49">
        <v>0</v>
      </c>
      <c r="C49">
        <v>0</v>
      </c>
      <c r="D49">
        <v>4</v>
      </c>
      <c r="E49">
        <v>0</v>
      </c>
      <c r="F49">
        <v>0</v>
      </c>
      <c r="G49">
        <v>33</v>
      </c>
    </row>
    <row r="50" spans="1:7" x14ac:dyDescent="0.25">
      <c r="A50" s="396" t="s">
        <v>71</v>
      </c>
      <c r="B50">
        <v>0</v>
      </c>
      <c r="C50">
        <v>0</v>
      </c>
      <c r="D50">
        <v>7</v>
      </c>
      <c r="E50">
        <v>0</v>
      </c>
      <c r="F50">
        <v>0</v>
      </c>
      <c r="G50">
        <v>11</v>
      </c>
    </row>
    <row r="51" spans="1:7" x14ac:dyDescent="0.25">
      <c r="A51" s="396" t="s">
        <v>1038</v>
      </c>
      <c r="B51">
        <v>0</v>
      </c>
      <c r="C51">
        <v>0</v>
      </c>
      <c r="D51">
        <v>9</v>
      </c>
      <c r="E51">
        <v>0</v>
      </c>
      <c r="F51">
        <v>0</v>
      </c>
      <c r="G51">
        <v>22</v>
      </c>
    </row>
    <row r="52" spans="1:7" x14ac:dyDescent="0.25">
      <c r="A52" s="396" t="s">
        <v>1040</v>
      </c>
      <c r="B52">
        <v>0</v>
      </c>
      <c r="C52">
        <v>0</v>
      </c>
      <c r="D52">
        <v>2</v>
      </c>
      <c r="E52">
        <v>0</v>
      </c>
      <c r="F52">
        <v>0</v>
      </c>
      <c r="G52">
        <v>27</v>
      </c>
    </row>
    <row r="53" spans="1:7" x14ac:dyDescent="0.25">
      <c r="A53" s="395" t="s">
        <v>833</v>
      </c>
      <c r="B53">
        <v>0</v>
      </c>
      <c r="C53">
        <v>0</v>
      </c>
      <c r="D53">
        <v>55</v>
      </c>
      <c r="E53">
        <v>0</v>
      </c>
      <c r="F53">
        <v>0</v>
      </c>
      <c r="G53">
        <v>327</v>
      </c>
    </row>
    <row r="54" spans="1:7" x14ac:dyDescent="0.25">
      <c r="A54" s="395" t="s">
        <v>234</v>
      </c>
    </row>
    <row r="55" spans="1:7" x14ac:dyDescent="0.25">
      <c r="A55" s="396" t="s">
        <v>164</v>
      </c>
      <c r="B55">
        <v>0</v>
      </c>
      <c r="C55">
        <v>0</v>
      </c>
      <c r="D55">
        <v>0</v>
      </c>
      <c r="E55">
        <v>0</v>
      </c>
      <c r="F55">
        <v>0</v>
      </c>
      <c r="G55">
        <v>29</v>
      </c>
    </row>
    <row r="56" spans="1:7" x14ac:dyDescent="0.25">
      <c r="A56" s="396" t="s">
        <v>162</v>
      </c>
      <c r="B56">
        <v>0</v>
      </c>
      <c r="C56">
        <v>0</v>
      </c>
      <c r="D56">
        <v>0</v>
      </c>
      <c r="E56">
        <v>0</v>
      </c>
      <c r="F56">
        <v>0</v>
      </c>
      <c r="G56">
        <v>52</v>
      </c>
    </row>
    <row r="57" spans="1:7" x14ac:dyDescent="0.25">
      <c r="A57" s="396" t="s">
        <v>163</v>
      </c>
      <c r="B57">
        <v>0</v>
      </c>
      <c r="C57">
        <v>0</v>
      </c>
      <c r="D57">
        <v>0</v>
      </c>
      <c r="E57">
        <v>0</v>
      </c>
      <c r="F57">
        <v>0</v>
      </c>
      <c r="G57">
        <v>60</v>
      </c>
    </row>
    <row r="58" spans="1:7" x14ac:dyDescent="0.25">
      <c r="A58" s="395" t="s">
        <v>834</v>
      </c>
      <c r="B58">
        <v>0</v>
      </c>
      <c r="C58">
        <v>0</v>
      </c>
      <c r="D58">
        <v>0</v>
      </c>
      <c r="E58">
        <v>0</v>
      </c>
      <c r="F58">
        <v>0</v>
      </c>
      <c r="G58">
        <v>141</v>
      </c>
    </row>
    <row r="59" spans="1:7" x14ac:dyDescent="0.25">
      <c r="A59" s="395" t="s">
        <v>235</v>
      </c>
    </row>
    <row r="60" spans="1:7" x14ac:dyDescent="0.25">
      <c r="A60" s="396" t="s">
        <v>244</v>
      </c>
      <c r="B60">
        <v>171</v>
      </c>
      <c r="C60">
        <v>887</v>
      </c>
      <c r="D60">
        <v>0</v>
      </c>
      <c r="E60">
        <v>0</v>
      </c>
      <c r="F60">
        <v>0</v>
      </c>
      <c r="G60">
        <v>84</v>
      </c>
    </row>
    <row r="61" spans="1:7" x14ac:dyDescent="0.25">
      <c r="A61" s="395" t="s">
        <v>835</v>
      </c>
      <c r="B61">
        <v>171</v>
      </c>
      <c r="C61">
        <v>887</v>
      </c>
      <c r="D61">
        <v>0</v>
      </c>
      <c r="E61">
        <v>0</v>
      </c>
      <c r="F61">
        <v>0</v>
      </c>
      <c r="G61">
        <v>84</v>
      </c>
    </row>
    <row r="62" spans="1:7" x14ac:dyDescent="0.25">
      <c r="A62" s="395" t="s">
        <v>236</v>
      </c>
      <c r="B62">
        <v>171</v>
      </c>
      <c r="C62">
        <v>887</v>
      </c>
      <c r="D62">
        <v>55</v>
      </c>
      <c r="E62">
        <v>2708</v>
      </c>
      <c r="F62">
        <v>269</v>
      </c>
      <c r="G62">
        <v>3422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39997558519241921"/>
  </sheetPr>
  <dimension ref="A1:K579"/>
  <sheetViews>
    <sheetView workbookViewId="0">
      <selection activeCell="C67" sqref="C67"/>
    </sheetView>
  </sheetViews>
  <sheetFormatPr defaultRowHeight="15" x14ac:dyDescent="0.25"/>
  <cols>
    <col min="1" max="1" width="7.42578125" bestFit="1" customWidth="1"/>
    <col min="2" max="2" width="15.5703125" bestFit="1" customWidth="1"/>
    <col min="3" max="3" width="54.42578125" bestFit="1" customWidth="1"/>
    <col min="4" max="4" width="9.7109375" bestFit="1" customWidth="1"/>
    <col min="5" max="5" width="7.42578125" bestFit="1" customWidth="1"/>
    <col min="6" max="6" width="9.42578125" bestFit="1" customWidth="1"/>
    <col min="7" max="7" width="13.5703125" bestFit="1" customWidth="1"/>
    <col min="8" max="8" width="21.5703125" bestFit="1" customWidth="1"/>
    <col min="9" max="9" width="9.85546875" bestFit="1" customWidth="1"/>
    <col min="10" max="10" width="11.42578125" bestFit="1" customWidth="1"/>
    <col min="11" max="11" width="23" bestFit="1" customWidth="1"/>
    <col min="12" max="12" width="12.85546875" bestFit="1" customWidth="1"/>
    <col min="13" max="13" width="9.85546875" bestFit="1" customWidth="1"/>
    <col min="14" max="15" width="5.85546875" bestFit="1" customWidth="1"/>
  </cols>
  <sheetData>
    <row r="1" spans="1:11" x14ac:dyDescent="0.25">
      <c r="A1" t="s">
        <v>1</v>
      </c>
      <c r="B1" t="s">
        <v>982</v>
      </c>
      <c r="C1" t="s">
        <v>983</v>
      </c>
      <c r="D1" t="s">
        <v>242</v>
      </c>
      <c r="E1" t="s">
        <v>26</v>
      </c>
      <c r="F1" t="s">
        <v>2</v>
      </c>
      <c r="G1" t="s">
        <v>761</v>
      </c>
      <c r="H1" t="s">
        <v>28</v>
      </c>
      <c r="I1" t="s">
        <v>3</v>
      </c>
      <c r="J1" t="s">
        <v>29</v>
      </c>
      <c r="K1" t="s">
        <v>27</v>
      </c>
    </row>
    <row r="2" spans="1:11" hidden="1" x14ac:dyDescent="0.25">
      <c r="A2" t="s">
        <v>917</v>
      </c>
      <c r="B2" t="s">
        <v>232</v>
      </c>
      <c r="C2" t="s">
        <v>46</v>
      </c>
      <c r="D2" t="s">
        <v>361</v>
      </c>
      <c r="E2">
        <v>38</v>
      </c>
      <c r="F2">
        <v>0</v>
      </c>
      <c r="G2">
        <v>0</v>
      </c>
      <c r="H2">
        <v>11</v>
      </c>
      <c r="I2">
        <v>0</v>
      </c>
      <c r="J2">
        <v>0</v>
      </c>
      <c r="K2">
        <v>27</v>
      </c>
    </row>
    <row r="3" spans="1:11" x14ac:dyDescent="0.25">
      <c r="A3" t="s">
        <v>1108</v>
      </c>
      <c r="B3" t="s">
        <v>232</v>
      </c>
      <c r="C3" t="s">
        <v>38</v>
      </c>
      <c r="E3">
        <v>119</v>
      </c>
      <c r="F3">
        <v>0</v>
      </c>
      <c r="G3">
        <v>0</v>
      </c>
      <c r="H3">
        <v>71</v>
      </c>
      <c r="I3">
        <v>0</v>
      </c>
      <c r="J3">
        <v>0</v>
      </c>
      <c r="K3">
        <v>48</v>
      </c>
    </row>
    <row r="4" spans="1:11" hidden="1" x14ac:dyDescent="0.25">
      <c r="A4" t="s">
        <v>760</v>
      </c>
      <c r="B4" t="s">
        <v>232</v>
      </c>
      <c r="C4" t="s">
        <v>45</v>
      </c>
      <c r="D4" t="s">
        <v>362</v>
      </c>
      <c r="E4">
        <v>112</v>
      </c>
      <c r="F4">
        <v>0</v>
      </c>
      <c r="G4">
        <v>0</v>
      </c>
      <c r="H4">
        <v>42</v>
      </c>
      <c r="I4">
        <v>0</v>
      </c>
      <c r="J4">
        <v>0</v>
      </c>
      <c r="K4">
        <v>70</v>
      </c>
    </row>
    <row r="5" spans="1:11" hidden="1" x14ac:dyDescent="0.25">
      <c r="A5" t="s">
        <v>760</v>
      </c>
      <c r="B5" t="s">
        <v>233</v>
      </c>
      <c r="C5" t="s">
        <v>68</v>
      </c>
      <c r="D5" t="s">
        <v>362</v>
      </c>
      <c r="E5">
        <v>13</v>
      </c>
      <c r="F5">
        <v>0</v>
      </c>
      <c r="G5">
        <v>0</v>
      </c>
      <c r="H5">
        <v>0</v>
      </c>
      <c r="I5">
        <v>0</v>
      </c>
      <c r="J5">
        <v>0</v>
      </c>
      <c r="K5">
        <v>13</v>
      </c>
    </row>
    <row r="6" spans="1:11" hidden="1" x14ac:dyDescent="0.25">
      <c r="A6" t="s">
        <v>917</v>
      </c>
      <c r="B6" t="s">
        <v>232</v>
      </c>
      <c r="C6" t="s">
        <v>55</v>
      </c>
      <c r="D6" t="s">
        <v>363</v>
      </c>
      <c r="E6">
        <v>132</v>
      </c>
      <c r="F6">
        <v>0</v>
      </c>
      <c r="G6">
        <v>0</v>
      </c>
      <c r="H6">
        <v>132</v>
      </c>
      <c r="I6">
        <v>0</v>
      </c>
      <c r="J6">
        <v>0</v>
      </c>
      <c r="K6">
        <v>0</v>
      </c>
    </row>
    <row r="7" spans="1:11" hidden="1" x14ac:dyDescent="0.25">
      <c r="A7" t="s">
        <v>760</v>
      </c>
      <c r="B7" t="s">
        <v>232</v>
      </c>
      <c r="C7" t="s">
        <v>59</v>
      </c>
      <c r="D7" t="s">
        <v>362</v>
      </c>
      <c r="E7">
        <v>93</v>
      </c>
      <c r="F7">
        <v>0</v>
      </c>
      <c r="G7">
        <v>0</v>
      </c>
      <c r="H7">
        <v>20</v>
      </c>
      <c r="I7">
        <v>0</v>
      </c>
      <c r="J7">
        <v>0</v>
      </c>
      <c r="K7">
        <v>73</v>
      </c>
    </row>
    <row r="8" spans="1:11" x14ac:dyDescent="0.25">
      <c r="A8" t="s">
        <v>1108</v>
      </c>
      <c r="B8" t="s">
        <v>232</v>
      </c>
      <c r="C8" t="s">
        <v>36</v>
      </c>
      <c r="E8">
        <v>239</v>
      </c>
      <c r="F8">
        <v>0</v>
      </c>
      <c r="G8">
        <v>0</v>
      </c>
      <c r="H8">
        <v>179</v>
      </c>
      <c r="I8">
        <v>0</v>
      </c>
      <c r="J8">
        <v>7</v>
      </c>
      <c r="K8">
        <v>53</v>
      </c>
    </row>
    <row r="9" spans="1:11" hidden="1" x14ac:dyDescent="0.25">
      <c r="A9" t="s">
        <v>760</v>
      </c>
      <c r="B9" t="s">
        <v>232</v>
      </c>
      <c r="C9" t="s">
        <v>46</v>
      </c>
      <c r="D9" t="s">
        <v>361</v>
      </c>
      <c r="E9">
        <v>39</v>
      </c>
      <c r="F9">
        <v>0</v>
      </c>
      <c r="G9">
        <v>0</v>
      </c>
      <c r="H9">
        <v>13</v>
      </c>
      <c r="I9">
        <v>0</v>
      </c>
      <c r="J9">
        <v>0</v>
      </c>
      <c r="K9">
        <v>26</v>
      </c>
    </row>
    <row r="10" spans="1:11" hidden="1" x14ac:dyDescent="0.25">
      <c r="A10" t="s">
        <v>1010</v>
      </c>
      <c r="B10" t="s">
        <v>232</v>
      </c>
      <c r="C10" t="s">
        <v>56</v>
      </c>
      <c r="E10">
        <v>95</v>
      </c>
      <c r="F10">
        <v>0</v>
      </c>
      <c r="G10">
        <v>0</v>
      </c>
      <c r="H10">
        <v>48</v>
      </c>
      <c r="I10">
        <v>0</v>
      </c>
      <c r="J10">
        <v>0</v>
      </c>
      <c r="K10">
        <v>47</v>
      </c>
    </row>
    <row r="11" spans="1:11" x14ac:dyDescent="0.25">
      <c r="A11" t="s">
        <v>1108</v>
      </c>
      <c r="B11" t="s">
        <v>232</v>
      </c>
      <c r="C11" t="s">
        <v>49</v>
      </c>
      <c r="E11">
        <v>202</v>
      </c>
      <c r="F11">
        <v>0</v>
      </c>
      <c r="G11">
        <v>0</v>
      </c>
      <c r="H11">
        <v>98</v>
      </c>
      <c r="I11">
        <v>0</v>
      </c>
      <c r="J11">
        <v>19</v>
      </c>
      <c r="K11">
        <v>85</v>
      </c>
    </row>
    <row r="12" spans="1:11" hidden="1" x14ac:dyDescent="0.25">
      <c r="A12" t="s">
        <v>1108</v>
      </c>
      <c r="B12" t="s">
        <v>233</v>
      </c>
      <c r="C12" t="s">
        <v>762</v>
      </c>
      <c r="E12">
        <v>33</v>
      </c>
      <c r="F12">
        <v>0</v>
      </c>
      <c r="G12">
        <v>4</v>
      </c>
      <c r="H12">
        <v>0</v>
      </c>
      <c r="I12">
        <v>0</v>
      </c>
      <c r="J12">
        <v>0</v>
      </c>
      <c r="K12">
        <v>33</v>
      </c>
    </row>
    <row r="13" spans="1:11" hidden="1" x14ac:dyDescent="0.25">
      <c r="A13" t="s">
        <v>1010</v>
      </c>
      <c r="B13" t="s">
        <v>232</v>
      </c>
      <c r="C13" t="s">
        <v>70</v>
      </c>
      <c r="E13">
        <v>593</v>
      </c>
      <c r="F13">
        <v>0</v>
      </c>
      <c r="G13">
        <v>0</v>
      </c>
      <c r="H13">
        <v>478</v>
      </c>
      <c r="I13">
        <v>0</v>
      </c>
      <c r="J13">
        <v>45</v>
      </c>
      <c r="K13">
        <v>70</v>
      </c>
    </row>
    <row r="14" spans="1:11" x14ac:dyDescent="0.25">
      <c r="A14" t="s">
        <v>1108</v>
      </c>
      <c r="B14" t="s">
        <v>232</v>
      </c>
      <c r="C14" t="s">
        <v>31</v>
      </c>
      <c r="E14">
        <v>172</v>
      </c>
      <c r="F14">
        <v>0</v>
      </c>
      <c r="G14">
        <v>0</v>
      </c>
      <c r="H14">
        <v>10</v>
      </c>
      <c r="I14">
        <v>0</v>
      </c>
      <c r="J14">
        <v>0</v>
      </c>
      <c r="K14">
        <v>162</v>
      </c>
    </row>
    <row r="15" spans="1:11" hidden="1" x14ac:dyDescent="0.25">
      <c r="A15" t="s">
        <v>1010</v>
      </c>
      <c r="B15" t="s">
        <v>233</v>
      </c>
      <c r="C15" t="s">
        <v>117</v>
      </c>
      <c r="E15">
        <v>23</v>
      </c>
      <c r="F15">
        <v>0</v>
      </c>
      <c r="G15">
        <v>0</v>
      </c>
      <c r="H15">
        <v>0</v>
      </c>
      <c r="I15">
        <v>0</v>
      </c>
      <c r="J15">
        <v>0</v>
      </c>
      <c r="K15">
        <v>23</v>
      </c>
    </row>
    <row r="16" spans="1:11" hidden="1" x14ac:dyDescent="0.25">
      <c r="A16" t="s">
        <v>1010</v>
      </c>
      <c r="B16" t="s">
        <v>232</v>
      </c>
      <c r="C16" t="s">
        <v>40</v>
      </c>
      <c r="E16">
        <v>80</v>
      </c>
      <c r="F16">
        <v>0</v>
      </c>
      <c r="G16">
        <v>0</v>
      </c>
      <c r="H16">
        <v>56</v>
      </c>
      <c r="I16">
        <v>0</v>
      </c>
      <c r="J16">
        <v>0</v>
      </c>
      <c r="K16">
        <v>24</v>
      </c>
    </row>
    <row r="17" spans="1:11" hidden="1" x14ac:dyDescent="0.25">
      <c r="A17" t="s">
        <v>917</v>
      </c>
      <c r="B17" t="s">
        <v>232</v>
      </c>
      <c r="C17" t="s">
        <v>52</v>
      </c>
      <c r="D17" t="s">
        <v>363</v>
      </c>
      <c r="E17">
        <v>214</v>
      </c>
      <c r="F17">
        <v>0</v>
      </c>
      <c r="G17">
        <v>0</v>
      </c>
      <c r="H17">
        <v>130</v>
      </c>
      <c r="I17">
        <v>0</v>
      </c>
      <c r="J17">
        <v>21</v>
      </c>
      <c r="K17">
        <v>63</v>
      </c>
    </row>
    <row r="18" spans="1:11" hidden="1" x14ac:dyDescent="0.25">
      <c r="A18" t="s">
        <v>760</v>
      </c>
      <c r="B18" t="s">
        <v>232</v>
      </c>
      <c r="C18" t="s">
        <v>36</v>
      </c>
      <c r="D18" t="s">
        <v>362</v>
      </c>
      <c r="E18">
        <v>249</v>
      </c>
      <c r="F18">
        <v>0</v>
      </c>
      <c r="G18">
        <v>0</v>
      </c>
      <c r="H18">
        <v>192</v>
      </c>
      <c r="I18">
        <v>0</v>
      </c>
      <c r="J18">
        <v>5</v>
      </c>
      <c r="K18">
        <v>52</v>
      </c>
    </row>
    <row r="19" spans="1:11" hidden="1" x14ac:dyDescent="0.25">
      <c r="A19" t="s">
        <v>1010</v>
      </c>
      <c r="B19" t="s">
        <v>232</v>
      </c>
      <c r="C19" t="s">
        <v>52</v>
      </c>
      <c r="E19">
        <v>204</v>
      </c>
      <c r="F19">
        <v>0</v>
      </c>
      <c r="G19">
        <v>0</v>
      </c>
      <c r="H19">
        <v>116</v>
      </c>
      <c r="I19">
        <v>0</v>
      </c>
      <c r="J19">
        <v>22</v>
      </c>
      <c r="K19">
        <v>66</v>
      </c>
    </row>
    <row r="20" spans="1:11" hidden="1" x14ac:dyDescent="0.25">
      <c r="A20" t="s">
        <v>1061</v>
      </c>
      <c r="B20" t="s">
        <v>232</v>
      </c>
      <c r="C20" t="s">
        <v>52</v>
      </c>
      <c r="E20">
        <v>209</v>
      </c>
      <c r="F20">
        <v>0</v>
      </c>
      <c r="G20">
        <v>0</v>
      </c>
      <c r="H20">
        <v>119</v>
      </c>
      <c r="I20">
        <v>0</v>
      </c>
      <c r="J20">
        <v>21</v>
      </c>
      <c r="K20">
        <v>69</v>
      </c>
    </row>
    <row r="21" spans="1:11" hidden="1" x14ac:dyDescent="0.25">
      <c r="A21" t="s">
        <v>1010</v>
      </c>
      <c r="B21" t="s">
        <v>234</v>
      </c>
      <c r="C21" t="s">
        <v>164</v>
      </c>
      <c r="D21" t="s">
        <v>361</v>
      </c>
      <c r="E21">
        <v>66</v>
      </c>
      <c r="F21">
        <v>0</v>
      </c>
      <c r="G21">
        <v>0</v>
      </c>
      <c r="H21">
        <v>0</v>
      </c>
      <c r="I21">
        <v>0</v>
      </c>
      <c r="J21">
        <v>0</v>
      </c>
      <c r="K21">
        <v>66</v>
      </c>
    </row>
    <row r="22" spans="1:11" hidden="1" x14ac:dyDescent="0.25">
      <c r="A22" t="s">
        <v>917</v>
      </c>
      <c r="B22" t="s">
        <v>232</v>
      </c>
      <c r="C22" t="s">
        <v>32</v>
      </c>
      <c r="D22" t="s">
        <v>363</v>
      </c>
      <c r="E22">
        <v>315</v>
      </c>
      <c r="F22">
        <v>0</v>
      </c>
      <c r="G22">
        <v>0</v>
      </c>
      <c r="H22">
        <v>286</v>
      </c>
      <c r="I22">
        <v>0</v>
      </c>
      <c r="J22">
        <v>0</v>
      </c>
      <c r="K22">
        <v>29</v>
      </c>
    </row>
    <row r="23" spans="1:11" hidden="1" x14ac:dyDescent="0.25">
      <c r="A23" t="s">
        <v>760</v>
      </c>
      <c r="B23" t="s">
        <v>232</v>
      </c>
      <c r="C23" t="s">
        <v>38</v>
      </c>
      <c r="D23" t="s">
        <v>362</v>
      </c>
      <c r="E23">
        <v>129</v>
      </c>
      <c r="F23">
        <v>0</v>
      </c>
      <c r="G23">
        <v>0</v>
      </c>
      <c r="H23">
        <v>80</v>
      </c>
      <c r="I23">
        <v>0</v>
      </c>
      <c r="J23">
        <v>0</v>
      </c>
      <c r="K23">
        <v>49</v>
      </c>
    </row>
    <row r="24" spans="1:11" hidden="1" x14ac:dyDescent="0.25">
      <c r="A24" t="s">
        <v>1061</v>
      </c>
      <c r="B24" t="s">
        <v>232</v>
      </c>
      <c r="C24" t="s">
        <v>70</v>
      </c>
      <c r="E24">
        <v>11</v>
      </c>
      <c r="F24">
        <v>0</v>
      </c>
      <c r="G24">
        <v>0</v>
      </c>
      <c r="H24">
        <v>0</v>
      </c>
      <c r="I24">
        <v>0</v>
      </c>
      <c r="J24">
        <v>0</v>
      </c>
      <c r="K24">
        <v>11</v>
      </c>
    </row>
    <row r="25" spans="1:11" hidden="1" x14ac:dyDescent="0.25">
      <c r="A25" t="s">
        <v>917</v>
      </c>
      <c r="B25" t="s">
        <v>232</v>
      </c>
      <c r="C25" t="s">
        <v>45</v>
      </c>
      <c r="D25" t="s">
        <v>362</v>
      </c>
      <c r="E25">
        <v>114</v>
      </c>
      <c r="F25">
        <v>0</v>
      </c>
      <c r="G25">
        <v>0</v>
      </c>
      <c r="H25">
        <v>44</v>
      </c>
      <c r="I25">
        <v>0</v>
      </c>
      <c r="J25">
        <v>0</v>
      </c>
      <c r="K25">
        <v>70</v>
      </c>
    </row>
    <row r="26" spans="1:11" hidden="1" x14ac:dyDescent="0.25">
      <c r="A26" t="s">
        <v>917</v>
      </c>
      <c r="B26" t="s">
        <v>233</v>
      </c>
      <c r="C26" t="s">
        <v>165</v>
      </c>
      <c r="D26" t="s">
        <v>361</v>
      </c>
      <c r="E26">
        <v>28</v>
      </c>
      <c r="F26">
        <v>0</v>
      </c>
      <c r="G26">
        <v>0</v>
      </c>
      <c r="H26">
        <v>0</v>
      </c>
      <c r="I26">
        <v>0</v>
      </c>
      <c r="J26">
        <v>0</v>
      </c>
      <c r="K26">
        <v>28</v>
      </c>
    </row>
    <row r="27" spans="1:11" hidden="1" x14ac:dyDescent="0.25">
      <c r="A27" t="s">
        <v>917</v>
      </c>
      <c r="B27" t="s">
        <v>232</v>
      </c>
      <c r="C27" t="s">
        <v>34</v>
      </c>
      <c r="D27" t="s">
        <v>362</v>
      </c>
      <c r="E27">
        <v>421</v>
      </c>
      <c r="F27">
        <v>0</v>
      </c>
      <c r="G27">
        <v>0</v>
      </c>
      <c r="H27">
        <v>168</v>
      </c>
      <c r="I27">
        <v>0</v>
      </c>
      <c r="J27">
        <v>201</v>
      </c>
      <c r="K27">
        <v>52</v>
      </c>
    </row>
    <row r="28" spans="1:11" hidden="1" x14ac:dyDescent="0.25">
      <c r="A28" t="s">
        <v>239</v>
      </c>
      <c r="B28" t="s">
        <v>232</v>
      </c>
      <c r="C28" t="s">
        <v>60</v>
      </c>
      <c r="D28" t="s">
        <v>291</v>
      </c>
      <c r="E28">
        <v>115</v>
      </c>
      <c r="F28">
        <v>0</v>
      </c>
      <c r="G28">
        <v>0</v>
      </c>
      <c r="H28">
        <v>59</v>
      </c>
      <c r="I28">
        <v>0</v>
      </c>
      <c r="J28">
        <v>0</v>
      </c>
      <c r="K28">
        <v>56</v>
      </c>
    </row>
    <row r="29" spans="1:11" hidden="1" x14ac:dyDescent="0.25">
      <c r="A29" t="s">
        <v>1061</v>
      </c>
      <c r="B29" t="s">
        <v>232</v>
      </c>
      <c r="C29" t="s">
        <v>48</v>
      </c>
      <c r="E29">
        <v>138</v>
      </c>
      <c r="F29">
        <v>0</v>
      </c>
      <c r="G29">
        <v>0</v>
      </c>
      <c r="H29">
        <v>135</v>
      </c>
      <c r="I29">
        <v>0</v>
      </c>
      <c r="J29">
        <v>0</v>
      </c>
      <c r="K29">
        <v>3</v>
      </c>
    </row>
    <row r="30" spans="1:11" hidden="1" x14ac:dyDescent="0.25">
      <c r="A30" t="s">
        <v>760</v>
      </c>
      <c r="B30" t="s">
        <v>234</v>
      </c>
      <c r="C30" t="s">
        <v>162</v>
      </c>
      <c r="D30" t="s">
        <v>363</v>
      </c>
      <c r="E30">
        <v>42</v>
      </c>
      <c r="F30">
        <v>0</v>
      </c>
      <c r="G30">
        <v>0</v>
      </c>
      <c r="H30">
        <v>0</v>
      </c>
      <c r="I30">
        <v>0</v>
      </c>
      <c r="J30">
        <v>0</v>
      </c>
      <c r="K30">
        <v>42</v>
      </c>
    </row>
    <row r="31" spans="1:11" hidden="1" x14ac:dyDescent="0.25">
      <c r="A31" t="s">
        <v>239</v>
      </c>
      <c r="B31" t="s">
        <v>232</v>
      </c>
      <c r="C31" t="s">
        <v>58</v>
      </c>
      <c r="D31" t="s">
        <v>284</v>
      </c>
      <c r="E31">
        <v>124</v>
      </c>
      <c r="F31">
        <v>0</v>
      </c>
      <c r="G31">
        <v>0</v>
      </c>
      <c r="H31">
        <v>75</v>
      </c>
      <c r="I31">
        <v>0</v>
      </c>
      <c r="J31">
        <v>0</v>
      </c>
      <c r="K31">
        <v>49</v>
      </c>
    </row>
    <row r="32" spans="1:11" hidden="1" x14ac:dyDescent="0.25">
      <c r="A32" t="s">
        <v>1061</v>
      </c>
      <c r="B32" t="s">
        <v>233</v>
      </c>
      <c r="C32" t="s">
        <v>1040</v>
      </c>
      <c r="E32">
        <v>27</v>
      </c>
      <c r="F32">
        <v>0</v>
      </c>
      <c r="G32">
        <v>2</v>
      </c>
      <c r="H32">
        <v>0</v>
      </c>
      <c r="I32">
        <v>0</v>
      </c>
      <c r="J32">
        <v>0</v>
      </c>
      <c r="K32">
        <v>27</v>
      </c>
    </row>
    <row r="33" spans="1:11" hidden="1" x14ac:dyDescent="0.25">
      <c r="A33" t="s">
        <v>760</v>
      </c>
      <c r="B33" t="s">
        <v>232</v>
      </c>
      <c r="C33" t="s">
        <v>41</v>
      </c>
      <c r="D33" t="s">
        <v>362</v>
      </c>
      <c r="E33">
        <v>50</v>
      </c>
      <c r="F33">
        <v>0</v>
      </c>
      <c r="G33">
        <v>0</v>
      </c>
      <c r="H33">
        <v>0</v>
      </c>
      <c r="I33">
        <v>0</v>
      </c>
      <c r="J33">
        <v>0</v>
      </c>
      <c r="K33">
        <v>50</v>
      </c>
    </row>
    <row r="34" spans="1:11" hidden="1" x14ac:dyDescent="0.25">
      <c r="A34" t="s">
        <v>917</v>
      </c>
      <c r="B34" t="s">
        <v>232</v>
      </c>
      <c r="C34" t="s">
        <v>37</v>
      </c>
      <c r="D34" t="s">
        <v>363</v>
      </c>
      <c r="E34">
        <v>193</v>
      </c>
      <c r="F34">
        <v>0</v>
      </c>
      <c r="G34">
        <v>0</v>
      </c>
      <c r="H34">
        <v>11</v>
      </c>
      <c r="I34">
        <v>0</v>
      </c>
      <c r="J34">
        <v>0</v>
      </c>
      <c r="K34">
        <v>182</v>
      </c>
    </row>
    <row r="35" spans="1:11" hidden="1" x14ac:dyDescent="0.25">
      <c r="A35" t="s">
        <v>760</v>
      </c>
      <c r="B35" t="s">
        <v>234</v>
      </c>
      <c r="C35" t="s">
        <v>163</v>
      </c>
      <c r="D35" t="s">
        <v>362</v>
      </c>
      <c r="E35">
        <v>103</v>
      </c>
      <c r="F35">
        <v>0</v>
      </c>
      <c r="G35">
        <v>0</v>
      </c>
      <c r="H35">
        <v>0</v>
      </c>
      <c r="I35">
        <v>0</v>
      </c>
      <c r="J35">
        <v>0</v>
      </c>
      <c r="K35">
        <v>103</v>
      </c>
    </row>
    <row r="36" spans="1:11" hidden="1" x14ac:dyDescent="0.25">
      <c r="A36" t="s">
        <v>917</v>
      </c>
      <c r="B36" t="s">
        <v>234</v>
      </c>
      <c r="C36" t="s">
        <v>164</v>
      </c>
      <c r="D36" t="s">
        <v>361</v>
      </c>
      <c r="E36">
        <v>66</v>
      </c>
      <c r="F36">
        <v>0</v>
      </c>
      <c r="G36">
        <v>0</v>
      </c>
      <c r="H36">
        <v>0</v>
      </c>
      <c r="I36">
        <v>0</v>
      </c>
      <c r="J36">
        <v>0</v>
      </c>
      <c r="K36">
        <v>66</v>
      </c>
    </row>
    <row r="37" spans="1:11" hidden="1" x14ac:dyDescent="0.25">
      <c r="A37" t="s">
        <v>917</v>
      </c>
      <c r="B37" t="s">
        <v>232</v>
      </c>
      <c r="C37" t="s">
        <v>56</v>
      </c>
      <c r="D37" t="s">
        <v>362</v>
      </c>
      <c r="E37">
        <v>103</v>
      </c>
      <c r="F37">
        <v>0</v>
      </c>
      <c r="G37">
        <v>0</v>
      </c>
      <c r="H37">
        <v>52</v>
      </c>
      <c r="I37">
        <v>0</v>
      </c>
      <c r="J37">
        <v>0</v>
      </c>
      <c r="K37">
        <v>51</v>
      </c>
    </row>
    <row r="38" spans="1:11" hidden="1" x14ac:dyDescent="0.25">
      <c r="A38" t="s">
        <v>917</v>
      </c>
      <c r="B38" t="s">
        <v>233</v>
      </c>
      <c r="C38" t="s">
        <v>50</v>
      </c>
      <c r="D38" t="s">
        <v>362</v>
      </c>
      <c r="E38">
        <v>15</v>
      </c>
      <c r="F38">
        <v>0</v>
      </c>
      <c r="G38">
        <v>0</v>
      </c>
      <c r="H38">
        <v>0</v>
      </c>
      <c r="I38">
        <v>0</v>
      </c>
      <c r="J38">
        <v>0</v>
      </c>
      <c r="K38">
        <v>15</v>
      </c>
    </row>
    <row r="39" spans="1:11" hidden="1" x14ac:dyDescent="0.25">
      <c r="A39" t="s">
        <v>917</v>
      </c>
      <c r="B39" t="s">
        <v>233</v>
      </c>
      <c r="C39" t="s">
        <v>68</v>
      </c>
      <c r="D39" t="s">
        <v>362</v>
      </c>
      <c r="E39">
        <v>17</v>
      </c>
      <c r="F39">
        <v>0</v>
      </c>
      <c r="G39">
        <v>0</v>
      </c>
      <c r="H39">
        <v>0</v>
      </c>
      <c r="I39">
        <v>0</v>
      </c>
      <c r="J39">
        <v>0</v>
      </c>
      <c r="K39">
        <v>17</v>
      </c>
    </row>
    <row r="40" spans="1:11" hidden="1" x14ac:dyDescent="0.25">
      <c r="A40" t="s">
        <v>239</v>
      </c>
      <c r="B40" t="s">
        <v>233</v>
      </c>
      <c r="C40" t="s">
        <v>57</v>
      </c>
      <c r="D40" t="s">
        <v>345</v>
      </c>
      <c r="E40">
        <v>16</v>
      </c>
      <c r="F40">
        <v>0</v>
      </c>
      <c r="G40">
        <v>1</v>
      </c>
      <c r="H40">
        <v>0</v>
      </c>
      <c r="I40">
        <v>0</v>
      </c>
      <c r="J40">
        <v>0</v>
      </c>
      <c r="K40">
        <v>16</v>
      </c>
    </row>
    <row r="41" spans="1:11" hidden="1" x14ac:dyDescent="0.25">
      <c r="A41" t="s">
        <v>1061</v>
      </c>
      <c r="B41" t="s">
        <v>232</v>
      </c>
      <c r="C41" t="s">
        <v>55</v>
      </c>
      <c r="E41">
        <v>123</v>
      </c>
      <c r="F41">
        <v>0</v>
      </c>
      <c r="G41">
        <v>0</v>
      </c>
      <c r="H41">
        <v>122</v>
      </c>
      <c r="I41">
        <v>0</v>
      </c>
      <c r="J41">
        <v>0</v>
      </c>
      <c r="K41">
        <v>1</v>
      </c>
    </row>
    <row r="42" spans="1:11" hidden="1" x14ac:dyDescent="0.25">
      <c r="A42" t="s">
        <v>1010</v>
      </c>
      <c r="B42" t="s">
        <v>233</v>
      </c>
      <c r="C42" t="s">
        <v>69</v>
      </c>
      <c r="E42">
        <v>18</v>
      </c>
      <c r="F42">
        <v>0</v>
      </c>
      <c r="G42">
        <v>2</v>
      </c>
      <c r="H42">
        <v>0</v>
      </c>
      <c r="I42">
        <v>0</v>
      </c>
      <c r="J42">
        <v>0</v>
      </c>
      <c r="K42">
        <v>18</v>
      </c>
    </row>
    <row r="43" spans="1:11" hidden="1" x14ac:dyDescent="0.25">
      <c r="A43" t="s">
        <v>1010</v>
      </c>
      <c r="B43" t="s">
        <v>232</v>
      </c>
      <c r="C43" t="s">
        <v>51</v>
      </c>
      <c r="E43">
        <v>115</v>
      </c>
      <c r="F43">
        <v>0</v>
      </c>
      <c r="G43">
        <v>0</v>
      </c>
      <c r="H43">
        <v>115</v>
      </c>
      <c r="I43">
        <v>0</v>
      </c>
      <c r="J43">
        <v>0</v>
      </c>
      <c r="K43">
        <v>0</v>
      </c>
    </row>
    <row r="44" spans="1:11" hidden="1" x14ac:dyDescent="0.25">
      <c r="A44" t="s">
        <v>760</v>
      </c>
      <c r="B44" t="s">
        <v>233</v>
      </c>
      <c r="C44" t="s">
        <v>71</v>
      </c>
      <c r="D44" t="s">
        <v>363</v>
      </c>
      <c r="E44">
        <v>14</v>
      </c>
      <c r="F44">
        <v>0</v>
      </c>
      <c r="G44">
        <v>5</v>
      </c>
      <c r="H44">
        <v>0</v>
      </c>
      <c r="I44">
        <v>0</v>
      </c>
      <c r="J44">
        <v>0</v>
      </c>
      <c r="K44">
        <v>14</v>
      </c>
    </row>
    <row r="45" spans="1:11" x14ac:dyDescent="0.25">
      <c r="A45" t="s">
        <v>1108</v>
      </c>
      <c r="B45" t="s">
        <v>232</v>
      </c>
      <c r="C45" t="s">
        <v>52</v>
      </c>
      <c r="E45">
        <v>204</v>
      </c>
      <c r="F45">
        <v>0</v>
      </c>
      <c r="G45">
        <v>0</v>
      </c>
      <c r="H45">
        <v>117</v>
      </c>
      <c r="I45">
        <v>0</v>
      </c>
      <c r="J45">
        <v>21</v>
      </c>
      <c r="K45">
        <v>66</v>
      </c>
    </row>
    <row r="46" spans="1:11" hidden="1" x14ac:dyDescent="0.25">
      <c r="A46" t="s">
        <v>239</v>
      </c>
      <c r="B46" t="s">
        <v>232</v>
      </c>
      <c r="C46" t="s">
        <v>42</v>
      </c>
      <c r="D46" t="s">
        <v>272</v>
      </c>
      <c r="E46">
        <v>143</v>
      </c>
      <c r="F46">
        <v>0</v>
      </c>
      <c r="G46">
        <v>0</v>
      </c>
      <c r="H46">
        <v>55</v>
      </c>
      <c r="I46">
        <v>0</v>
      </c>
      <c r="J46">
        <v>0</v>
      </c>
      <c r="K46">
        <v>88</v>
      </c>
    </row>
    <row r="47" spans="1:11" hidden="1" x14ac:dyDescent="0.25">
      <c r="A47" t="s">
        <v>1108</v>
      </c>
      <c r="B47" t="s">
        <v>234</v>
      </c>
      <c r="C47" t="s">
        <v>163</v>
      </c>
      <c r="E47">
        <v>60</v>
      </c>
      <c r="F47">
        <v>0</v>
      </c>
      <c r="G47">
        <v>0</v>
      </c>
      <c r="H47">
        <v>0</v>
      </c>
      <c r="I47">
        <v>0</v>
      </c>
      <c r="J47">
        <v>0</v>
      </c>
      <c r="K47">
        <v>60</v>
      </c>
    </row>
    <row r="48" spans="1:11" hidden="1" x14ac:dyDescent="0.25">
      <c r="A48" t="s">
        <v>1061</v>
      </c>
      <c r="B48" t="s">
        <v>232</v>
      </c>
      <c r="C48" t="s">
        <v>58</v>
      </c>
      <c r="E48">
        <v>115</v>
      </c>
      <c r="F48">
        <v>0</v>
      </c>
      <c r="G48">
        <v>0</v>
      </c>
      <c r="H48">
        <v>69</v>
      </c>
      <c r="I48">
        <v>0</v>
      </c>
      <c r="J48">
        <v>0</v>
      </c>
      <c r="K48">
        <v>46</v>
      </c>
    </row>
    <row r="49" spans="1:11" hidden="1" x14ac:dyDescent="0.25">
      <c r="A49" t="s">
        <v>917</v>
      </c>
      <c r="B49" t="s">
        <v>232</v>
      </c>
      <c r="C49" t="s">
        <v>41</v>
      </c>
      <c r="D49" t="s">
        <v>362</v>
      </c>
      <c r="E49">
        <v>48</v>
      </c>
      <c r="F49">
        <v>0</v>
      </c>
      <c r="G49">
        <v>0</v>
      </c>
      <c r="H49">
        <v>0</v>
      </c>
      <c r="I49">
        <v>0</v>
      </c>
      <c r="J49">
        <v>0</v>
      </c>
      <c r="K49">
        <v>48</v>
      </c>
    </row>
    <row r="50" spans="1:11" hidden="1" x14ac:dyDescent="0.25">
      <c r="A50" t="s">
        <v>760</v>
      </c>
      <c r="B50" t="s">
        <v>232</v>
      </c>
      <c r="C50" t="s">
        <v>70</v>
      </c>
      <c r="D50" t="s">
        <v>363</v>
      </c>
      <c r="E50">
        <v>645</v>
      </c>
      <c r="F50">
        <v>0</v>
      </c>
      <c r="G50">
        <v>0</v>
      </c>
      <c r="H50">
        <v>525</v>
      </c>
      <c r="I50">
        <v>0</v>
      </c>
      <c r="J50">
        <v>49</v>
      </c>
      <c r="K50">
        <v>71</v>
      </c>
    </row>
    <row r="51" spans="1:11" hidden="1" x14ac:dyDescent="0.25">
      <c r="A51" t="s">
        <v>1010</v>
      </c>
      <c r="B51" t="s">
        <v>232</v>
      </c>
      <c r="C51" t="s">
        <v>33</v>
      </c>
      <c r="E51">
        <v>122</v>
      </c>
      <c r="F51">
        <v>0</v>
      </c>
      <c r="G51">
        <v>0</v>
      </c>
      <c r="H51">
        <v>96</v>
      </c>
      <c r="I51">
        <v>0</v>
      </c>
      <c r="J51">
        <v>0</v>
      </c>
      <c r="K51">
        <v>26</v>
      </c>
    </row>
    <row r="52" spans="1:11" hidden="1" x14ac:dyDescent="0.25">
      <c r="A52" t="s">
        <v>917</v>
      </c>
      <c r="B52" t="s">
        <v>232</v>
      </c>
      <c r="C52" t="s">
        <v>58</v>
      </c>
      <c r="D52" t="s">
        <v>1050</v>
      </c>
      <c r="E52">
        <v>127</v>
      </c>
      <c r="F52">
        <v>0</v>
      </c>
      <c r="G52">
        <v>0</v>
      </c>
      <c r="H52">
        <v>75</v>
      </c>
      <c r="I52">
        <v>0</v>
      </c>
      <c r="J52">
        <v>0</v>
      </c>
      <c r="K52">
        <v>52</v>
      </c>
    </row>
    <row r="53" spans="1:11" hidden="1" x14ac:dyDescent="0.25">
      <c r="A53" t="s">
        <v>760</v>
      </c>
      <c r="B53" t="s">
        <v>232</v>
      </c>
      <c r="C53" t="s">
        <v>117</v>
      </c>
      <c r="D53" t="s">
        <v>362</v>
      </c>
      <c r="E53">
        <v>517</v>
      </c>
      <c r="F53">
        <v>0</v>
      </c>
      <c r="G53">
        <v>0</v>
      </c>
      <c r="H53">
        <v>0</v>
      </c>
      <c r="I53">
        <v>0</v>
      </c>
      <c r="J53">
        <v>0</v>
      </c>
      <c r="K53">
        <v>517</v>
      </c>
    </row>
    <row r="54" spans="1:11" hidden="1" x14ac:dyDescent="0.25">
      <c r="A54" t="s">
        <v>239</v>
      </c>
      <c r="B54" t="s">
        <v>232</v>
      </c>
      <c r="C54" t="s">
        <v>52</v>
      </c>
      <c r="D54" t="s">
        <v>945</v>
      </c>
      <c r="E54">
        <v>222</v>
      </c>
      <c r="F54">
        <v>0</v>
      </c>
      <c r="G54">
        <v>0</v>
      </c>
      <c r="H54">
        <v>131</v>
      </c>
      <c r="I54">
        <v>0</v>
      </c>
      <c r="J54">
        <v>22</v>
      </c>
      <c r="K54">
        <v>69</v>
      </c>
    </row>
    <row r="55" spans="1:11" hidden="1" x14ac:dyDescent="0.25">
      <c r="A55" t="s">
        <v>239</v>
      </c>
      <c r="B55" t="s">
        <v>233</v>
      </c>
      <c r="C55" t="s">
        <v>63</v>
      </c>
      <c r="D55" t="s">
        <v>335</v>
      </c>
      <c r="E55">
        <v>25</v>
      </c>
      <c r="F55">
        <v>0</v>
      </c>
      <c r="G55">
        <v>2</v>
      </c>
      <c r="H55">
        <v>0</v>
      </c>
      <c r="I55">
        <v>0</v>
      </c>
      <c r="J55">
        <v>0</v>
      </c>
      <c r="K55">
        <v>25</v>
      </c>
    </row>
    <row r="56" spans="1:11" hidden="1" x14ac:dyDescent="0.25">
      <c r="A56" t="s">
        <v>1061</v>
      </c>
      <c r="B56" t="s">
        <v>233</v>
      </c>
      <c r="C56" t="s">
        <v>165</v>
      </c>
      <c r="E56">
        <v>26</v>
      </c>
      <c r="F56">
        <v>0</v>
      </c>
      <c r="G56">
        <v>0</v>
      </c>
      <c r="H56">
        <v>0</v>
      </c>
      <c r="I56">
        <v>0</v>
      </c>
      <c r="J56">
        <v>0</v>
      </c>
      <c r="K56">
        <v>26</v>
      </c>
    </row>
    <row r="57" spans="1:11" hidden="1" x14ac:dyDescent="0.25">
      <c r="A57" t="s">
        <v>1010</v>
      </c>
      <c r="B57" t="s">
        <v>232</v>
      </c>
      <c r="C57" t="s">
        <v>50</v>
      </c>
      <c r="E57">
        <v>186</v>
      </c>
      <c r="F57">
        <v>0</v>
      </c>
      <c r="G57">
        <v>0</v>
      </c>
      <c r="H57">
        <v>30</v>
      </c>
      <c r="I57">
        <v>0</v>
      </c>
      <c r="J57">
        <v>0</v>
      </c>
      <c r="K57">
        <v>156</v>
      </c>
    </row>
    <row r="58" spans="1:11" hidden="1" x14ac:dyDescent="0.25">
      <c r="A58" t="s">
        <v>239</v>
      </c>
      <c r="B58" t="s">
        <v>232</v>
      </c>
      <c r="C58" t="s">
        <v>57</v>
      </c>
      <c r="D58" t="s">
        <v>283</v>
      </c>
      <c r="E58">
        <v>246</v>
      </c>
      <c r="F58">
        <v>0</v>
      </c>
      <c r="G58">
        <v>0</v>
      </c>
      <c r="H58">
        <v>77</v>
      </c>
      <c r="I58">
        <v>0</v>
      </c>
      <c r="J58">
        <v>2</v>
      </c>
      <c r="K58">
        <v>167</v>
      </c>
    </row>
    <row r="59" spans="1:11" hidden="1" x14ac:dyDescent="0.25">
      <c r="A59" t="s">
        <v>1108</v>
      </c>
      <c r="B59" t="s">
        <v>233</v>
      </c>
      <c r="C59" t="s">
        <v>64</v>
      </c>
      <c r="E59">
        <v>28</v>
      </c>
      <c r="F59">
        <v>0</v>
      </c>
      <c r="G59">
        <v>6</v>
      </c>
      <c r="H59">
        <v>0</v>
      </c>
      <c r="I59">
        <v>0</v>
      </c>
      <c r="J59">
        <v>0</v>
      </c>
      <c r="K59">
        <v>28</v>
      </c>
    </row>
    <row r="60" spans="1:11" hidden="1" x14ac:dyDescent="0.25">
      <c r="A60" t="s">
        <v>1010</v>
      </c>
      <c r="B60" t="s">
        <v>232</v>
      </c>
      <c r="C60" t="s">
        <v>45</v>
      </c>
      <c r="E60">
        <v>106</v>
      </c>
      <c r="F60">
        <v>0</v>
      </c>
      <c r="G60">
        <v>0</v>
      </c>
      <c r="H60">
        <v>38</v>
      </c>
      <c r="I60">
        <v>0</v>
      </c>
      <c r="J60">
        <v>0</v>
      </c>
      <c r="K60">
        <v>68</v>
      </c>
    </row>
    <row r="61" spans="1:11" hidden="1" x14ac:dyDescent="0.25">
      <c r="A61" t="s">
        <v>917</v>
      </c>
      <c r="B61" t="s">
        <v>233</v>
      </c>
      <c r="C61" t="s">
        <v>65</v>
      </c>
      <c r="D61" t="s">
        <v>363</v>
      </c>
      <c r="E61">
        <v>28</v>
      </c>
      <c r="F61">
        <v>0</v>
      </c>
      <c r="G61">
        <v>3</v>
      </c>
      <c r="H61">
        <v>0</v>
      </c>
      <c r="I61">
        <v>0</v>
      </c>
      <c r="J61">
        <v>0</v>
      </c>
      <c r="K61">
        <v>28</v>
      </c>
    </row>
    <row r="62" spans="1:11" hidden="1" x14ac:dyDescent="0.25">
      <c r="A62" t="s">
        <v>1061</v>
      </c>
      <c r="B62" t="s">
        <v>232</v>
      </c>
      <c r="C62" t="s">
        <v>31</v>
      </c>
      <c r="E62">
        <v>165</v>
      </c>
      <c r="F62">
        <v>0</v>
      </c>
      <c r="G62">
        <v>0</v>
      </c>
      <c r="H62">
        <v>10</v>
      </c>
      <c r="I62">
        <v>0</v>
      </c>
      <c r="J62">
        <v>0</v>
      </c>
      <c r="K62">
        <v>155</v>
      </c>
    </row>
    <row r="63" spans="1:11" x14ac:dyDescent="0.25">
      <c r="A63" t="s">
        <v>1108</v>
      </c>
      <c r="B63" t="s">
        <v>232</v>
      </c>
      <c r="C63" t="s">
        <v>51</v>
      </c>
      <c r="E63">
        <v>112</v>
      </c>
      <c r="F63">
        <v>0</v>
      </c>
      <c r="G63">
        <v>0</v>
      </c>
      <c r="H63">
        <v>112</v>
      </c>
      <c r="I63">
        <v>0</v>
      </c>
      <c r="J63">
        <v>0</v>
      </c>
      <c r="K63">
        <v>0</v>
      </c>
    </row>
    <row r="64" spans="1:11" hidden="1" x14ac:dyDescent="0.25">
      <c r="A64" t="s">
        <v>239</v>
      </c>
      <c r="B64" t="s">
        <v>233</v>
      </c>
      <c r="C64" t="s">
        <v>70</v>
      </c>
      <c r="D64" t="s">
        <v>344</v>
      </c>
      <c r="E64">
        <v>45</v>
      </c>
      <c r="F64">
        <v>0</v>
      </c>
      <c r="G64">
        <v>4</v>
      </c>
      <c r="H64">
        <v>0</v>
      </c>
      <c r="I64">
        <v>0</v>
      </c>
      <c r="J64">
        <v>0</v>
      </c>
      <c r="K64">
        <v>45</v>
      </c>
    </row>
    <row r="65" spans="1:11" hidden="1" x14ac:dyDescent="0.25">
      <c r="A65" t="s">
        <v>1061</v>
      </c>
      <c r="B65" t="s">
        <v>233</v>
      </c>
      <c r="C65" t="s">
        <v>71</v>
      </c>
      <c r="E65">
        <v>1</v>
      </c>
      <c r="F65">
        <v>0</v>
      </c>
      <c r="G65">
        <v>0</v>
      </c>
      <c r="H65">
        <v>0</v>
      </c>
      <c r="I65">
        <v>0</v>
      </c>
      <c r="J65">
        <v>0</v>
      </c>
      <c r="K65">
        <v>1</v>
      </c>
    </row>
    <row r="66" spans="1:11" hidden="1" x14ac:dyDescent="0.25">
      <c r="A66" t="s">
        <v>917</v>
      </c>
      <c r="B66" t="s">
        <v>233</v>
      </c>
      <c r="C66" t="s">
        <v>64</v>
      </c>
      <c r="D66" t="s">
        <v>362</v>
      </c>
      <c r="E66">
        <v>26</v>
      </c>
      <c r="F66">
        <v>0</v>
      </c>
      <c r="G66">
        <v>6</v>
      </c>
      <c r="H66">
        <v>0</v>
      </c>
      <c r="I66">
        <v>0</v>
      </c>
      <c r="J66">
        <v>0</v>
      </c>
      <c r="K66">
        <v>26</v>
      </c>
    </row>
    <row r="67" spans="1:11" hidden="1" x14ac:dyDescent="0.25">
      <c r="A67" t="s">
        <v>917</v>
      </c>
      <c r="B67" t="s">
        <v>232</v>
      </c>
      <c r="C67" t="s">
        <v>54</v>
      </c>
      <c r="D67" t="s">
        <v>361</v>
      </c>
      <c r="E67">
        <v>200</v>
      </c>
      <c r="F67">
        <v>0</v>
      </c>
      <c r="G67">
        <v>0</v>
      </c>
      <c r="H67">
        <v>149</v>
      </c>
      <c r="I67">
        <v>0</v>
      </c>
      <c r="J67">
        <v>0</v>
      </c>
      <c r="K67">
        <v>51</v>
      </c>
    </row>
    <row r="68" spans="1:11" hidden="1" x14ac:dyDescent="0.25">
      <c r="A68" t="s">
        <v>1061</v>
      </c>
      <c r="B68" t="s">
        <v>232</v>
      </c>
      <c r="C68" t="s">
        <v>40</v>
      </c>
      <c r="E68">
        <v>75</v>
      </c>
      <c r="F68">
        <v>0</v>
      </c>
      <c r="G68">
        <v>0</v>
      </c>
      <c r="H68">
        <v>51</v>
      </c>
      <c r="I68">
        <v>0</v>
      </c>
      <c r="J68">
        <v>0</v>
      </c>
      <c r="K68">
        <v>24</v>
      </c>
    </row>
    <row r="69" spans="1:11" hidden="1" x14ac:dyDescent="0.25">
      <c r="A69" t="s">
        <v>917</v>
      </c>
      <c r="B69" t="s">
        <v>232</v>
      </c>
      <c r="C69" t="s">
        <v>57</v>
      </c>
      <c r="D69" t="s">
        <v>362</v>
      </c>
      <c r="E69">
        <v>254</v>
      </c>
      <c r="F69">
        <v>0</v>
      </c>
      <c r="G69">
        <v>0</v>
      </c>
      <c r="H69">
        <v>84</v>
      </c>
      <c r="I69">
        <v>0</v>
      </c>
      <c r="J69">
        <v>2</v>
      </c>
      <c r="K69">
        <v>168</v>
      </c>
    </row>
    <row r="70" spans="1:11" hidden="1" x14ac:dyDescent="0.25">
      <c r="A70" t="s">
        <v>1010</v>
      </c>
      <c r="B70" t="s">
        <v>233</v>
      </c>
      <c r="C70" t="s">
        <v>1038</v>
      </c>
      <c r="E70">
        <v>36</v>
      </c>
      <c r="F70">
        <v>0</v>
      </c>
      <c r="G70">
        <v>7</v>
      </c>
      <c r="H70">
        <v>0</v>
      </c>
      <c r="I70">
        <v>0</v>
      </c>
      <c r="J70">
        <v>0</v>
      </c>
      <c r="K70">
        <v>36</v>
      </c>
    </row>
    <row r="71" spans="1:11" hidden="1" x14ac:dyDescent="0.25">
      <c r="A71" t="s">
        <v>1061</v>
      </c>
      <c r="B71" t="s">
        <v>234</v>
      </c>
      <c r="C71" t="s">
        <v>164</v>
      </c>
      <c r="D71" t="s">
        <v>361</v>
      </c>
      <c r="E71">
        <v>67</v>
      </c>
      <c r="F71">
        <v>0</v>
      </c>
      <c r="G71">
        <v>0</v>
      </c>
      <c r="H71">
        <v>0</v>
      </c>
      <c r="I71">
        <v>0</v>
      </c>
      <c r="J71">
        <v>0</v>
      </c>
      <c r="K71">
        <v>67</v>
      </c>
    </row>
    <row r="72" spans="1:11" hidden="1" x14ac:dyDescent="0.25">
      <c r="A72" t="s">
        <v>917</v>
      </c>
      <c r="B72" t="s">
        <v>232</v>
      </c>
      <c r="C72" t="s">
        <v>59</v>
      </c>
      <c r="D72" t="s">
        <v>362</v>
      </c>
      <c r="E72">
        <v>95</v>
      </c>
      <c r="F72">
        <v>0</v>
      </c>
      <c r="G72">
        <v>0</v>
      </c>
      <c r="H72">
        <v>22</v>
      </c>
      <c r="I72">
        <v>0</v>
      </c>
      <c r="J72">
        <v>0</v>
      </c>
      <c r="K72">
        <v>73</v>
      </c>
    </row>
    <row r="73" spans="1:11" hidden="1" x14ac:dyDescent="0.25">
      <c r="A73" t="s">
        <v>239</v>
      </c>
      <c r="B73" t="s">
        <v>232</v>
      </c>
      <c r="C73" t="s">
        <v>48</v>
      </c>
      <c r="D73" t="s">
        <v>271</v>
      </c>
      <c r="E73">
        <v>132</v>
      </c>
      <c r="F73">
        <v>0</v>
      </c>
      <c r="G73">
        <v>0</v>
      </c>
      <c r="H73">
        <v>132</v>
      </c>
      <c r="I73">
        <v>0</v>
      </c>
      <c r="J73">
        <v>0</v>
      </c>
      <c r="K73">
        <v>0</v>
      </c>
    </row>
    <row r="74" spans="1:11" hidden="1" x14ac:dyDescent="0.25">
      <c r="A74" t="s">
        <v>760</v>
      </c>
      <c r="B74" t="s">
        <v>232</v>
      </c>
      <c r="C74" t="s">
        <v>51</v>
      </c>
      <c r="D74" t="s">
        <v>363</v>
      </c>
      <c r="E74">
        <v>109</v>
      </c>
      <c r="F74">
        <v>0</v>
      </c>
      <c r="G74">
        <v>0</v>
      </c>
      <c r="H74">
        <v>109</v>
      </c>
      <c r="I74">
        <v>0</v>
      </c>
      <c r="J74">
        <v>0</v>
      </c>
      <c r="K74">
        <v>0</v>
      </c>
    </row>
    <row r="75" spans="1:11" hidden="1" x14ac:dyDescent="0.25">
      <c r="A75" t="s">
        <v>760</v>
      </c>
      <c r="B75" t="s">
        <v>234</v>
      </c>
      <c r="C75" t="s">
        <v>164</v>
      </c>
      <c r="D75" t="s">
        <v>361</v>
      </c>
      <c r="E75">
        <v>52</v>
      </c>
      <c r="F75">
        <v>0</v>
      </c>
      <c r="G75">
        <v>0</v>
      </c>
      <c r="H75">
        <v>0</v>
      </c>
      <c r="I75">
        <v>0</v>
      </c>
      <c r="J75">
        <v>0</v>
      </c>
      <c r="K75">
        <v>52</v>
      </c>
    </row>
    <row r="76" spans="1:11" hidden="1" x14ac:dyDescent="0.25">
      <c r="A76" t="s">
        <v>1010</v>
      </c>
      <c r="B76" t="s">
        <v>232</v>
      </c>
      <c r="C76" t="s">
        <v>36</v>
      </c>
      <c r="E76">
        <v>248</v>
      </c>
      <c r="F76">
        <v>0</v>
      </c>
      <c r="G76">
        <v>0</v>
      </c>
      <c r="H76">
        <v>192</v>
      </c>
      <c r="I76">
        <v>0</v>
      </c>
      <c r="J76">
        <v>6</v>
      </c>
      <c r="K76">
        <v>50</v>
      </c>
    </row>
    <row r="77" spans="1:11" hidden="1" x14ac:dyDescent="0.25">
      <c r="A77" t="s">
        <v>760</v>
      </c>
      <c r="B77" t="s">
        <v>232</v>
      </c>
      <c r="C77" t="s">
        <v>37</v>
      </c>
      <c r="D77" t="s">
        <v>363</v>
      </c>
      <c r="E77">
        <v>194</v>
      </c>
      <c r="F77">
        <v>0</v>
      </c>
      <c r="G77">
        <v>0</v>
      </c>
      <c r="H77">
        <v>12</v>
      </c>
      <c r="I77">
        <v>0</v>
      </c>
      <c r="J77">
        <v>0</v>
      </c>
      <c r="K77">
        <v>182</v>
      </c>
    </row>
    <row r="78" spans="1:11" x14ac:dyDescent="0.25">
      <c r="A78" t="s">
        <v>1108</v>
      </c>
      <c r="B78" t="s">
        <v>232</v>
      </c>
      <c r="C78" t="s">
        <v>35</v>
      </c>
      <c r="E78">
        <v>50</v>
      </c>
      <c r="F78">
        <v>0</v>
      </c>
      <c r="G78">
        <v>0</v>
      </c>
      <c r="H78">
        <v>23</v>
      </c>
      <c r="I78">
        <v>0</v>
      </c>
      <c r="J78">
        <v>0</v>
      </c>
      <c r="K78">
        <v>27</v>
      </c>
    </row>
    <row r="79" spans="1:11" hidden="1" x14ac:dyDescent="0.25">
      <c r="A79" t="s">
        <v>1108</v>
      </c>
      <c r="B79" t="s">
        <v>233</v>
      </c>
      <c r="C79" t="s">
        <v>36</v>
      </c>
      <c r="E79">
        <v>22</v>
      </c>
      <c r="F79">
        <v>0</v>
      </c>
      <c r="G79">
        <v>4</v>
      </c>
      <c r="H79">
        <v>0</v>
      </c>
      <c r="I79">
        <v>0</v>
      </c>
      <c r="J79">
        <v>0</v>
      </c>
      <c r="K79">
        <v>22</v>
      </c>
    </row>
    <row r="80" spans="1:11" hidden="1" x14ac:dyDescent="0.25">
      <c r="A80" t="s">
        <v>239</v>
      </c>
      <c r="B80" t="s">
        <v>232</v>
      </c>
      <c r="C80" t="s">
        <v>59</v>
      </c>
      <c r="D80" t="s">
        <v>290</v>
      </c>
      <c r="E80">
        <v>93</v>
      </c>
      <c r="F80">
        <v>0</v>
      </c>
      <c r="G80">
        <v>0</v>
      </c>
      <c r="H80">
        <v>20</v>
      </c>
      <c r="I80">
        <v>0</v>
      </c>
      <c r="J80">
        <v>0</v>
      </c>
      <c r="K80">
        <v>73</v>
      </c>
    </row>
    <row r="81" spans="1:11" hidden="1" x14ac:dyDescent="0.25">
      <c r="A81" t="s">
        <v>760</v>
      </c>
      <c r="B81" t="s">
        <v>233</v>
      </c>
      <c r="C81" t="s">
        <v>165</v>
      </c>
      <c r="D81" t="s">
        <v>361</v>
      </c>
      <c r="E81">
        <v>28</v>
      </c>
      <c r="F81">
        <v>0</v>
      </c>
      <c r="G81">
        <v>0</v>
      </c>
      <c r="H81">
        <v>0</v>
      </c>
      <c r="I81">
        <v>0</v>
      </c>
      <c r="J81">
        <v>0</v>
      </c>
      <c r="K81">
        <v>28</v>
      </c>
    </row>
    <row r="82" spans="1:11" hidden="1" x14ac:dyDescent="0.25">
      <c r="A82" t="s">
        <v>917</v>
      </c>
      <c r="B82" t="s">
        <v>233</v>
      </c>
      <c r="C82" t="s">
        <v>31</v>
      </c>
      <c r="D82" t="s">
        <v>363</v>
      </c>
      <c r="E82">
        <v>12</v>
      </c>
      <c r="F82">
        <v>0</v>
      </c>
      <c r="G82">
        <v>0</v>
      </c>
      <c r="H82">
        <v>0</v>
      </c>
      <c r="I82">
        <v>0</v>
      </c>
      <c r="J82">
        <v>0</v>
      </c>
      <c r="K82">
        <v>12</v>
      </c>
    </row>
    <row r="83" spans="1:11" hidden="1" x14ac:dyDescent="0.25">
      <c r="A83" t="s">
        <v>1061</v>
      </c>
      <c r="B83" t="s">
        <v>233</v>
      </c>
      <c r="C83" t="s">
        <v>762</v>
      </c>
      <c r="E83">
        <v>31</v>
      </c>
      <c r="F83">
        <v>0</v>
      </c>
      <c r="G83">
        <v>4</v>
      </c>
      <c r="H83">
        <v>0</v>
      </c>
      <c r="I83">
        <v>0</v>
      </c>
      <c r="J83">
        <v>0</v>
      </c>
      <c r="K83">
        <v>31</v>
      </c>
    </row>
    <row r="84" spans="1:11" hidden="1" x14ac:dyDescent="0.25">
      <c r="A84" t="s">
        <v>239</v>
      </c>
      <c r="B84" t="s">
        <v>233</v>
      </c>
      <c r="C84" t="s">
        <v>71</v>
      </c>
      <c r="D84" t="s">
        <v>346</v>
      </c>
      <c r="E84">
        <v>16</v>
      </c>
      <c r="F84">
        <v>0</v>
      </c>
      <c r="G84">
        <v>3</v>
      </c>
      <c r="H84">
        <v>0</v>
      </c>
      <c r="I84">
        <v>0</v>
      </c>
      <c r="J84">
        <v>0</v>
      </c>
      <c r="K84">
        <v>16</v>
      </c>
    </row>
    <row r="85" spans="1:11" hidden="1" x14ac:dyDescent="0.25">
      <c r="A85" t="s">
        <v>917</v>
      </c>
      <c r="B85" t="s">
        <v>233</v>
      </c>
      <c r="C85" t="s">
        <v>70</v>
      </c>
      <c r="D85" t="s">
        <v>363</v>
      </c>
      <c r="E85">
        <v>35</v>
      </c>
      <c r="F85">
        <v>0</v>
      </c>
      <c r="G85">
        <v>11</v>
      </c>
      <c r="H85">
        <v>0</v>
      </c>
      <c r="I85">
        <v>0</v>
      </c>
      <c r="J85">
        <v>0</v>
      </c>
      <c r="K85">
        <v>35</v>
      </c>
    </row>
    <row r="86" spans="1:11" hidden="1" x14ac:dyDescent="0.25">
      <c r="A86" t="s">
        <v>239</v>
      </c>
      <c r="B86" t="s">
        <v>232</v>
      </c>
      <c r="C86" t="s">
        <v>70</v>
      </c>
      <c r="D86" t="s">
        <v>273</v>
      </c>
      <c r="E86">
        <v>684</v>
      </c>
      <c r="F86">
        <v>0</v>
      </c>
      <c r="G86">
        <v>0</v>
      </c>
      <c r="H86">
        <v>552</v>
      </c>
      <c r="I86">
        <v>0</v>
      </c>
      <c r="J86">
        <v>62</v>
      </c>
      <c r="K86">
        <v>70</v>
      </c>
    </row>
    <row r="87" spans="1:11" hidden="1" x14ac:dyDescent="0.25">
      <c r="A87" t="s">
        <v>917</v>
      </c>
      <c r="B87" t="s">
        <v>232</v>
      </c>
      <c r="C87" t="s">
        <v>36</v>
      </c>
      <c r="D87" t="s">
        <v>362</v>
      </c>
      <c r="E87">
        <v>243</v>
      </c>
      <c r="F87">
        <v>0</v>
      </c>
      <c r="G87">
        <v>0</v>
      </c>
      <c r="H87">
        <v>186</v>
      </c>
      <c r="I87">
        <v>0</v>
      </c>
      <c r="J87">
        <v>6</v>
      </c>
      <c r="K87">
        <v>51</v>
      </c>
    </row>
    <row r="88" spans="1:11" hidden="1" x14ac:dyDescent="0.25">
      <c r="A88" t="s">
        <v>1061</v>
      </c>
      <c r="B88" t="s">
        <v>233</v>
      </c>
      <c r="C88" t="s">
        <v>69</v>
      </c>
      <c r="E88">
        <v>19</v>
      </c>
      <c r="F88">
        <v>0</v>
      </c>
      <c r="G88">
        <v>2</v>
      </c>
      <c r="H88">
        <v>0</v>
      </c>
      <c r="I88">
        <v>0</v>
      </c>
      <c r="J88">
        <v>0</v>
      </c>
      <c r="K88">
        <v>19</v>
      </c>
    </row>
    <row r="89" spans="1:11" hidden="1" x14ac:dyDescent="0.25">
      <c r="A89" t="s">
        <v>239</v>
      </c>
      <c r="B89" t="s">
        <v>232</v>
      </c>
      <c r="C89" t="s">
        <v>56</v>
      </c>
      <c r="D89" t="s">
        <v>282</v>
      </c>
      <c r="E89">
        <v>108</v>
      </c>
      <c r="F89">
        <v>0</v>
      </c>
      <c r="G89">
        <v>0</v>
      </c>
      <c r="H89">
        <v>58</v>
      </c>
      <c r="I89">
        <v>0</v>
      </c>
      <c r="J89">
        <v>0</v>
      </c>
      <c r="K89">
        <v>50</v>
      </c>
    </row>
    <row r="90" spans="1:11" hidden="1" x14ac:dyDescent="0.25">
      <c r="A90" t="s">
        <v>760</v>
      </c>
      <c r="B90" t="s">
        <v>233</v>
      </c>
      <c r="C90" t="s">
        <v>66</v>
      </c>
      <c r="D90" t="s">
        <v>362</v>
      </c>
      <c r="E90">
        <v>28</v>
      </c>
      <c r="F90">
        <v>0</v>
      </c>
      <c r="G90">
        <v>2</v>
      </c>
      <c r="H90">
        <v>0</v>
      </c>
      <c r="I90">
        <v>0</v>
      </c>
      <c r="J90">
        <v>0</v>
      </c>
      <c r="K90">
        <v>28</v>
      </c>
    </row>
    <row r="91" spans="1:11" hidden="1" x14ac:dyDescent="0.25">
      <c r="A91" t="s">
        <v>760</v>
      </c>
      <c r="B91" t="s">
        <v>232</v>
      </c>
      <c r="C91" t="s">
        <v>34</v>
      </c>
      <c r="D91" t="s">
        <v>362</v>
      </c>
      <c r="E91">
        <v>439</v>
      </c>
      <c r="F91">
        <v>0</v>
      </c>
      <c r="G91">
        <v>0</v>
      </c>
      <c r="H91">
        <v>174</v>
      </c>
      <c r="I91">
        <v>0</v>
      </c>
      <c r="J91">
        <v>212</v>
      </c>
      <c r="K91">
        <v>53</v>
      </c>
    </row>
    <row r="92" spans="1:11" hidden="1" x14ac:dyDescent="0.25">
      <c r="A92" t="s">
        <v>1010</v>
      </c>
      <c r="B92" t="s">
        <v>234</v>
      </c>
      <c r="C92" t="s">
        <v>162</v>
      </c>
      <c r="E92">
        <v>48</v>
      </c>
      <c r="F92">
        <v>0</v>
      </c>
      <c r="G92">
        <v>0</v>
      </c>
      <c r="H92">
        <v>0</v>
      </c>
      <c r="I92">
        <v>0</v>
      </c>
      <c r="J92">
        <v>0</v>
      </c>
      <c r="K92">
        <v>48</v>
      </c>
    </row>
    <row r="93" spans="1:11" hidden="1" x14ac:dyDescent="0.25">
      <c r="A93" t="s">
        <v>1010</v>
      </c>
      <c r="B93" t="s">
        <v>233</v>
      </c>
      <c r="C93" t="s">
        <v>68</v>
      </c>
      <c r="E93">
        <v>19</v>
      </c>
      <c r="F93">
        <v>0</v>
      </c>
      <c r="G93">
        <v>0</v>
      </c>
      <c r="H93">
        <v>0</v>
      </c>
      <c r="I93">
        <v>0</v>
      </c>
      <c r="J93">
        <v>0</v>
      </c>
      <c r="K93">
        <v>19</v>
      </c>
    </row>
    <row r="94" spans="1:11" hidden="1" x14ac:dyDescent="0.25">
      <c r="A94" t="s">
        <v>760</v>
      </c>
      <c r="B94" t="s">
        <v>233</v>
      </c>
      <c r="C94" t="s">
        <v>63</v>
      </c>
      <c r="D94" t="s">
        <v>363</v>
      </c>
      <c r="E94">
        <v>25</v>
      </c>
      <c r="F94">
        <v>0</v>
      </c>
      <c r="G94">
        <v>5</v>
      </c>
      <c r="H94">
        <v>0</v>
      </c>
      <c r="I94">
        <v>0</v>
      </c>
      <c r="J94">
        <v>0</v>
      </c>
      <c r="K94">
        <v>25</v>
      </c>
    </row>
    <row r="95" spans="1:11" hidden="1" x14ac:dyDescent="0.25">
      <c r="A95" t="s">
        <v>917</v>
      </c>
      <c r="B95" t="s">
        <v>234</v>
      </c>
      <c r="C95" t="s">
        <v>162</v>
      </c>
      <c r="D95" t="s">
        <v>363</v>
      </c>
      <c r="E95">
        <v>55</v>
      </c>
      <c r="F95">
        <v>0</v>
      </c>
      <c r="G95">
        <v>0</v>
      </c>
      <c r="H95">
        <v>0</v>
      </c>
      <c r="I95">
        <v>0</v>
      </c>
      <c r="J95">
        <v>0</v>
      </c>
      <c r="K95">
        <v>55</v>
      </c>
    </row>
    <row r="96" spans="1:11" hidden="1" x14ac:dyDescent="0.25">
      <c r="A96" t="s">
        <v>1010</v>
      </c>
      <c r="B96" t="s">
        <v>233</v>
      </c>
      <c r="C96" t="s">
        <v>165</v>
      </c>
      <c r="E96">
        <v>27</v>
      </c>
      <c r="F96">
        <v>0</v>
      </c>
      <c r="G96">
        <v>0</v>
      </c>
      <c r="H96">
        <v>0</v>
      </c>
      <c r="I96">
        <v>0</v>
      </c>
      <c r="J96">
        <v>0</v>
      </c>
      <c r="K96">
        <v>27</v>
      </c>
    </row>
    <row r="97" spans="1:11" hidden="1" x14ac:dyDescent="0.25">
      <c r="A97" t="s">
        <v>1061</v>
      </c>
      <c r="B97" t="s">
        <v>233</v>
      </c>
      <c r="C97" t="s">
        <v>64</v>
      </c>
      <c r="E97">
        <v>0</v>
      </c>
      <c r="F97">
        <v>0</v>
      </c>
      <c r="G97">
        <v>5</v>
      </c>
      <c r="H97">
        <v>0</v>
      </c>
      <c r="I97">
        <v>0</v>
      </c>
      <c r="J97">
        <v>0</v>
      </c>
      <c r="K97">
        <v>0</v>
      </c>
    </row>
    <row r="98" spans="1:11" hidden="1" x14ac:dyDescent="0.25">
      <c r="A98" t="s">
        <v>1108</v>
      </c>
      <c r="B98" t="s">
        <v>233</v>
      </c>
      <c r="C98" t="s">
        <v>71</v>
      </c>
      <c r="E98">
        <v>10</v>
      </c>
      <c r="F98">
        <v>0</v>
      </c>
      <c r="G98">
        <v>0</v>
      </c>
      <c r="H98">
        <v>0</v>
      </c>
      <c r="I98">
        <v>0</v>
      </c>
      <c r="J98">
        <v>0</v>
      </c>
      <c r="K98">
        <v>10</v>
      </c>
    </row>
    <row r="99" spans="1:11" x14ac:dyDescent="0.25">
      <c r="A99" t="s">
        <v>1108</v>
      </c>
      <c r="B99" t="s">
        <v>232</v>
      </c>
      <c r="C99" t="s">
        <v>43</v>
      </c>
      <c r="E99">
        <v>320</v>
      </c>
      <c r="F99">
        <v>0</v>
      </c>
      <c r="G99">
        <v>0</v>
      </c>
      <c r="H99">
        <v>104</v>
      </c>
      <c r="I99">
        <v>0</v>
      </c>
      <c r="J99">
        <v>0</v>
      </c>
      <c r="K99">
        <v>216</v>
      </c>
    </row>
    <row r="100" spans="1:11" hidden="1" x14ac:dyDescent="0.25">
      <c r="A100" t="s">
        <v>760</v>
      </c>
      <c r="B100" t="s">
        <v>232</v>
      </c>
      <c r="C100" t="s">
        <v>54</v>
      </c>
      <c r="D100" t="s">
        <v>361</v>
      </c>
      <c r="E100">
        <v>201</v>
      </c>
      <c r="F100">
        <v>0</v>
      </c>
      <c r="G100">
        <v>0</v>
      </c>
      <c r="H100">
        <v>148</v>
      </c>
      <c r="I100">
        <v>0</v>
      </c>
      <c r="J100">
        <v>0</v>
      </c>
      <c r="K100">
        <v>53</v>
      </c>
    </row>
    <row r="101" spans="1:11" hidden="1" x14ac:dyDescent="0.25">
      <c r="A101" t="s">
        <v>239</v>
      </c>
      <c r="B101" t="s">
        <v>232</v>
      </c>
      <c r="C101" t="s">
        <v>117</v>
      </c>
      <c r="D101" t="s">
        <v>296</v>
      </c>
      <c r="E101">
        <v>515</v>
      </c>
      <c r="F101">
        <v>0</v>
      </c>
      <c r="G101">
        <v>0</v>
      </c>
      <c r="H101">
        <v>0</v>
      </c>
      <c r="I101">
        <v>0</v>
      </c>
      <c r="J101">
        <v>0</v>
      </c>
      <c r="K101">
        <v>515</v>
      </c>
    </row>
    <row r="102" spans="1:11" hidden="1" x14ac:dyDescent="0.25">
      <c r="A102" t="s">
        <v>1108</v>
      </c>
      <c r="B102" t="s">
        <v>234</v>
      </c>
      <c r="C102" t="s">
        <v>164</v>
      </c>
      <c r="D102" t="s">
        <v>361</v>
      </c>
      <c r="E102">
        <v>29</v>
      </c>
      <c r="F102">
        <v>0</v>
      </c>
      <c r="G102">
        <v>0</v>
      </c>
      <c r="H102">
        <v>0</v>
      </c>
      <c r="I102">
        <v>0</v>
      </c>
      <c r="J102">
        <v>0</v>
      </c>
      <c r="K102">
        <v>29</v>
      </c>
    </row>
    <row r="103" spans="1:11" hidden="1" x14ac:dyDescent="0.25">
      <c r="A103" t="s">
        <v>760</v>
      </c>
      <c r="B103" t="s">
        <v>232</v>
      </c>
      <c r="C103" t="s">
        <v>42</v>
      </c>
      <c r="D103" t="s">
        <v>361</v>
      </c>
      <c r="E103">
        <v>145</v>
      </c>
      <c r="F103">
        <v>0</v>
      </c>
      <c r="G103">
        <v>0</v>
      </c>
      <c r="H103">
        <v>57</v>
      </c>
      <c r="I103">
        <v>0</v>
      </c>
      <c r="J103">
        <v>0</v>
      </c>
      <c r="K103">
        <v>88</v>
      </c>
    </row>
    <row r="104" spans="1:11" hidden="1" x14ac:dyDescent="0.25">
      <c r="A104" t="s">
        <v>1010</v>
      </c>
      <c r="B104" t="s">
        <v>232</v>
      </c>
      <c r="C104" t="s">
        <v>47</v>
      </c>
      <c r="E104">
        <v>144</v>
      </c>
      <c r="F104">
        <v>0</v>
      </c>
      <c r="G104">
        <v>0</v>
      </c>
      <c r="H104">
        <v>114</v>
      </c>
      <c r="I104">
        <v>0</v>
      </c>
      <c r="J104">
        <v>0</v>
      </c>
      <c r="K104">
        <v>30</v>
      </c>
    </row>
    <row r="105" spans="1:11" hidden="1" x14ac:dyDescent="0.25">
      <c r="A105" t="s">
        <v>239</v>
      </c>
      <c r="B105" t="s">
        <v>232</v>
      </c>
      <c r="C105" t="s">
        <v>38</v>
      </c>
      <c r="D105" t="s">
        <v>268</v>
      </c>
      <c r="E105">
        <v>124</v>
      </c>
      <c r="F105">
        <v>0</v>
      </c>
      <c r="G105">
        <v>0</v>
      </c>
      <c r="H105">
        <v>77</v>
      </c>
      <c r="I105">
        <v>0</v>
      </c>
      <c r="J105">
        <v>0</v>
      </c>
      <c r="K105">
        <v>47</v>
      </c>
    </row>
    <row r="106" spans="1:11" hidden="1" x14ac:dyDescent="0.25">
      <c r="A106" t="s">
        <v>239</v>
      </c>
      <c r="B106" t="s">
        <v>233</v>
      </c>
      <c r="C106" t="s">
        <v>66</v>
      </c>
      <c r="D106" t="s">
        <v>339</v>
      </c>
      <c r="E106">
        <v>25</v>
      </c>
      <c r="F106">
        <v>0</v>
      </c>
      <c r="G106">
        <v>1</v>
      </c>
      <c r="H106">
        <v>0</v>
      </c>
      <c r="I106">
        <v>0</v>
      </c>
      <c r="J106">
        <v>0</v>
      </c>
      <c r="K106">
        <v>25</v>
      </c>
    </row>
    <row r="107" spans="1:11" hidden="1" x14ac:dyDescent="0.25">
      <c r="A107" t="s">
        <v>760</v>
      </c>
      <c r="B107" t="s">
        <v>232</v>
      </c>
      <c r="C107" t="s">
        <v>60</v>
      </c>
      <c r="D107" t="s">
        <v>361</v>
      </c>
      <c r="E107">
        <v>123</v>
      </c>
      <c r="F107">
        <v>0</v>
      </c>
      <c r="G107">
        <v>0</v>
      </c>
      <c r="H107">
        <v>65</v>
      </c>
      <c r="I107">
        <v>0</v>
      </c>
      <c r="J107">
        <v>0</v>
      </c>
      <c r="K107">
        <v>58</v>
      </c>
    </row>
    <row r="108" spans="1:11" hidden="1" x14ac:dyDescent="0.25">
      <c r="A108" t="s">
        <v>760</v>
      </c>
      <c r="B108" t="s">
        <v>232</v>
      </c>
      <c r="C108" t="s">
        <v>32</v>
      </c>
      <c r="D108" t="s">
        <v>363</v>
      </c>
      <c r="E108">
        <v>317</v>
      </c>
      <c r="F108">
        <v>0</v>
      </c>
      <c r="G108">
        <v>0</v>
      </c>
      <c r="H108">
        <v>285</v>
      </c>
      <c r="I108">
        <v>0</v>
      </c>
      <c r="J108">
        <v>0</v>
      </c>
      <c r="K108">
        <v>32</v>
      </c>
    </row>
    <row r="109" spans="1:11" hidden="1" x14ac:dyDescent="0.25">
      <c r="A109" t="s">
        <v>1010</v>
      </c>
      <c r="B109" t="s">
        <v>232</v>
      </c>
      <c r="C109" t="s">
        <v>57</v>
      </c>
      <c r="E109">
        <v>228</v>
      </c>
      <c r="F109">
        <v>0</v>
      </c>
      <c r="G109">
        <v>0</v>
      </c>
      <c r="H109">
        <v>71</v>
      </c>
      <c r="I109">
        <v>0</v>
      </c>
      <c r="J109">
        <v>2</v>
      </c>
      <c r="K109">
        <v>155</v>
      </c>
    </row>
    <row r="110" spans="1:11" hidden="1" x14ac:dyDescent="0.25">
      <c r="A110" t="s">
        <v>1061</v>
      </c>
      <c r="B110" t="s">
        <v>232</v>
      </c>
      <c r="C110" t="s">
        <v>51</v>
      </c>
      <c r="E110">
        <v>116</v>
      </c>
      <c r="F110">
        <v>0</v>
      </c>
      <c r="G110">
        <v>0</v>
      </c>
      <c r="H110">
        <v>115</v>
      </c>
      <c r="I110">
        <v>0</v>
      </c>
      <c r="J110">
        <v>0</v>
      </c>
      <c r="K110">
        <v>1</v>
      </c>
    </row>
    <row r="111" spans="1:11" hidden="1" x14ac:dyDescent="0.25">
      <c r="A111" t="s">
        <v>760</v>
      </c>
      <c r="B111" t="s">
        <v>232</v>
      </c>
      <c r="C111" t="s">
        <v>31</v>
      </c>
      <c r="D111" t="s">
        <v>363</v>
      </c>
      <c r="E111">
        <v>163</v>
      </c>
      <c r="F111">
        <v>0</v>
      </c>
      <c r="G111">
        <v>0</v>
      </c>
      <c r="H111">
        <v>8</v>
      </c>
      <c r="I111">
        <v>0</v>
      </c>
      <c r="J111">
        <v>0</v>
      </c>
      <c r="K111">
        <v>155</v>
      </c>
    </row>
    <row r="112" spans="1:11" hidden="1" x14ac:dyDescent="0.25">
      <c r="A112" t="s">
        <v>1061</v>
      </c>
      <c r="B112" t="s">
        <v>232</v>
      </c>
      <c r="C112" t="s">
        <v>32</v>
      </c>
      <c r="E112">
        <v>306</v>
      </c>
      <c r="F112">
        <v>0</v>
      </c>
      <c r="G112">
        <v>0</v>
      </c>
      <c r="H112">
        <v>278</v>
      </c>
      <c r="I112">
        <v>0</v>
      </c>
      <c r="J112">
        <v>0</v>
      </c>
      <c r="K112">
        <v>28</v>
      </c>
    </row>
    <row r="113" spans="1:11" hidden="1" x14ac:dyDescent="0.25">
      <c r="A113" t="s">
        <v>1010</v>
      </c>
      <c r="B113" t="s">
        <v>232</v>
      </c>
      <c r="C113" t="s">
        <v>117</v>
      </c>
      <c r="E113">
        <v>493</v>
      </c>
      <c r="F113">
        <v>0</v>
      </c>
      <c r="G113">
        <v>0</v>
      </c>
      <c r="H113">
        <v>0</v>
      </c>
      <c r="I113">
        <v>0</v>
      </c>
      <c r="J113">
        <v>0</v>
      </c>
      <c r="K113">
        <v>493</v>
      </c>
    </row>
    <row r="114" spans="1:11" hidden="1" x14ac:dyDescent="0.25">
      <c r="A114" t="s">
        <v>760</v>
      </c>
      <c r="B114" t="s">
        <v>233</v>
      </c>
      <c r="C114" t="s">
        <v>57</v>
      </c>
      <c r="D114" t="s">
        <v>362</v>
      </c>
      <c r="E114">
        <v>16</v>
      </c>
      <c r="F114">
        <v>0</v>
      </c>
      <c r="G114">
        <v>2</v>
      </c>
      <c r="H114">
        <v>0</v>
      </c>
      <c r="I114">
        <v>0</v>
      </c>
      <c r="J114">
        <v>0</v>
      </c>
      <c r="K114">
        <v>16</v>
      </c>
    </row>
    <row r="115" spans="1:11" hidden="1" x14ac:dyDescent="0.25">
      <c r="A115" t="s">
        <v>1108</v>
      </c>
      <c r="B115" t="s">
        <v>233</v>
      </c>
      <c r="C115" t="s">
        <v>69</v>
      </c>
      <c r="E115">
        <v>19</v>
      </c>
      <c r="F115">
        <v>0</v>
      </c>
      <c r="G115">
        <v>2</v>
      </c>
      <c r="H115">
        <v>0</v>
      </c>
      <c r="I115">
        <v>0</v>
      </c>
      <c r="J115">
        <v>0</v>
      </c>
      <c r="K115">
        <v>19</v>
      </c>
    </row>
    <row r="116" spans="1:11" hidden="1" x14ac:dyDescent="0.25">
      <c r="A116" t="s">
        <v>1061</v>
      </c>
      <c r="B116" t="s">
        <v>232</v>
      </c>
      <c r="C116" t="s">
        <v>34</v>
      </c>
      <c r="E116">
        <v>389</v>
      </c>
      <c r="F116">
        <v>0</v>
      </c>
      <c r="G116">
        <v>0</v>
      </c>
      <c r="H116">
        <v>167</v>
      </c>
      <c r="I116">
        <v>0</v>
      </c>
      <c r="J116">
        <v>172</v>
      </c>
      <c r="K116">
        <v>50</v>
      </c>
    </row>
    <row r="117" spans="1:11" hidden="1" x14ac:dyDescent="0.25">
      <c r="A117" t="s">
        <v>917</v>
      </c>
      <c r="B117" t="s">
        <v>232</v>
      </c>
      <c r="C117" t="s">
        <v>243</v>
      </c>
      <c r="D117" t="s">
        <v>361</v>
      </c>
      <c r="E117">
        <v>308</v>
      </c>
      <c r="F117">
        <v>0</v>
      </c>
      <c r="G117">
        <v>0</v>
      </c>
      <c r="H117">
        <v>8</v>
      </c>
      <c r="I117">
        <v>0</v>
      </c>
      <c r="J117">
        <v>0</v>
      </c>
      <c r="K117">
        <v>300</v>
      </c>
    </row>
    <row r="118" spans="1:11" hidden="1" x14ac:dyDescent="0.25">
      <c r="A118" t="s">
        <v>1108</v>
      </c>
      <c r="B118" t="s">
        <v>235</v>
      </c>
      <c r="C118" t="s">
        <v>244</v>
      </c>
      <c r="D118" t="s">
        <v>347</v>
      </c>
      <c r="E118">
        <v>1142</v>
      </c>
      <c r="F118">
        <v>171</v>
      </c>
      <c r="G118">
        <v>0</v>
      </c>
      <c r="H118">
        <v>0</v>
      </c>
      <c r="I118">
        <v>887</v>
      </c>
      <c r="J118">
        <v>0</v>
      </c>
      <c r="K118">
        <v>84</v>
      </c>
    </row>
    <row r="119" spans="1:11" hidden="1" x14ac:dyDescent="0.25">
      <c r="A119" t="s">
        <v>760</v>
      </c>
      <c r="B119" t="s">
        <v>232</v>
      </c>
      <c r="C119" t="s">
        <v>33</v>
      </c>
      <c r="D119" t="s">
        <v>363</v>
      </c>
      <c r="E119">
        <v>130</v>
      </c>
      <c r="F119">
        <v>0</v>
      </c>
      <c r="G119">
        <v>0</v>
      </c>
      <c r="H119">
        <v>103</v>
      </c>
      <c r="I119">
        <v>0</v>
      </c>
      <c r="J119">
        <v>0</v>
      </c>
      <c r="K119">
        <v>27</v>
      </c>
    </row>
    <row r="120" spans="1:11" hidden="1" x14ac:dyDescent="0.25">
      <c r="A120" t="s">
        <v>239</v>
      </c>
      <c r="B120" t="s">
        <v>232</v>
      </c>
      <c r="C120" t="s">
        <v>31</v>
      </c>
      <c r="D120" t="s">
        <v>285</v>
      </c>
      <c r="E120">
        <v>163</v>
      </c>
      <c r="F120">
        <v>0</v>
      </c>
      <c r="G120">
        <v>0</v>
      </c>
      <c r="H120">
        <v>9</v>
      </c>
      <c r="I120">
        <v>0</v>
      </c>
      <c r="J120">
        <v>0</v>
      </c>
      <c r="K120">
        <v>154</v>
      </c>
    </row>
    <row r="121" spans="1:11" hidden="1" x14ac:dyDescent="0.25">
      <c r="A121" t="s">
        <v>760</v>
      </c>
      <c r="B121" t="s">
        <v>232</v>
      </c>
      <c r="C121" t="s">
        <v>57</v>
      </c>
      <c r="D121" t="s">
        <v>362</v>
      </c>
      <c r="E121">
        <v>256</v>
      </c>
      <c r="F121">
        <v>0</v>
      </c>
      <c r="G121">
        <v>0</v>
      </c>
      <c r="H121">
        <v>86</v>
      </c>
      <c r="I121">
        <v>0</v>
      </c>
      <c r="J121">
        <v>2</v>
      </c>
      <c r="K121">
        <v>168</v>
      </c>
    </row>
    <row r="122" spans="1:11" hidden="1" x14ac:dyDescent="0.25">
      <c r="A122" t="s">
        <v>239</v>
      </c>
      <c r="B122" t="s">
        <v>233</v>
      </c>
      <c r="C122" t="s">
        <v>985</v>
      </c>
      <c r="D122" t="s">
        <v>996</v>
      </c>
      <c r="E122">
        <v>18</v>
      </c>
      <c r="F122">
        <v>0</v>
      </c>
      <c r="G122">
        <v>1</v>
      </c>
      <c r="H122">
        <v>0</v>
      </c>
      <c r="I122">
        <v>0</v>
      </c>
      <c r="J122">
        <v>0</v>
      </c>
      <c r="K122">
        <v>18</v>
      </c>
    </row>
    <row r="123" spans="1:11" hidden="1" x14ac:dyDescent="0.25">
      <c r="A123" t="s">
        <v>1010</v>
      </c>
      <c r="B123" t="s">
        <v>232</v>
      </c>
      <c r="C123" t="s">
        <v>58</v>
      </c>
      <c r="E123">
        <v>118</v>
      </c>
      <c r="F123">
        <v>0</v>
      </c>
      <c r="G123">
        <v>0</v>
      </c>
      <c r="H123">
        <v>69</v>
      </c>
      <c r="I123">
        <v>0</v>
      </c>
      <c r="J123">
        <v>0</v>
      </c>
      <c r="K123">
        <v>49</v>
      </c>
    </row>
    <row r="124" spans="1:11" hidden="1" x14ac:dyDescent="0.25">
      <c r="A124" t="s">
        <v>1108</v>
      </c>
      <c r="B124" t="s">
        <v>233</v>
      </c>
      <c r="C124" t="s">
        <v>71</v>
      </c>
      <c r="E124">
        <v>1</v>
      </c>
      <c r="F124">
        <v>0</v>
      </c>
      <c r="G124">
        <v>7</v>
      </c>
      <c r="H124">
        <v>0</v>
      </c>
      <c r="I124">
        <v>0</v>
      </c>
      <c r="J124">
        <v>0</v>
      </c>
      <c r="K124">
        <v>1</v>
      </c>
    </row>
    <row r="125" spans="1:11" hidden="1" x14ac:dyDescent="0.25">
      <c r="A125" t="s">
        <v>917</v>
      </c>
      <c r="B125" t="s">
        <v>233</v>
      </c>
      <c r="C125" t="s">
        <v>117</v>
      </c>
      <c r="D125" t="s">
        <v>362</v>
      </c>
      <c r="E125">
        <v>26</v>
      </c>
      <c r="F125">
        <v>0</v>
      </c>
      <c r="G125">
        <v>0</v>
      </c>
      <c r="H125">
        <v>0</v>
      </c>
      <c r="I125">
        <v>0</v>
      </c>
      <c r="J125">
        <v>0</v>
      </c>
      <c r="K125">
        <v>26</v>
      </c>
    </row>
    <row r="126" spans="1:11" hidden="1" x14ac:dyDescent="0.25">
      <c r="A126" t="s">
        <v>239</v>
      </c>
      <c r="B126" t="s">
        <v>232</v>
      </c>
      <c r="C126" t="s">
        <v>50</v>
      </c>
      <c r="D126" t="s">
        <v>294</v>
      </c>
      <c r="E126">
        <v>201</v>
      </c>
      <c r="F126">
        <v>0</v>
      </c>
      <c r="G126">
        <v>0</v>
      </c>
      <c r="H126">
        <v>35</v>
      </c>
      <c r="I126">
        <v>0</v>
      </c>
      <c r="J126">
        <v>0</v>
      </c>
      <c r="K126">
        <v>166</v>
      </c>
    </row>
    <row r="127" spans="1:11" hidden="1" x14ac:dyDescent="0.25">
      <c r="A127" t="s">
        <v>917</v>
      </c>
      <c r="B127" t="s">
        <v>232</v>
      </c>
      <c r="C127" t="s">
        <v>70</v>
      </c>
      <c r="D127" t="s">
        <v>363</v>
      </c>
      <c r="E127">
        <v>622</v>
      </c>
      <c r="F127">
        <v>0</v>
      </c>
      <c r="G127">
        <v>0</v>
      </c>
      <c r="H127">
        <v>500</v>
      </c>
      <c r="I127">
        <v>0</v>
      </c>
      <c r="J127">
        <v>48</v>
      </c>
      <c r="K127">
        <v>74</v>
      </c>
    </row>
    <row r="128" spans="1:11" x14ac:dyDescent="0.25">
      <c r="A128" t="s">
        <v>1108</v>
      </c>
      <c r="B128" t="s">
        <v>232</v>
      </c>
      <c r="C128" t="s">
        <v>57</v>
      </c>
      <c r="E128">
        <v>234</v>
      </c>
      <c r="F128">
        <v>0</v>
      </c>
      <c r="G128">
        <v>0</v>
      </c>
      <c r="H128">
        <v>73</v>
      </c>
      <c r="I128">
        <v>0</v>
      </c>
      <c r="J128">
        <v>0</v>
      </c>
      <c r="K128">
        <v>161</v>
      </c>
    </row>
    <row r="129" spans="1:11" x14ac:dyDescent="0.25">
      <c r="A129" t="s">
        <v>1108</v>
      </c>
      <c r="B129" t="s">
        <v>232</v>
      </c>
      <c r="C129" t="s">
        <v>34</v>
      </c>
      <c r="E129">
        <v>400</v>
      </c>
      <c r="F129">
        <v>0</v>
      </c>
      <c r="G129">
        <v>0</v>
      </c>
      <c r="H129">
        <v>173</v>
      </c>
      <c r="I129">
        <v>0</v>
      </c>
      <c r="J129">
        <v>172</v>
      </c>
      <c r="K129">
        <v>55</v>
      </c>
    </row>
    <row r="130" spans="1:11" hidden="1" x14ac:dyDescent="0.25">
      <c r="A130" t="s">
        <v>917</v>
      </c>
      <c r="B130" t="s">
        <v>232</v>
      </c>
      <c r="C130" t="s">
        <v>49</v>
      </c>
      <c r="D130" t="s">
        <v>362</v>
      </c>
      <c r="E130">
        <v>197</v>
      </c>
      <c r="F130">
        <v>0</v>
      </c>
      <c r="G130">
        <v>0</v>
      </c>
      <c r="H130">
        <v>100</v>
      </c>
      <c r="I130">
        <v>0</v>
      </c>
      <c r="J130">
        <v>22</v>
      </c>
      <c r="K130">
        <v>75</v>
      </c>
    </row>
    <row r="131" spans="1:11" hidden="1" x14ac:dyDescent="0.25">
      <c r="A131" t="s">
        <v>917</v>
      </c>
      <c r="B131" t="s">
        <v>232</v>
      </c>
      <c r="C131" t="s">
        <v>39</v>
      </c>
      <c r="D131" t="s">
        <v>362</v>
      </c>
      <c r="E131">
        <v>76</v>
      </c>
      <c r="F131">
        <v>0</v>
      </c>
      <c r="G131">
        <v>0</v>
      </c>
      <c r="H131">
        <v>0</v>
      </c>
      <c r="I131">
        <v>0</v>
      </c>
      <c r="J131">
        <v>0</v>
      </c>
      <c r="K131">
        <v>76</v>
      </c>
    </row>
    <row r="132" spans="1:11" hidden="1" x14ac:dyDescent="0.25">
      <c r="A132" t="s">
        <v>239</v>
      </c>
      <c r="B132" t="s">
        <v>233</v>
      </c>
      <c r="C132" t="s">
        <v>50</v>
      </c>
      <c r="D132" t="s">
        <v>995</v>
      </c>
      <c r="E132">
        <v>17</v>
      </c>
      <c r="F132">
        <v>0</v>
      </c>
      <c r="G132">
        <v>0</v>
      </c>
      <c r="H132">
        <v>0</v>
      </c>
      <c r="I132">
        <v>0</v>
      </c>
      <c r="J132">
        <v>0</v>
      </c>
      <c r="K132">
        <v>17</v>
      </c>
    </row>
    <row r="133" spans="1:11" x14ac:dyDescent="0.25">
      <c r="A133" t="s">
        <v>1108</v>
      </c>
      <c r="B133" t="s">
        <v>232</v>
      </c>
      <c r="C133" t="s">
        <v>46</v>
      </c>
      <c r="E133">
        <v>42</v>
      </c>
      <c r="F133">
        <v>0</v>
      </c>
      <c r="G133">
        <v>0</v>
      </c>
      <c r="H133">
        <v>13</v>
      </c>
      <c r="I133">
        <v>0</v>
      </c>
      <c r="J133">
        <v>0</v>
      </c>
      <c r="K133">
        <v>29</v>
      </c>
    </row>
    <row r="134" spans="1:11" hidden="1" x14ac:dyDescent="0.25">
      <c r="A134" t="s">
        <v>1061</v>
      </c>
      <c r="B134" t="s">
        <v>232</v>
      </c>
      <c r="C134" t="s">
        <v>243</v>
      </c>
      <c r="E134">
        <v>292</v>
      </c>
      <c r="F134">
        <v>0</v>
      </c>
      <c r="G134">
        <v>0</v>
      </c>
      <c r="H134">
        <v>9</v>
      </c>
      <c r="I134">
        <v>0</v>
      </c>
      <c r="J134">
        <v>0</v>
      </c>
      <c r="K134">
        <v>283</v>
      </c>
    </row>
    <row r="135" spans="1:11" hidden="1" x14ac:dyDescent="0.25">
      <c r="A135" t="s">
        <v>1108</v>
      </c>
      <c r="B135" t="s">
        <v>233</v>
      </c>
      <c r="C135" t="s">
        <v>67</v>
      </c>
      <c r="E135">
        <v>26</v>
      </c>
      <c r="F135">
        <v>0</v>
      </c>
      <c r="G135">
        <v>3</v>
      </c>
      <c r="H135">
        <v>0</v>
      </c>
      <c r="I135">
        <v>0</v>
      </c>
      <c r="J135">
        <v>0</v>
      </c>
      <c r="K135">
        <v>26</v>
      </c>
    </row>
    <row r="136" spans="1:11" hidden="1" x14ac:dyDescent="0.25">
      <c r="A136" t="s">
        <v>1010</v>
      </c>
      <c r="B136" t="s">
        <v>232</v>
      </c>
      <c r="C136" t="s">
        <v>59</v>
      </c>
      <c r="E136">
        <v>90</v>
      </c>
      <c r="F136">
        <v>0</v>
      </c>
      <c r="G136">
        <v>0</v>
      </c>
      <c r="H136">
        <v>21</v>
      </c>
      <c r="I136">
        <v>0</v>
      </c>
      <c r="J136">
        <v>0</v>
      </c>
      <c r="K136">
        <v>69</v>
      </c>
    </row>
    <row r="137" spans="1:11" hidden="1" x14ac:dyDescent="0.25">
      <c r="A137" t="s">
        <v>239</v>
      </c>
      <c r="B137" t="s">
        <v>233</v>
      </c>
      <c r="C137" t="s">
        <v>165</v>
      </c>
      <c r="D137" t="s">
        <v>342</v>
      </c>
      <c r="E137">
        <v>30</v>
      </c>
      <c r="F137">
        <v>0</v>
      </c>
      <c r="G137">
        <v>0</v>
      </c>
      <c r="H137">
        <v>0</v>
      </c>
      <c r="I137">
        <v>0</v>
      </c>
      <c r="J137">
        <v>0</v>
      </c>
      <c r="K137">
        <v>30</v>
      </c>
    </row>
    <row r="138" spans="1:11" hidden="1" x14ac:dyDescent="0.25">
      <c r="A138" t="s">
        <v>1010</v>
      </c>
      <c r="B138" t="s">
        <v>232</v>
      </c>
      <c r="C138" t="s">
        <v>34</v>
      </c>
      <c r="E138">
        <v>401</v>
      </c>
      <c r="F138">
        <v>0</v>
      </c>
      <c r="G138">
        <v>0</v>
      </c>
      <c r="H138">
        <v>172</v>
      </c>
      <c r="I138">
        <v>0</v>
      </c>
      <c r="J138">
        <v>183</v>
      </c>
      <c r="K138">
        <v>46</v>
      </c>
    </row>
    <row r="139" spans="1:11" x14ac:dyDescent="0.25">
      <c r="A139" t="s">
        <v>1108</v>
      </c>
      <c r="B139" t="s">
        <v>232</v>
      </c>
      <c r="C139" t="s">
        <v>37</v>
      </c>
      <c r="E139">
        <v>182</v>
      </c>
      <c r="F139">
        <v>0</v>
      </c>
      <c r="G139">
        <v>0</v>
      </c>
      <c r="H139">
        <v>14</v>
      </c>
      <c r="I139">
        <v>0</v>
      </c>
      <c r="J139">
        <v>0</v>
      </c>
      <c r="K139">
        <v>168</v>
      </c>
    </row>
    <row r="140" spans="1:11" hidden="1" x14ac:dyDescent="0.25">
      <c r="A140" t="s">
        <v>1010</v>
      </c>
      <c r="B140" t="s">
        <v>232</v>
      </c>
      <c r="C140" t="s">
        <v>37</v>
      </c>
      <c r="E140">
        <v>187</v>
      </c>
      <c r="F140">
        <v>0</v>
      </c>
      <c r="G140">
        <v>0</v>
      </c>
      <c r="H140">
        <v>13</v>
      </c>
      <c r="I140">
        <v>0</v>
      </c>
      <c r="J140">
        <v>0</v>
      </c>
      <c r="K140">
        <v>174</v>
      </c>
    </row>
    <row r="141" spans="1:11" hidden="1" x14ac:dyDescent="0.25">
      <c r="A141" t="s">
        <v>1061</v>
      </c>
      <c r="B141" t="s">
        <v>232</v>
      </c>
      <c r="C141" t="s">
        <v>36</v>
      </c>
      <c r="E141">
        <v>251</v>
      </c>
      <c r="F141">
        <v>0</v>
      </c>
      <c r="G141">
        <v>0</v>
      </c>
      <c r="H141">
        <v>194</v>
      </c>
      <c r="I141">
        <v>0</v>
      </c>
      <c r="J141">
        <v>6</v>
      </c>
      <c r="K141">
        <v>51</v>
      </c>
    </row>
    <row r="142" spans="1:11" x14ac:dyDescent="0.25">
      <c r="A142" t="s">
        <v>1108</v>
      </c>
      <c r="B142" t="s">
        <v>232</v>
      </c>
      <c r="C142" t="s">
        <v>39</v>
      </c>
      <c r="E142">
        <v>76</v>
      </c>
      <c r="F142">
        <v>0</v>
      </c>
      <c r="G142">
        <v>0</v>
      </c>
      <c r="H142">
        <v>0</v>
      </c>
      <c r="I142">
        <v>0</v>
      </c>
      <c r="J142">
        <v>0</v>
      </c>
      <c r="K142">
        <v>76</v>
      </c>
    </row>
    <row r="143" spans="1:11" hidden="1" x14ac:dyDescent="0.25">
      <c r="A143" t="s">
        <v>760</v>
      </c>
      <c r="B143" t="s">
        <v>233</v>
      </c>
      <c r="C143" t="s">
        <v>36</v>
      </c>
      <c r="D143" t="s">
        <v>362</v>
      </c>
      <c r="E143">
        <v>22</v>
      </c>
      <c r="F143">
        <v>0</v>
      </c>
      <c r="G143">
        <v>2</v>
      </c>
      <c r="H143">
        <v>0</v>
      </c>
      <c r="I143">
        <v>0</v>
      </c>
      <c r="J143">
        <v>0</v>
      </c>
      <c r="K143">
        <v>22</v>
      </c>
    </row>
    <row r="144" spans="1:11" hidden="1" x14ac:dyDescent="0.25">
      <c r="A144" t="s">
        <v>760</v>
      </c>
      <c r="B144" t="s">
        <v>233</v>
      </c>
      <c r="C144" t="s">
        <v>65</v>
      </c>
      <c r="D144" t="s">
        <v>363</v>
      </c>
      <c r="E144">
        <v>31</v>
      </c>
      <c r="F144">
        <v>0</v>
      </c>
      <c r="G144">
        <v>2</v>
      </c>
      <c r="H144">
        <v>0</v>
      </c>
      <c r="I144">
        <v>0</v>
      </c>
      <c r="J144">
        <v>0</v>
      </c>
      <c r="K144">
        <v>31</v>
      </c>
    </row>
    <row r="145" spans="1:11" hidden="1" x14ac:dyDescent="0.25">
      <c r="A145" t="s">
        <v>917</v>
      </c>
      <c r="B145" t="s">
        <v>232</v>
      </c>
      <c r="C145" t="s">
        <v>47</v>
      </c>
      <c r="D145" t="s">
        <v>363</v>
      </c>
      <c r="E145">
        <v>147</v>
      </c>
      <c r="F145">
        <v>0</v>
      </c>
      <c r="G145">
        <v>0</v>
      </c>
      <c r="H145">
        <v>114</v>
      </c>
      <c r="I145">
        <v>0</v>
      </c>
      <c r="J145">
        <v>3</v>
      </c>
      <c r="K145">
        <v>30</v>
      </c>
    </row>
    <row r="146" spans="1:11" hidden="1" x14ac:dyDescent="0.25">
      <c r="A146" t="s">
        <v>1061</v>
      </c>
      <c r="B146" t="s">
        <v>234</v>
      </c>
      <c r="C146" t="s">
        <v>162</v>
      </c>
      <c r="E146">
        <v>70</v>
      </c>
      <c r="F146">
        <v>0</v>
      </c>
      <c r="G146">
        <v>0</v>
      </c>
      <c r="H146">
        <v>0</v>
      </c>
      <c r="I146">
        <v>0</v>
      </c>
      <c r="J146">
        <v>0</v>
      </c>
      <c r="K146">
        <v>70</v>
      </c>
    </row>
    <row r="147" spans="1:11" hidden="1" x14ac:dyDescent="0.25">
      <c r="A147" t="s">
        <v>760</v>
      </c>
      <c r="B147" t="s">
        <v>232</v>
      </c>
      <c r="C147" t="s">
        <v>43</v>
      </c>
      <c r="D147" t="s">
        <v>361</v>
      </c>
      <c r="E147">
        <v>382</v>
      </c>
      <c r="F147">
        <v>0</v>
      </c>
      <c r="G147">
        <v>0</v>
      </c>
      <c r="H147">
        <v>113</v>
      </c>
      <c r="I147">
        <v>0</v>
      </c>
      <c r="J147">
        <v>0</v>
      </c>
      <c r="K147">
        <v>269</v>
      </c>
    </row>
    <row r="148" spans="1:11" hidden="1" x14ac:dyDescent="0.25">
      <c r="A148" t="s">
        <v>760</v>
      </c>
      <c r="B148" t="s">
        <v>232</v>
      </c>
      <c r="C148" t="s">
        <v>50</v>
      </c>
      <c r="D148" t="s">
        <v>362</v>
      </c>
      <c r="E148">
        <v>200</v>
      </c>
      <c r="F148">
        <v>0</v>
      </c>
      <c r="G148">
        <v>0</v>
      </c>
      <c r="H148">
        <v>37</v>
      </c>
      <c r="I148">
        <v>0</v>
      </c>
      <c r="J148">
        <v>0</v>
      </c>
      <c r="K148">
        <v>163</v>
      </c>
    </row>
    <row r="149" spans="1:11" hidden="1" x14ac:dyDescent="0.25">
      <c r="A149" t="s">
        <v>760</v>
      </c>
      <c r="B149" t="s">
        <v>233</v>
      </c>
      <c r="C149" t="s">
        <v>67</v>
      </c>
      <c r="D149" t="s">
        <v>361</v>
      </c>
      <c r="E149">
        <v>29</v>
      </c>
      <c r="F149">
        <v>0</v>
      </c>
      <c r="G149">
        <v>3</v>
      </c>
      <c r="H149">
        <v>0</v>
      </c>
      <c r="I149">
        <v>0</v>
      </c>
      <c r="J149">
        <v>0</v>
      </c>
      <c r="K149">
        <v>29</v>
      </c>
    </row>
    <row r="150" spans="1:11" hidden="1" x14ac:dyDescent="0.25">
      <c r="A150" t="s">
        <v>760</v>
      </c>
      <c r="B150" t="s">
        <v>232</v>
      </c>
      <c r="C150" t="s">
        <v>56</v>
      </c>
      <c r="D150" t="s">
        <v>362</v>
      </c>
      <c r="E150">
        <v>105</v>
      </c>
      <c r="F150">
        <v>0</v>
      </c>
      <c r="G150">
        <v>0</v>
      </c>
      <c r="H150">
        <v>55</v>
      </c>
      <c r="I150">
        <v>0</v>
      </c>
      <c r="J150">
        <v>0</v>
      </c>
      <c r="K150">
        <v>50</v>
      </c>
    </row>
    <row r="151" spans="1:11" x14ac:dyDescent="0.25">
      <c r="A151" t="s">
        <v>1108</v>
      </c>
      <c r="B151" t="s">
        <v>232</v>
      </c>
      <c r="C151" t="s">
        <v>58</v>
      </c>
      <c r="E151">
        <v>117</v>
      </c>
      <c r="F151">
        <v>0</v>
      </c>
      <c r="G151">
        <v>0</v>
      </c>
      <c r="H151">
        <v>68</v>
      </c>
      <c r="I151">
        <v>0</v>
      </c>
      <c r="J151">
        <v>0</v>
      </c>
      <c r="K151">
        <v>49</v>
      </c>
    </row>
    <row r="152" spans="1:11" hidden="1" x14ac:dyDescent="0.25">
      <c r="A152" t="s">
        <v>1010</v>
      </c>
      <c r="B152" t="s">
        <v>235</v>
      </c>
      <c r="C152" t="s">
        <v>244</v>
      </c>
      <c r="D152" t="s">
        <v>347</v>
      </c>
      <c r="E152">
        <v>1182</v>
      </c>
      <c r="F152">
        <v>174</v>
      </c>
      <c r="G152">
        <v>0</v>
      </c>
      <c r="H152">
        <v>0</v>
      </c>
      <c r="I152">
        <v>920</v>
      </c>
      <c r="J152">
        <v>0</v>
      </c>
      <c r="K152">
        <v>88</v>
      </c>
    </row>
    <row r="153" spans="1:11" hidden="1" x14ac:dyDescent="0.25">
      <c r="A153" t="s">
        <v>1108</v>
      </c>
      <c r="B153" t="s">
        <v>233</v>
      </c>
      <c r="C153" t="s">
        <v>70</v>
      </c>
      <c r="E153">
        <v>23</v>
      </c>
      <c r="F153">
        <v>0</v>
      </c>
      <c r="G153">
        <v>11</v>
      </c>
      <c r="H153">
        <v>0</v>
      </c>
      <c r="I153">
        <v>0</v>
      </c>
      <c r="J153">
        <v>0</v>
      </c>
      <c r="K153">
        <v>23</v>
      </c>
    </row>
    <row r="154" spans="1:11" hidden="1" x14ac:dyDescent="0.25">
      <c r="A154" t="s">
        <v>239</v>
      </c>
      <c r="B154" t="s">
        <v>232</v>
      </c>
      <c r="C154" t="s">
        <v>36</v>
      </c>
      <c r="D154" t="s">
        <v>267</v>
      </c>
      <c r="E154">
        <v>257</v>
      </c>
      <c r="F154">
        <v>0</v>
      </c>
      <c r="G154">
        <v>0</v>
      </c>
      <c r="H154">
        <v>198</v>
      </c>
      <c r="I154">
        <v>0</v>
      </c>
      <c r="J154">
        <v>6</v>
      </c>
      <c r="K154">
        <v>53</v>
      </c>
    </row>
    <row r="155" spans="1:11" hidden="1" x14ac:dyDescent="0.25">
      <c r="A155" t="s">
        <v>239</v>
      </c>
      <c r="B155" t="s">
        <v>232</v>
      </c>
      <c r="C155" t="s">
        <v>43</v>
      </c>
      <c r="D155" t="s">
        <v>297</v>
      </c>
      <c r="E155">
        <v>390</v>
      </c>
      <c r="F155">
        <v>0</v>
      </c>
      <c r="G155">
        <v>0</v>
      </c>
      <c r="H155">
        <v>116</v>
      </c>
      <c r="I155">
        <v>0</v>
      </c>
      <c r="J155">
        <v>0</v>
      </c>
      <c r="K155">
        <v>274</v>
      </c>
    </row>
    <row r="156" spans="1:11" hidden="1" x14ac:dyDescent="0.25">
      <c r="A156" t="s">
        <v>760</v>
      </c>
      <c r="B156" t="s">
        <v>235</v>
      </c>
      <c r="C156" t="s">
        <v>244</v>
      </c>
      <c r="D156" t="s">
        <v>347</v>
      </c>
      <c r="E156">
        <v>1095</v>
      </c>
      <c r="F156">
        <v>188</v>
      </c>
      <c r="G156">
        <v>0</v>
      </c>
      <c r="H156">
        <v>0</v>
      </c>
      <c r="I156">
        <v>817</v>
      </c>
      <c r="J156">
        <v>0</v>
      </c>
      <c r="K156">
        <v>90</v>
      </c>
    </row>
    <row r="157" spans="1:11" hidden="1" x14ac:dyDescent="0.25">
      <c r="A157" t="s">
        <v>917</v>
      </c>
      <c r="B157" t="s">
        <v>232</v>
      </c>
      <c r="C157" t="s">
        <v>31</v>
      </c>
      <c r="D157" t="s">
        <v>363</v>
      </c>
      <c r="E157">
        <v>159</v>
      </c>
      <c r="F157">
        <v>0</v>
      </c>
      <c r="G157">
        <v>0</v>
      </c>
      <c r="H157">
        <v>10</v>
      </c>
      <c r="I157">
        <v>0</v>
      </c>
      <c r="J157">
        <v>0</v>
      </c>
      <c r="K157">
        <v>149</v>
      </c>
    </row>
    <row r="158" spans="1:11" x14ac:dyDescent="0.25">
      <c r="A158" t="s">
        <v>1108</v>
      </c>
      <c r="B158" t="s">
        <v>232</v>
      </c>
      <c r="C158" t="s">
        <v>53</v>
      </c>
      <c r="E158">
        <v>113</v>
      </c>
      <c r="F158">
        <v>0</v>
      </c>
      <c r="G158">
        <v>0</v>
      </c>
      <c r="H158">
        <v>11</v>
      </c>
      <c r="I158">
        <v>0</v>
      </c>
      <c r="J158">
        <v>0</v>
      </c>
      <c r="K158">
        <v>102</v>
      </c>
    </row>
    <row r="159" spans="1:11" hidden="1" x14ac:dyDescent="0.25">
      <c r="A159" t="s">
        <v>760</v>
      </c>
      <c r="B159" t="s">
        <v>232</v>
      </c>
      <c r="C159" t="s">
        <v>52</v>
      </c>
      <c r="D159" t="s">
        <v>363</v>
      </c>
      <c r="E159">
        <v>219</v>
      </c>
      <c r="F159">
        <v>0</v>
      </c>
      <c r="G159">
        <v>0</v>
      </c>
      <c r="H159">
        <v>131</v>
      </c>
      <c r="I159">
        <v>0</v>
      </c>
      <c r="J159">
        <v>21</v>
      </c>
      <c r="K159">
        <v>67</v>
      </c>
    </row>
    <row r="160" spans="1:11" hidden="1" x14ac:dyDescent="0.25">
      <c r="A160" t="s">
        <v>1010</v>
      </c>
      <c r="B160" t="s">
        <v>233</v>
      </c>
      <c r="C160" t="s">
        <v>66</v>
      </c>
      <c r="E160">
        <v>27</v>
      </c>
      <c r="F160">
        <v>0</v>
      </c>
      <c r="G160">
        <v>4</v>
      </c>
      <c r="H160">
        <v>0</v>
      </c>
      <c r="I160">
        <v>0</v>
      </c>
      <c r="J160">
        <v>0</v>
      </c>
      <c r="K160">
        <v>27</v>
      </c>
    </row>
    <row r="161" spans="1:11" hidden="1" x14ac:dyDescent="0.25">
      <c r="A161" t="s">
        <v>1061</v>
      </c>
      <c r="B161" t="s">
        <v>232</v>
      </c>
      <c r="C161" t="s">
        <v>57</v>
      </c>
      <c r="E161">
        <v>234</v>
      </c>
      <c r="F161">
        <v>0</v>
      </c>
      <c r="G161">
        <v>0</v>
      </c>
      <c r="H161">
        <v>68</v>
      </c>
      <c r="I161">
        <v>0</v>
      </c>
      <c r="J161">
        <v>2</v>
      </c>
      <c r="K161">
        <v>164</v>
      </c>
    </row>
    <row r="162" spans="1:11" hidden="1" x14ac:dyDescent="0.25">
      <c r="A162" t="s">
        <v>1010</v>
      </c>
      <c r="B162" t="s">
        <v>234</v>
      </c>
      <c r="C162" t="s">
        <v>163</v>
      </c>
      <c r="E162">
        <v>107</v>
      </c>
      <c r="F162">
        <v>0</v>
      </c>
      <c r="G162">
        <v>0</v>
      </c>
      <c r="H162">
        <v>0</v>
      </c>
      <c r="I162">
        <v>0</v>
      </c>
      <c r="J162">
        <v>0</v>
      </c>
      <c r="K162">
        <v>107</v>
      </c>
    </row>
    <row r="163" spans="1:11" hidden="1" x14ac:dyDescent="0.25">
      <c r="A163" t="s">
        <v>1061</v>
      </c>
      <c r="B163" t="s">
        <v>232</v>
      </c>
      <c r="C163" t="s">
        <v>35</v>
      </c>
      <c r="E163">
        <v>50</v>
      </c>
      <c r="F163">
        <v>0</v>
      </c>
      <c r="G163">
        <v>0</v>
      </c>
      <c r="H163">
        <v>25</v>
      </c>
      <c r="I163">
        <v>0</v>
      </c>
      <c r="J163">
        <v>0</v>
      </c>
      <c r="K163">
        <v>25</v>
      </c>
    </row>
    <row r="164" spans="1:11" hidden="1" x14ac:dyDescent="0.25">
      <c r="A164" t="s">
        <v>1010</v>
      </c>
      <c r="B164" t="s">
        <v>232</v>
      </c>
      <c r="C164" t="s">
        <v>32</v>
      </c>
      <c r="E164">
        <v>313</v>
      </c>
      <c r="F164">
        <v>0</v>
      </c>
      <c r="G164">
        <v>0</v>
      </c>
      <c r="H164">
        <v>285</v>
      </c>
      <c r="I164">
        <v>0</v>
      </c>
      <c r="J164">
        <v>0</v>
      </c>
      <c r="K164">
        <v>28</v>
      </c>
    </row>
    <row r="165" spans="1:11" hidden="1" x14ac:dyDescent="0.25">
      <c r="A165" t="s">
        <v>760</v>
      </c>
      <c r="B165" t="s">
        <v>233</v>
      </c>
      <c r="C165" t="s">
        <v>70</v>
      </c>
      <c r="D165" t="s">
        <v>363</v>
      </c>
      <c r="E165">
        <v>38</v>
      </c>
      <c r="F165">
        <v>0</v>
      </c>
      <c r="G165">
        <v>7</v>
      </c>
      <c r="H165">
        <v>0</v>
      </c>
      <c r="I165">
        <v>0</v>
      </c>
      <c r="J165">
        <v>0</v>
      </c>
      <c r="K165">
        <v>38</v>
      </c>
    </row>
    <row r="166" spans="1:11" hidden="1" x14ac:dyDescent="0.25">
      <c r="A166" t="s">
        <v>239</v>
      </c>
      <c r="B166" t="s">
        <v>232</v>
      </c>
      <c r="C166" t="s">
        <v>35</v>
      </c>
      <c r="D166" t="s">
        <v>266</v>
      </c>
      <c r="E166">
        <v>45</v>
      </c>
      <c r="F166">
        <v>0</v>
      </c>
      <c r="G166">
        <v>0</v>
      </c>
      <c r="H166">
        <v>20</v>
      </c>
      <c r="I166">
        <v>0</v>
      </c>
      <c r="J166">
        <v>0</v>
      </c>
      <c r="K166">
        <v>25</v>
      </c>
    </row>
    <row r="167" spans="1:11" hidden="1" x14ac:dyDescent="0.25">
      <c r="A167" t="s">
        <v>1010</v>
      </c>
      <c r="B167" t="s">
        <v>232</v>
      </c>
      <c r="C167" t="s">
        <v>35</v>
      </c>
      <c r="E167">
        <v>49</v>
      </c>
      <c r="F167">
        <v>0</v>
      </c>
      <c r="G167">
        <v>0</v>
      </c>
      <c r="H167">
        <v>25</v>
      </c>
      <c r="I167">
        <v>0</v>
      </c>
      <c r="J167">
        <v>0</v>
      </c>
      <c r="K167">
        <v>24</v>
      </c>
    </row>
    <row r="168" spans="1:11" hidden="1" x14ac:dyDescent="0.25">
      <c r="A168" t="s">
        <v>1061</v>
      </c>
      <c r="B168" t="s">
        <v>233</v>
      </c>
      <c r="C168" t="s">
        <v>36</v>
      </c>
      <c r="E168">
        <v>18</v>
      </c>
      <c r="F168">
        <v>0</v>
      </c>
      <c r="G168">
        <v>4</v>
      </c>
      <c r="H168">
        <v>0</v>
      </c>
      <c r="I168">
        <v>0</v>
      </c>
      <c r="J168">
        <v>0</v>
      </c>
      <c r="K168">
        <v>18</v>
      </c>
    </row>
    <row r="169" spans="1:11" hidden="1" x14ac:dyDescent="0.25">
      <c r="A169" t="s">
        <v>1010</v>
      </c>
      <c r="B169" t="s">
        <v>232</v>
      </c>
      <c r="C169" t="s">
        <v>43</v>
      </c>
      <c r="E169">
        <v>357</v>
      </c>
      <c r="F169">
        <v>0</v>
      </c>
      <c r="G169">
        <v>0</v>
      </c>
      <c r="H169">
        <v>103</v>
      </c>
      <c r="I169">
        <v>0</v>
      </c>
      <c r="J169">
        <v>0</v>
      </c>
      <c r="K169">
        <v>254</v>
      </c>
    </row>
    <row r="170" spans="1:11" x14ac:dyDescent="0.25">
      <c r="A170" t="s">
        <v>1108</v>
      </c>
      <c r="B170" t="s">
        <v>232</v>
      </c>
      <c r="C170" t="s">
        <v>50</v>
      </c>
      <c r="E170">
        <v>198</v>
      </c>
      <c r="F170">
        <v>0</v>
      </c>
      <c r="G170">
        <v>0</v>
      </c>
      <c r="H170">
        <v>29</v>
      </c>
      <c r="I170">
        <v>0</v>
      </c>
      <c r="J170">
        <v>0</v>
      </c>
      <c r="K170">
        <v>169</v>
      </c>
    </row>
    <row r="171" spans="1:11" hidden="1" x14ac:dyDescent="0.25">
      <c r="A171" t="s">
        <v>1010</v>
      </c>
      <c r="B171" t="s">
        <v>232</v>
      </c>
      <c r="C171" t="s">
        <v>39</v>
      </c>
      <c r="E171">
        <v>75</v>
      </c>
      <c r="F171">
        <v>0</v>
      </c>
      <c r="G171">
        <v>0</v>
      </c>
      <c r="H171">
        <v>0</v>
      </c>
      <c r="I171">
        <v>0</v>
      </c>
      <c r="J171">
        <v>0</v>
      </c>
      <c r="K171">
        <v>75</v>
      </c>
    </row>
    <row r="172" spans="1:11" hidden="1" x14ac:dyDescent="0.25">
      <c r="A172" t="s">
        <v>760</v>
      </c>
      <c r="B172" t="s">
        <v>232</v>
      </c>
      <c r="C172" t="s">
        <v>49</v>
      </c>
      <c r="D172" t="s">
        <v>362</v>
      </c>
      <c r="E172">
        <v>201</v>
      </c>
      <c r="F172">
        <v>0</v>
      </c>
      <c r="G172">
        <v>0</v>
      </c>
      <c r="H172">
        <v>104</v>
      </c>
      <c r="I172">
        <v>0</v>
      </c>
      <c r="J172">
        <v>22</v>
      </c>
      <c r="K172">
        <v>75</v>
      </c>
    </row>
    <row r="173" spans="1:11" hidden="1" x14ac:dyDescent="0.25">
      <c r="A173" t="s">
        <v>239</v>
      </c>
      <c r="B173" t="s">
        <v>232</v>
      </c>
      <c r="C173" t="s">
        <v>34</v>
      </c>
      <c r="D173" t="s">
        <v>287</v>
      </c>
      <c r="E173">
        <v>433</v>
      </c>
      <c r="F173">
        <v>0</v>
      </c>
      <c r="G173">
        <v>0</v>
      </c>
      <c r="H173">
        <v>176</v>
      </c>
      <c r="I173">
        <v>0</v>
      </c>
      <c r="J173">
        <v>203</v>
      </c>
      <c r="K173">
        <v>54</v>
      </c>
    </row>
    <row r="174" spans="1:11" x14ac:dyDescent="0.25">
      <c r="A174" t="s">
        <v>1108</v>
      </c>
      <c r="B174" t="s">
        <v>232</v>
      </c>
      <c r="C174" t="s">
        <v>45</v>
      </c>
      <c r="E174">
        <v>98</v>
      </c>
      <c r="F174">
        <v>0</v>
      </c>
      <c r="G174">
        <v>0</v>
      </c>
      <c r="H174">
        <v>35</v>
      </c>
      <c r="I174">
        <v>0</v>
      </c>
      <c r="J174">
        <v>0</v>
      </c>
      <c r="K174">
        <v>63</v>
      </c>
    </row>
    <row r="175" spans="1:11" hidden="1" x14ac:dyDescent="0.25">
      <c r="A175" t="s">
        <v>1010</v>
      </c>
      <c r="B175" t="s">
        <v>232</v>
      </c>
      <c r="C175" t="s">
        <v>48</v>
      </c>
      <c r="E175">
        <v>121</v>
      </c>
      <c r="F175">
        <v>0</v>
      </c>
      <c r="G175">
        <v>0</v>
      </c>
      <c r="H175">
        <v>121</v>
      </c>
      <c r="I175">
        <v>0</v>
      </c>
      <c r="J175">
        <v>0</v>
      </c>
      <c r="K175">
        <v>0</v>
      </c>
    </row>
    <row r="176" spans="1:11" hidden="1" x14ac:dyDescent="0.25">
      <c r="A176" t="s">
        <v>760</v>
      </c>
      <c r="B176" t="s">
        <v>233</v>
      </c>
      <c r="C176" t="s">
        <v>64</v>
      </c>
      <c r="D176" t="s">
        <v>362</v>
      </c>
      <c r="E176">
        <v>28</v>
      </c>
      <c r="F176">
        <v>0</v>
      </c>
      <c r="G176">
        <v>3</v>
      </c>
      <c r="H176">
        <v>0</v>
      </c>
      <c r="I176">
        <v>0</v>
      </c>
      <c r="J176">
        <v>0</v>
      </c>
      <c r="K176">
        <v>28</v>
      </c>
    </row>
    <row r="177" spans="1:11" hidden="1" x14ac:dyDescent="0.25">
      <c r="A177" t="s">
        <v>1061</v>
      </c>
      <c r="B177" t="s">
        <v>232</v>
      </c>
      <c r="C177" t="s">
        <v>33</v>
      </c>
      <c r="E177">
        <v>120</v>
      </c>
      <c r="F177">
        <v>0</v>
      </c>
      <c r="G177">
        <v>0</v>
      </c>
      <c r="H177">
        <v>96</v>
      </c>
      <c r="I177">
        <v>0</v>
      </c>
      <c r="J177">
        <v>0</v>
      </c>
      <c r="K177">
        <v>24</v>
      </c>
    </row>
    <row r="178" spans="1:11" hidden="1" x14ac:dyDescent="0.25">
      <c r="A178" t="s">
        <v>239</v>
      </c>
      <c r="B178" t="s">
        <v>233</v>
      </c>
      <c r="C178" t="s">
        <v>65</v>
      </c>
      <c r="D178" t="s">
        <v>336</v>
      </c>
      <c r="E178">
        <v>29</v>
      </c>
      <c r="F178">
        <v>0</v>
      </c>
      <c r="G178">
        <v>1</v>
      </c>
      <c r="H178">
        <v>0</v>
      </c>
      <c r="I178">
        <v>0</v>
      </c>
      <c r="J178">
        <v>0</v>
      </c>
      <c r="K178">
        <v>29</v>
      </c>
    </row>
    <row r="179" spans="1:11" hidden="1" x14ac:dyDescent="0.25">
      <c r="A179" t="s">
        <v>1061</v>
      </c>
      <c r="B179" t="s">
        <v>232</v>
      </c>
      <c r="C179" t="s">
        <v>47</v>
      </c>
      <c r="E179">
        <v>141</v>
      </c>
      <c r="F179">
        <v>0</v>
      </c>
      <c r="G179">
        <v>0</v>
      </c>
      <c r="H179">
        <v>109</v>
      </c>
      <c r="I179">
        <v>0</v>
      </c>
      <c r="J179">
        <v>3</v>
      </c>
      <c r="K179">
        <v>29</v>
      </c>
    </row>
    <row r="180" spans="1:11" hidden="1" x14ac:dyDescent="0.25">
      <c r="A180" t="s">
        <v>917</v>
      </c>
      <c r="B180" t="s">
        <v>233</v>
      </c>
      <c r="C180" t="s">
        <v>63</v>
      </c>
      <c r="D180" t="s">
        <v>363</v>
      </c>
      <c r="E180">
        <v>26</v>
      </c>
      <c r="F180">
        <v>0</v>
      </c>
      <c r="G180">
        <v>7</v>
      </c>
      <c r="H180">
        <v>0</v>
      </c>
      <c r="I180">
        <v>0</v>
      </c>
      <c r="J180">
        <v>0</v>
      </c>
      <c r="K180">
        <v>26</v>
      </c>
    </row>
    <row r="181" spans="1:11" hidden="1" x14ac:dyDescent="0.25">
      <c r="A181" t="s">
        <v>1010</v>
      </c>
      <c r="B181" t="s">
        <v>232</v>
      </c>
      <c r="C181" t="s">
        <v>46</v>
      </c>
      <c r="E181">
        <v>37</v>
      </c>
      <c r="F181">
        <v>0</v>
      </c>
      <c r="G181">
        <v>0</v>
      </c>
      <c r="H181">
        <v>11</v>
      </c>
      <c r="I181">
        <v>0</v>
      </c>
      <c r="J181">
        <v>0</v>
      </c>
      <c r="K181">
        <v>26</v>
      </c>
    </row>
    <row r="182" spans="1:11" hidden="1" x14ac:dyDescent="0.25">
      <c r="A182" t="s">
        <v>1061</v>
      </c>
      <c r="B182" t="s">
        <v>232</v>
      </c>
      <c r="C182" t="s">
        <v>43</v>
      </c>
      <c r="E182">
        <v>344</v>
      </c>
      <c r="F182">
        <v>0</v>
      </c>
      <c r="G182">
        <v>0</v>
      </c>
      <c r="H182">
        <v>105</v>
      </c>
      <c r="I182">
        <v>0</v>
      </c>
      <c r="J182">
        <v>0</v>
      </c>
      <c r="K182">
        <v>239</v>
      </c>
    </row>
    <row r="183" spans="1:11" hidden="1" x14ac:dyDescent="0.25">
      <c r="A183" t="s">
        <v>1010</v>
      </c>
      <c r="B183" t="s">
        <v>232</v>
      </c>
      <c r="C183" t="s">
        <v>41</v>
      </c>
      <c r="E183">
        <v>47</v>
      </c>
      <c r="F183">
        <v>0</v>
      </c>
      <c r="G183">
        <v>0</v>
      </c>
      <c r="H183">
        <v>0</v>
      </c>
      <c r="I183">
        <v>0</v>
      </c>
      <c r="J183">
        <v>0</v>
      </c>
      <c r="K183">
        <v>47</v>
      </c>
    </row>
    <row r="184" spans="1:11" hidden="1" x14ac:dyDescent="0.25">
      <c r="A184" t="s">
        <v>239</v>
      </c>
      <c r="B184" t="s">
        <v>232</v>
      </c>
      <c r="C184" t="s">
        <v>46</v>
      </c>
      <c r="D184" t="s">
        <v>275</v>
      </c>
      <c r="E184">
        <v>39</v>
      </c>
      <c r="F184">
        <v>0</v>
      </c>
      <c r="G184">
        <v>0</v>
      </c>
      <c r="H184">
        <v>13</v>
      </c>
      <c r="I184">
        <v>0</v>
      </c>
      <c r="J184">
        <v>0</v>
      </c>
      <c r="K184">
        <v>26</v>
      </c>
    </row>
    <row r="185" spans="1:11" hidden="1" x14ac:dyDescent="0.25">
      <c r="A185" t="s">
        <v>239</v>
      </c>
      <c r="B185" t="s">
        <v>233</v>
      </c>
      <c r="C185" t="s">
        <v>31</v>
      </c>
      <c r="D185" t="s">
        <v>334</v>
      </c>
      <c r="E185">
        <v>16</v>
      </c>
      <c r="F185">
        <v>0</v>
      </c>
      <c r="G185">
        <v>0</v>
      </c>
      <c r="H185">
        <v>0</v>
      </c>
      <c r="I185">
        <v>0</v>
      </c>
      <c r="J185">
        <v>0</v>
      </c>
      <c r="K185">
        <v>16</v>
      </c>
    </row>
    <row r="186" spans="1:11" hidden="1" x14ac:dyDescent="0.25">
      <c r="A186" t="s">
        <v>239</v>
      </c>
      <c r="B186" t="s">
        <v>235</v>
      </c>
      <c r="C186" t="s">
        <v>244</v>
      </c>
      <c r="D186" t="s">
        <v>347</v>
      </c>
      <c r="E186">
        <v>1148</v>
      </c>
      <c r="F186">
        <v>207</v>
      </c>
      <c r="G186">
        <v>0</v>
      </c>
      <c r="H186">
        <v>0</v>
      </c>
      <c r="I186">
        <v>792</v>
      </c>
      <c r="J186">
        <v>0</v>
      </c>
      <c r="K186">
        <v>149</v>
      </c>
    </row>
    <row r="187" spans="1:11" hidden="1" x14ac:dyDescent="0.25">
      <c r="A187" t="s">
        <v>1108</v>
      </c>
      <c r="B187" t="s">
        <v>233</v>
      </c>
      <c r="C187" t="s">
        <v>117</v>
      </c>
      <c r="E187">
        <v>23</v>
      </c>
      <c r="F187">
        <v>0</v>
      </c>
      <c r="G187">
        <v>0</v>
      </c>
      <c r="H187">
        <v>0</v>
      </c>
      <c r="I187">
        <v>0</v>
      </c>
      <c r="J187">
        <v>0</v>
      </c>
      <c r="K187">
        <v>23</v>
      </c>
    </row>
    <row r="188" spans="1:11" hidden="1" x14ac:dyDescent="0.25">
      <c r="A188" t="s">
        <v>239</v>
      </c>
      <c r="B188" t="s">
        <v>233</v>
      </c>
      <c r="C188" t="s">
        <v>43</v>
      </c>
      <c r="D188" t="s">
        <v>993</v>
      </c>
      <c r="E188">
        <v>18</v>
      </c>
      <c r="F188">
        <v>0</v>
      </c>
      <c r="G188">
        <v>1</v>
      </c>
      <c r="H188">
        <v>0</v>
      </c>
      <c r="I188">
        <v>0</v>
      </c>
      <c r="J188">
        <v>0</v>
      </c>
      <c r="K188">
        <v>18</v>
      </c>
    </row>
    <row r="189" spans="1:11" hidden="1" x14ac:dyDescent="0.25">
      <c r="A189" t="s">
        <v>917</v>
      </c>
      <c r="B189" t="s">
        <v>233</v>
      </c>
      <c r="C189" t="s">
        <v>66</v>
      </c>
      <c r="D189" t="s">
        <v>362</v>
      </c>
      <c r="E189">
        <v>27</v>
      </c>
      <c r="F189">
        <v>0</v>
      </c>
      <c r="G189">
        <v>4</v>
      </c>
      <c r="H189">
        <v>0</v>
      </c>
      <c r="I189">
        <v>0</v>
      </c>
      <c r="J189">
        <v>0</v>
      </c>
      <c r="K189">
        <v>27</v>
      </c>
    </row>
    <row r="190" spans="1:11" hidden="1" x14ac:dyDescent="0.25">
      <c r="A190" t="s">
        <v>917</v>
      </c>
      <c r="B190" t="s">
        <v>233</v>
      </c>
      <c r="C190" t="s">
        <v>69</v>
      </c>
      <c r="D190" t="s">
        <v>361</v>
      </c>
      <c r="E190">
        <v>19</v>
      </c>
      <c r="F190">
        <v>0</v>
      </c>
      <c r="G190">
        <v>2</v>
      </c>
      <c r="H190">
        <v>0</v>
      </c>
      <c r="I190">
        <v>0</v>
      </c>
      <c r="J190">
        <v>0</v>
      </c>
      <c r="K190">
        <v>19</v>
      </c>
    </row>
    <row r="191" spans="1:11" hidden="1" x14ac:dyDescent="0.25">
      <c r="A191" t="s">
        <v>1010</v>
      </c>
      <c r="B191" t="s">
        <v>232</v>
      </c>
      <c r="C191" t="s">
        <v>243</v>
      </c>
      <c r="E191">
        <v>302</v>
      </c>
      <c r="F191">
        <v>0</v>
      </c>
      <c r="G191">
        <v>0</v>
      </c>
      <c r="H191">
        <v>7</v>
      </c>
      <c r="I191">
        <v>0</v>
      </c>
      <c r="J191">
        <v>0</v>
      </c>
      <c r="K191">
        <v>295</v>
      </c>
    </row>
    <row r="192" spans="1:11" hidden="1" x14ac:dyDescent="0.25">
      <c r="A192" t="s">
        <v>1010</v>
      </c>
      <c r="B192" t="s">
        <v>233</v>
      </c>
      <c r="C192" t="s">
        <v>67</v>
      </c>
      <c r="E192">
        <v>29</v>
      </c>
      <c r="F192">
        <v>0</v>
      </c>
      <c r="G192">
        <v>4</v>
      </c>
      <c r="H192">
        <v>0</v>
      </c>
      <c r="I192">
        <v>0</v>
      </c>
      <c r="J192">
        <v>0</v>
      </c>
      <c r="K192">
        <v>29</v>
      </c>
    </row>
    <row r="193" spans="1:11" hidden="1" x14ac:dyDescent="0.25">
      <c r="A193" t="s">
        <v>760</v>
      </c>
      <c r="B193" t="s">
        <v>232</v>
      </c>
      <c r="C193" t="s">
        <v>243</v>
      </c>
      <c r="D193" t="s">
        <v>361</v>
      </c>
      <c r="E193">
        <v>314</v>
      </c>
      <c r="F193">
        <v>0</v>
      </c>
      <c r="G193">
        <v>0</v>
      </c>
      <c r="H193">
        <v>8</v>
      </c>
      <c r="I193">
        <v>0</v>
      </c>
      <c r="J193">
        <v>0</v>
      </c>
      <c r="K193">
        <v>306</v>
      </c>
    </row>
    <row r="194" spans="1:11" hidden="1" x14ac:dyDescent="0.25">
      <c r="A194" t="s">
        <v>760</v>
      </c>
      <c r="B194" t="s">
        <v>232</v>
      </c>
      <c r="C194" t="s">
        <v>48</v>
      </c>
      <c r="D194" t="s">
        <v>363</v>
      </c>
      <c r="E194">
        <v>135</v>
      </c>
      <c r="F194">
        <v>0</v>
      </c>
      <c r="G194">
        <v>0</v>
      </c>
      <c r="H194">
        <v>135</v>
      </c>
      <c r="I194">
        <v>0</v>
      </c>
      <c r="J194">
        <v>0</v>
      </c>
      <c r="K194">
        <v>0</v>
      </c>
    </row>
    <row r="195" spans="1:11" hidden="1" x14ac:dyDescent="0.25">
      <c r="A195" t="s">
        <v>1108</v>
      </c>
      <c r="B195" t="s">
        <v>234</v>
      </c>
      <c r="C195" t="s">
        <v>162</v>
      </c>
      <c r="E195">
        <v>52</v>
      </c>
      <c r="F195">
        <v>0</v>
      </c>
      <c r="G195">
        <v>0</v>
      </c>
      <c r="H195">
        <v>0</v>
      </c>
      <c r="I195">
        <v>0</v>
      </c>
      <c r="J195">
        <v>0</v>
      </c>
      <c r="K195">
        <v>52</v>
      </c>
    </row>
    <row r="196" spans="1:11" x14ac:dyDescent="0.25">
      <c r="A196" t="s">
        <v>1108</v>
      </c>
      <c r="B196" t="s">
        <v>232</v>
      </c>
      <c r="C196" t="s">
        <v>41</v>
      </c>
      <c r="E196">
        <v>53</v>
      </c>
      <c r="F196">
        <v>0</v>
      </c>
      <c r="G196">
        <v>0</v>
      </c>
      <c r="H196">
        <v>0</v>
      </c>
      <c r="I196">
        <v>0</v>
      </c>
      <c r="J196">
        <v>0</v>
      </c>
      <c r="K196">
        <v>53</v>
      </c>
    </row>
    <row r="197" spans="1:11" x14ac:dyDescent="0.25">
      <c r="A197" t="s">
        <v>1108</v>
      </c>
      <c r="B197" t="s">
        <v>232</v>
      </c>
      <c r="C197" t="s">
        <v>59</v>
      </c>
      <c r="E197">
        <v>96</v>
      </c>
      <c r="F197">
        <v>0</v>
      </c>
      <c r="G197">
        <v>0</v>
      </c>
      <c r="H197">
        <v>21</v>
      </c>
      <c r="I197">
        <v>0</v>
      </c>
      <c r="J197">
        <v>0</v>
      </c>
      <c r="K197">
        <v>75</v>
      </c>
    </row>
    <row r="198" spans="1:11" hidden="1" x14ac:dyDescent="0.25">
      <c r="A198" t="s">
        <v>239</v>
      </c>
      <c r="B198" t="s">
        <v>233</v>
      </c>
      <c r="C198" t="s">
        <v>69</v>
      </c>
      <c r="D198" t="s">
        <v>343</v>
      </c>
      <c r="E198">
        <v>20</v>
      </c>
      <c r="F198">
        <v>0</v>
      </c>
      <c r="G198">
        <v>0</v>
      </c>
      <c r="H198">
        <v>0</v>
      </c>
      <c r="I198">
        <v>0</v>
      </c>
      <c r="J198">
        <v>0</v>
      </c>
      <c r="K198">
        <v>20</v>
      </c>
    </row>
    <row r="199" spans="1:11" x14ac:dyDescent="0.25">
      <c r="A199" t="s">
        <v>1108</v>
      </c>
      <c r="B199" t="s">
        <v>232</v>
      </c>
      <c r="C199" t="s">
        <v>48</v>
      </c>
      <c r="E199">
        <v>135</v>
      </c>
      <c r="F199">
        <v>0</v>
      </c>
      <c r="G199">
        <v>0</v>
      </c>
      <c r="H199">
        <v>132</v>
      </c>
      <c r="I199">
        <v>0</v>
      </c>
      <c r="J199">
        <v>0</v>
      </c>
      <c r="K199">
        <v>3</v>
      </c>
    </row>
    <row r="200" spans="1:11" hidden="1" x14ac:dyDescent="0.25">
      <c r="A200" t="s">
        <v>917</v>
      </c>
      <c r="B200" t="s">
        <v>232</v>
      </c>
      <c r="C200" t="s">
        <v>38</v>
      </c>
      <c r="D200" t="s">
        <v>362</v>
      </c>
      <c r="E200">
        <v>125</v>
      </c>
      <c r="F200">
        <v>0</v>
      </c>
      <c r="G200">
        <v>0</v>
      </c>
      <c r="H200">
        <v>78</v>
      </c>
      <c r="I200">
        <v>0</v>
      </c>
      <c r="J200">
        <v>0</v>
      </c>
      <c r="K200">
        <v>47</v>
      </c>
    </row>
    <row r="201" spans="1:11" hidden="1" x14ac:dyDescent="0.25">
      <c r="A201" t="s">
        <v>917</v>
      </c>
      <c r="B201" t="s">
        <v>233</v>
      </c>
      <c r="C201" t="s">
        <v>57</v>
      </c>
      <c r="D201" t="s">
        <v>362</v>
      </c>
      <c r="E201">
        <v>16</v>
      </c>
      <c r="F201">
        <v>0</v>
      </c>
      <c r="G201">
        <v>2</v>
      </c>
      <c r="H201">
        <v>0</v>
      </c>
      <c r="I201">
        <v>0</v>
      </c>
      <c r="J201">
        <v>0</v>
      </c>
      <c r="K201">
        <v>16</v>
      </c>
    </row>
    <row r="202" spans="1:11" hidden="1" x14ac:dyDescent="0.25">
      <c r="A202" t="s">
        <v>1061</v>
      </c>
      <c r="B202" t="s">
        <v>232</v>
      </c>
      <c r="C202" t="s">
        <v>37</v>
      </c>
      <c r="E202">
        <v>181</v>
      </c>
      <c r="F202">
        <v>0</v>
      </c>
      <c r="G202">
        <v>0</v>
      </c>
      <c r="H202">
        <v>12</v>
      </c>
      <c r="I202">
        <v>0</v>
      </c>
      <c r="J202">
        <v>0</v>
      </c>
      <c r="K202">
        <v>169</v>
      </c>
    </row>
    <row r="203" spans="1:11" hidden="1" x14ac:dyDescent="0.25">
      <c r="A203" t="s">
        <v>1010</v>
      </c>
      <c r="B203" t="s">
        <v>232</v>
      </c>
      <c r="C203" t="s">
        <v>55</v>
      </c>
      <c r="E203">
        <v>133</v>
      </c>
      <c r="F203">
        <v>0</v>
      </c>
      <c r="G203">
        <v>0</v>
      </c>
      <c r="H203">
        <v>133</v>
      </c>
      <c r="I203">
        <v>0</v>
      </c>
      <c r="J203">
        <v>0</v>
      </c>
      <c r="K203">
        <v>0</v>
      </c>
    </row>
    <row r="204" spans="1:11" hidden="1" x14ac:dyDescent="0.25">
      <c r="A204" t="s">
        <v>1010</v>
      </c>
      <c r="B204" t="s">
        <v>233</v>
      </c>
      <c r="C204" t="s">
        <v>65</v>
      </c>
      <c r="E204">
        <v>31</v>
      </c>
      <c r="F204">
        <v>0</v>
      </c>
      <c r="G204">
        <v>3</v>
      </c>
      <c r="H204">
        <v>0</v>
      </c>
      <c r="I204">
        <v>0</v>
      </c>
      <c r="J204">
        <v>0</v>
      </c>
      <c r="K204">
        <v>31</v>
      </c>
    </row>
    <row r="205" spans="1:11" hidden="1" x14ac:dyDescent="0.25">
      <c r="A205" t="s">
        <v>1061</v>
      </c>
      <c r="B205" t="s">
        <v>233</v>
      </c>
      <c r="C205" t="s">
        <v>71</v>
      </c>
      <c r="E205">
        <v>9</v>
      </c>
      <c r="F205">
        <v>0</v>
      </c>
      <c r="G205">
        <v>8</v>
      </c>
      <c r="H205">
        <v>0</v>
      </c>
      <c r="I205">
        <v>0</v>
      </c>
      <c r="J205">
        <v>0</v>
      </c>
      <c r="K205">
        <v>9</v>
      </c>
    </row>
    <row r="206" spans="1:11" hidden="1" x14ac:dyDescent="0.25">
      <c r="A206" t="s">
        <v>917</v>
      </c>
      <c r="B206" t="s">
        <v>233</v>
      </c>
      <c r="C206" t="s">
        <v>71</v>
      </c>
      <c r="D206" t="s">
        <v>363</v>
      </c>
      <c r="E206">
        <v>15</v>
      </c>
      <c r="F206">
        <v>0</v>
      </c>
      <c r="G206">
        <v>7</v>
      </c>
      <c r="H206">
        <v>0</v>
      </c>
      <c r="I206">
        <v>0</v>
      </c>
      <c r="J206">
        <v>0</v>
      </c>
      <c r="K206">
        <v>15</v>
      </c>
    </row>
    <row r="207" spans="1:11" hidden="1" x14ac:dyDescent="0.25">
      <c r="A207" t="s">
        <v>239</v>
      </c>
      <c r="B207" t="s">
        <v>232</v>
      </c>
      <c r="C207" t="s">
        <v>47</v>
      </c>
      <c r="D207" t="s">
        <v>276</v>
      </c>
      <c r="E207">
        <v>154</v>
      </c>
      <c r="F207">
        <v>0</v>
      </c>
      <c r="G207">
        <v>0</v>
      </c>
      <c r="H207">
        <v>120</v>
      </c>
      <c r="I207">
        <v>0</v>
      </c>
      <c r="J207">
        <v>4</v>
      </c>
      <c r="K207">
        <v>30</v>
      </c>
    </row>
    <row r="208" spans="1:11" hidden="1" x14ac:dyDescent="0.25">
      <c r="A208" t="s">
        <v>1061</v>
      </c>
      <c r="B208" t="s">
        <v>233</v>
      </c>
      <c r="C208" t="s">
        <v>70</v>
      </c>
      <c r="E208">
        <v>20</v>
      </c>
      <c r="F208">
        <v>0</v>
      </c>
      <c r="G208">
        <v>11</v>
      </c>
      <c r="H208">
        <v>0</v>
      </c>
      <c r="I208">
        <v>0</v>
      </c>
      <c r="J208">
        <v>0</v>
      </c>
      <c r="K208">
        <v>20</v>
      </c>
    </row>
    <row r="209" spans="1:11" hidden="1" x14ac:dyDescent="0.25">
      <c r="A209" t="s">
        <v>1010</v>
      </c>
      <c r="B209" t="s">
        <v>232</v>
      </c>
      <c r="C209" t="s">
        <v>38</v>
      </c>
      <c r="E209">
        <v>123</v>
      </c>
      <c r="F209">
        <v>0</v>
      </c>
      <c r="G209">
        <v>0</v>
      </c>
      <c r="H209">
        <v>77</v>
      </c>
      <c r="I209">
        <v>0</v>
      </c>
      <c r="J209">
        <v>0</v>
      </c>
      <c r="K209">
        <v>46</v>
      </c>
    </row>
    <row r="210" spans="1:11" hidden="1" x14ac:dyDescent="0.25">
      <c r="A210" t="s">
        <v>239</v>
      </c>
      <c r="B210" t="s">
        <v>232</v>
      </c>
      <c r="C210" t="s">
        <v>49</v>
      </c>
      <c r="D210" t="s">
        <v>277</v>
      </c>
      <c r="E210">
        <v>205</v>
      </c>
      <c r="F210">
        <v>0</v>
      </c>
      <c r="G210">
        <v>0</v>
      </c>
      <c r="H210">
        <v>107</v>
      </c>
      <c r="I210">
        <v>0</v>
      </c>
      <c r="J210">
        <v>22</v>
      </c>
      <c r="K210">
        <v>76</v>
      </c>
    </row>
    <row r="211" spans="1:11" hidden="1" x14ac:dyDescent="0.25">
      <c r="A211" t="s">
        <v>1010</v>
      </c>
      <c r="B211" t="s">
        <v>233</v>
      </c>
      <c r="C211" t="s">
        <v>762</v>
      </c>
      <c r="E211">
        <v>38</v>
      </c>
      <c r="F211">
        <v>0</v>
      </c>
      <c r="G211">
        <v>4</v>
      </c>
      <c r="H211">
        <v>0</v>
      </c>
      <c r="I211">
        <v>0</v>
      </c>
      <c r="J211">
        <v>0</v>
      </c>
      <c r="K211">
        <v>38</v>
      </c>
    </row>
    <row r="212" spans="1:11" hidden="1" x14ac:dyDescent="0.25">
      <c r="A212" t="s">
        <v>760</v>
      </c>
      <c r="B212" t="s">
        <v>232</v>
      </c>
      <c r="C212" t="s">
        <v>58</v>
      </c>
      <c r="D212" t="s">
        <v>361</v>
      </c>
      <c r="E212">
        <v>126</v>
      </c>
      <c r="F212">
        <v>0</v>
      </c>
      <c r="G212">
        <v>0</v>
      </c>
      <c r="H212">
        <v>75</v>
      </c>
      <c r="I212">
        <v>0</v>
      </c>
      <c r="J212">
        <v>0</v>
      </c>
      <c r="K212">
        <v>51</v>
      </c>
    </row>
    <row r="213" spans="1:11" hidden="1" x14ac:dyDescent="0.25">
      <c r="A213" t="s">
        <v>1108</v>
      </c>
      <c r="B213" t="s">
        <v>233</v>
      </c>
      <c r="C213" t="s">
        <v>165</v>
      </c>
      <c r="E213">
        <v>27</v>
      </c>
      <c r="F213">
        <v>0</v>
      </c>
      <c r="G213">
        <v>0</v>
      </c>
      <c r="H213">
        <v>0</v>
      </c>
      <c r="I213">
        <v>0</v>
      </c>
      <c r="J213">
        <v>0</v>
      </c>
      <c r="K213">
        <v>27</v>
      </c>
    </row>
    <row r="214" spans="1:11" hidden="1" x14ac:dyDescent="0.25">
      <c r="A214" t="s">
        <v>239</v>
      </c>
      <c r="B214" t="s">
        <v>232</v>
      </c>
      <c r="C214" t="s">
        <v>45</v>
      </c>
      <c r="D214" t="s">
        <v>274</v>
      </c>
      <c r="E214">
        <v>116</v>
      </c>
      <c r="F214">
        <v>0</v>
      </c>
      <c r="G214">
        <v>0</v>
      </c>
      <c r="H214">
        <v>44</v>
      </c>
      <c r="I214">
        <v>0</v>
      </c>
      <c r="J214">
        <v>0</v>
      </c>
      <c r="K214">
        <v>72</v>
      </c>
    </row>
    <row r="215" spans="1:11" hidden="1" x14ac:dyDescent="0.25">
      <c r="A215" t="s">
        <v>917</v>
      </c>
      <c r="B215" t="s">
        <v>232</v>
      </c>
      <c r="C215" t="s">
        <v>35</v>
      </c>
      <c r="D215" t="s">
        <v>1050</v>
      </c>
      <c r="E215">
        <v>51</v>
      </c>
      <c r="F215">
        <v>0</v>
      </c>
      <c r="G215">
        <v>0</v>
      </c>
      <c r="H215">
        <v>27</v>
      </c>
      <c r="I215">
        <v>0</v>
      </c>
      <c r="J215">
        <v>0</v>
      </c>
      <c r="K215">
        <v>24</v>
      </c>
    </row>
    <row r="216" spans="1:11" hidden="1" x14ac:dyDescent="0.25">
      <c r="A216" t="s">
        <v>239</v>
      </c>
      <c r="B216" t="s">
        <v>233</v>
      </c>
      <c r="C216" t="s">
        <v>36</v>
      </c>
      <c r="D216" t="s">
        <v>338</v>
      </c>
      <c r="E216">
        <v>22</v>
      </c>
      <c r="F216">
        <v>0</v>
      </c>
      <c r="G216">
        <v>1</v>
      </c>
      <c r="H216">
        <v>0</v>
      </c>
      <c r="I216">
        <v>0</v>
      </c>
      <c r="J216">
        <v>0</v>
      </c>
      <c r="K216">
        <v>22</v>
      </c>
    </row>
    <row r="217" spans="1:11" x14ac:dyDescent="0.25">
      <c r="A217" t="s">
        <v>1108</v>
      </c>
      <c r="B217" t="s">
        <v>232</v>
      </c>
      <c r="C217" t="s">
        <v>33</v>
      </c>
      <c r="E217">
        <v>127</v>
      </c>
      <c r="F217">
        <v>0</v>
      </c>
      <c r="G217">
        <v>0</v>
      </c>
      <c r="H217">
        <v>100</v>
      </c>
      <c r="I217">
        <v>0</v>
      </c>
      <c r="J217">
        <v>0</v>
      </c>
      <c r="K217">
        <v>27</v>
      </c>
    </row>
    <row r="218" spans="1:11" hidden="1" x14ac:dyDescent="0.25">
      <c r="A218" t="s">
        <v>917</v>
      </c>
      <c r="B218" t="s">
        <v>232</v>
      </c>
      <c r="C218" t="s">
        <v>48</v>
      </c>
      <c r="D218" t="s">
        <v>363</v>
      </c>
      <c r="E218">
        <v>131</v>
      </c>
      <c r="F218">
        <v>0</v>
      </c>
      <c r="G218">
        <v>0</v>
      </c>
      <c r="H218">
        <v>131</v>
      </c>
      <c r="I218">
        <v>0</v>
      </c>
      <c r="J218">
        <v>0</v>
      </c>
      <c r="K218">
        <v>0</v>
      </c>
    </row>
    <row r="219" spans="1:11" hidden="1" x14ac:dyDescent="0.25">
      <c r="A219" t="s">
        <v>760</v>
      </c>
      <c r="B219" t="s">
        <v>232</v>
      </c>
      <c r="C219" t="s">
        <v>53</v>
      </c>
      <c r="D219" t="s">
        <v>362</v>
      </c>
      <c r="E219">
        <v>117</v>
      </c>
      <c r="F219">
        <v>0</v>
      </c>
      <c r="G219">
        <v>0</v>
      </c>
      <c r="H219">
        <v>15</v>
      </c>
      <c r="I219">
        <v>0</v>
      </c>
      <c r="J219">
        <v>0</v>
      </c>
      <c r="K219">
        <v>102</v>
      </c>
    </row>
    <row r="220" spans="1:11" hidden="1" x14ac:dyDescent="0.25">
      <c r="A220" t="s">
        <v>1010</v>
      </c>
      <c r="B220" t="s">
        <v>232</v>
      </c>
      <c r="C220" t="s">
        <v>31</v>
      </c>
      <c r="E220">
        <v>165</v>
      </c>
      <c r="F220">
        <v>0</v>
      </c>
      <c r="G220">
        <v>0</v>
      </c>
      <c r="H220">
        <v>11</v>
      </c>
      <c r="I220">
        <v>0</v>
      </c>
      <c r="J220">
        <v>0</v>
      </c>
      <c r="K220">
        <v>154</v>
      </c>
    </row>
    <row r="221" spans="1:11" hidden="1" x14ac:dyDescent="0.25">
      <c r="A221" t="s">
        <v>1108</v>
      </c>
      <c r="B221" t="s">
        <v>233</v>
      </c>
      <c r="C221" t="s">
        <v>66</v>
      </c>
      <c r="E221">
        <v>25</v>
      </c>
      <c r="F221">
        <v>0</v>
      </c>
      <c r="G221">
        <v>4</v>
      </c>
      <c r="H221">
        <v>0</v>
      </c>
      <c r="I221">
        <v>0</v>
      </c>
      <c r="J221">
        <v>0</v>
      </c>
      <c r="K221">
        <v>25</v>
      </c>
    </row>
    <row r="222" spans="1:11" hidden="1" x14ac:dyDescent="0.25">
      <c r="A222" t="s">
        <v>917</v>
      </c>
      <c r="B222" t="s">
        <v>232</v>
      </c>
      <c r="C222" t="s">
        <v>43</v>
      </c>
      <c r="D222" t="s">
        <v>1050</v>
      </c>
      <c r="E222">
        <v>363</v>
      </c>
      <c r="F222">
        <v>0</v>
      </c>
      <c r="G222">
        <v>0</v>
      </c>
      <c r="H222">
        <v>109</v>
      </c>
      <c r="I222">
        <v>0</v>
      </c>
      <c r="J222">
        <v>0</v>
      </c>
      <c r="K222">
        <v>254</v>
      </c>
    </row>
    <row r="223" spans="1:11" hidden="1" x14ac:dyDescent="0.25">
      <c r="A223" t="s">
        <v>1061</v>
      </c>
      <c r="B223" t="s">
        <v>232</v>
      </c>
      <c r="C223" t="s">
        <v>45</v>
      </c>
      <c r="E223">
        <v>103</v>
      </c>
      <c r="F223">
        <v>0</v>
      </c>
      <c r="G223">
        <v>0</v>
      </c>
      <c r="H223">
        <v>36</v>
      </c>
      <c r="I223">
        <v>0</v>
      </c>
      <c r="J223">
        <v>0</v>
      </c>
      <c r="K223">
        <v>67</v>
      </c>
    </row>
    <row r="224" spans="1:11" hidden="1" x14ac:dyDescent="0.25">
      <c r="A224" t="s">
        <v>1061</v>
      </c>
      <c r="B224" t="s">
        <v>232</v>
      </c>
      <c r="C224" t="s">
        <v>46</v>
      </c>
      <c r="E224">
        <v>36</v>
      </c>
      <c r="F224">
        <v>0</v>
      </c>
      <c r="G224">
        <v>0</v>
      </c>
      <c r="H224">
        <v>11</v>
      </c>
      <c r="I224">
        <v>0</v>
      </c>
      <c r="J224">
        <v>0</v>
      </c>
      <c r="K224">
        <v>25</v>
      </c>
    </row>
    <row r="225" spans="1:11" hidden="1" x14ac:dyDescent="0.25">
      <c r="A225" t="s">
        <v>1010</v>
      </c>
      <c r="B225" t="s">
        <v>233</v>
      </c>
      <c r="C225" t="s">
        <v>1040</v>
      </c>
      <c r="E225">
        <v>30</v>
      </c>
      <c r="F225">
        <v>0</v>
      </c>
      <c r="G225">
        <v>2</v>
      </c>
      <c r="H225">
        <v>0</v>
      </c>
      <c r="I225">
        <v>0</v>
      </c>
      <c r="J225">
        <v>0</v>
      </c>
      <c r="K225">
        <v>30</v>
      </c>
    </row>
    <row r="226" spans="1:11" hidden="1" x14ac:dyDescent="0.25">
      <c r="A226" t="s">
        <v>760</v>
      </c>
      <c r="B226" t="s">
        <v>232</v>
      </c>
      <c r="C226" t="s">
        <v>40</v>
      </c>
      <c r="D226" t="s">
        <v>361</v>
      </c>
      <c r="E226">
        <v>90</v>
      </c>
      <c r="F226">
        <v>0</v>
      </c>
      <c r="G226">
        <v>0</v>
      </c>
      <c r="H226">
        <v>65</v>
      </c>
      <c r="I226">
        <v>0</v>
      </c>
      <c r="J226">
        <v>0</v>
      </c>
      <c r="K226">
        <v>25</v>
      </c>
    </row>
    <row r="227" spans="1:11" hidden="1" x14ac:dyDescent="0.25">
      <c r="A227" t="s">
        <v>1010</v>
      </c>
      <c r="B227" t="s">
        <v>233</v>
      </c>
      <c r="C227" t="s">
        <v>71</v>
      </c>
      <c r="E227">
        <v>17</v>
      </c>
      <c r="F227">
        <v>0</v>
      </c>
      <c r="G227">
        <v>7</v>
      </c>
      <c r="H227">
        <v>0</v>
      </c>
      <c r="I227">
        <v>0</v>
      </c>
      <c r="J227">
        <v>0</v>
      </c>
      <c r="K227">
        <v>17</v>
      </c>
    </row>
    <row r="228" spans="1:11" hidden="1" x14ac:dyDescent="0.25">
      <c r="A228" t="s">
        <v>917</v>
      </c>
      <c r="B228" t="s">
        <v>234</v>
      </c>
      <c r="C228" t="s">
        <v>163</v>
      </c>
      <c r="D228" t="s">
        <v>362</v>
      </c>
      <c r="E228">
        <v>91</v>
      </c>
      <c r="F228">
        <v>0</v>
      </c>
      <c r="G228">
        <v>0</v>
      </c>
      <c r="H228">
        <v>0</v>
      </c>
      <c r="I228">
        <v>0</v>
      </c>
      <c r="J228">
        <v>0</v>
      </c>
      <c r="K228">
        <v>91</v>
      </c>
    </row>
    <row r="229" spans="1:11" hidden="1" x14ac:dyDescent="0.25">
      <c r="A229" t="s">
        <v>760</v>
      </c>
      <c r="B229" t="s">
        <v>232</v>
      </c>
      <c r="C229" t="s">
        <v>35</v>
      </c>
      <c r="D229" t="s">
        <v>361</v>
      </c>
      <c r="E229">
        <v>50</v>
      </c>
      <c r="F229">
        <v>0</v>
      </c>
      <c r="G229">
        <v>0</v>
      </c>
      <c r="H229">
        <v>25</v>
      </c>
      <c r="I229">
        <v>0</v>
      </c>
      <c r="J229">
        <v>0</v>
      </c>
      <c r="K229">
        <v>25</v>
      </c>
    </row>
    <row r="230" spans="1:11" hidden="1" x14ac:dyDescent="0.25">
      <c r="A230" t="s">
        <v>760</v>
      </c>
      <c r="B230" t="s">
        <v>233</v>
      </c>
      <c r="C230" t="s">
        <v>117</v>
      </c>
      <c r="D230" t="s">
        <v>362</v>
      </c>
      <c r="E230">
        <v>25</v>
      </c>
      <c r="F230">
        <v>0</v>
      </c>
      <c r="G230">
        <v>0</v>
      </c>
      <c r="H230">
        <v>0</v>
      </c>
      <c r="I230">
        <v>0</v>
      </c>
      <c r="J230">
        <v>0</v>
      </c>
      <c r="K230">
        <v>25</v>
      </c>
    </row>
    <row r="231" spans="1:11" hidden="1" x14ac:dyDescent="0.25">
      <c r="A231" t="s">
        <v>1061</v>
      </c>
      <c r="B231" t="s">
        <v>232</v>
      </c>
      <c r="C231" t="s">
        <v>117</v>
      </c>
      <c r="E231">
        <v>491</v>
      </c>
      <c r="F231">
        <v>0</v>
      </c>
      <c r="G231">
        <v>0</v>
      </c>
      <c r="H231">
        <v>0</v>
      </c>
      <c r="I231">
        <v>0</v>
      </c>
      <c r="J231">
        <v>0</v>
      </c>
      <c r="K231">
        <v>491</v>
      </c>
    </row>
    <row r="232" spans="1:11" hidden="1" x14ac:dyDescent="0.25">
      <c r="A232" t="s">
        <v>1061</v>
      </c>
      <c r="B232" t="s">
        <v>233</v>
      </c>
      <c r="C232" t="s">
        <v>1038</v>
      </c>
      <c r="E232">
        <v>24</v>
      </c>
      <c r="F232">
        <v>0</v>
      </c>
      <c r="G232">
        <v>8</v>
      </c>
      <c r="H232">
        <v>0</v>
      </c>
      <c r="I232">
        <v>0</v>
      </c>
      <c r="J232">
        <v>0</v>
      </c>
      <c r="K232">
        <v>24</v>
      </c>
    </row>
    <row r="233" spans="1:11" hidden="1" x14ac:dyDescent="0.25">
      <c r="A233" t="s">
        <v>1061</v>
      </c>
      <c r="B233" t="s">
        <v>232</v>
      </c>
      <c r="C233" t="s">
        <v>49</v>
      </c>
      <c r="E233">
        <v>191</v>
      </c>
      <c r="F233">
        <v>0</v>
      </c>
      <c r="G233">
        <v>0</v>
      </c>
      <c r="H233">
        <v>96</v>
      </c>
      <c r="I233">
        <v>0</v>
      </c>
      <c r="J233">
        <v>20</v>
      </c>
      <c r="K233">
        <v>75</v>
      </c>
    </row>
    <row r="234" spans="1:11" hidden="1" x14ac:dyDescent="0.25">
      <c r="A234" t="s">
        <v>239</v>
      </c>
      <c r="B234" t="s">
        <v>233</v>
      </c>
      <c r="C234" t="s">
        <v>67</v>
      </c>
      <c r="D234" t="s">
        <v>340</v>
      </c>
      <c r="E234">
        <v>25</v>
      </c>
      <c r="F234">
        <v>0</v>
      </c>
      <c r="G234">
        <v>2</v>
      </c>
      <c r="H234">
        <v>0</v>
      </c>
      <c r="I234">
        <v>0</v>
      </c>
      <c r="J234">
        <v>0</v>
      </c>
      <c r="K234">
        <v>25</v>
      </c>
    </row>
    <row r="235" spans="1:11" hidden="1" x14ac:dyDescent="0.25">
      <c r="A235" t="s">
        <v>239</v>
      </c>
      <c r="B235" t="s">
        <v>232</v>
      </c>
      <c r="C235" t="s">
        <v>33</v>
      </c>
      <c r="D235" t="s">
        <v>292</v>
      </c>
      <c r="E235">
        <v>126</v>
      </c>
      <c r="F235">
        <v>0</v>
      </c>
      <c r="G235">
        <v>0</v>
      </c>
      <c r="H235">
        <v>98</v>
      </c>
      <c r="I235">
        <v>0</v>
      </c>
      <c r="J235">
        <v>0</v>
      </c>
      <c r="K235">
        <v>28</v>
      </c>
    </row>
    <row r="236" spans="1:11" hidden="1" x14ac:dyDescent="0.25">
      <c r="A236" t="s">
        <v>1061</v>
      </c>
      <c r="B236" t="s">
        <v>233</v>
      </c>
      <c r="C236" t="s">
        <v>68</v>
      </c>
      <c r="E236">
        <v>19</v>
      </c>
      <c r="F236">
        <v>0</v>
      </c>
      <c r="G236">
        <v>0</v>
      </c>
      <c r="H236">
        <v>0</v>
      </c>
      <c r="I236">
        <v>0</v>
      </c>
      <c r="J236">
        <v>0</v>
      </c>
      <c r="K236">
        <v>19</v>
      </c>
    </row>
    <row r="237" spans="1:11" hidden="1" x14ac:dyDescent="0.25">
      <c r="A237" t="s">
        <v>1061</v>
      </c>
      <c r="B237" t="s">
        <v>232</v>
      </c>
      <c r="C237" t="s">
        <v>42</v>
      </c>
      <c r="E237">
        <v>137</v>
      </c>
      <c r="F237">
        <v>0</v>
      </c>
      <c r="G237">
        <v>0</v>
      </c>
      <c r="H237">
        <v>53</v>
      </c>
      <c r="I237">
        <v>0</v>
      </c>
      <c r="J237">
        <v>0</v>
      </c>
      <c r="K237">
        <v>84</v>
      </c>
    </row>
    <row r="238" spans="1:11" hidden="1" x14ac:dyDescent="0.25">
      <c r="A238" t="s">
        <v>1010</v>
      </c>
      <c r="B238" t="s">
        <v>232</v>
      </c>
      <c r="C238" t="s">
        <v>54</v>
      </c>
      <c r="E238">
        <v>193</v>
      </c>
      <c r="F238">
        <v>0</v>
      </c>
      <c r="G238">
        <v>0</v>
      </c>
      <c r="H238">
        <v>140</v>
      </c>
      <c r="I238">
        <v>0</v>
      </c>
      <c r="J238">
        <v>0</v>
      </c>
      <c r="K238">
        <v>53</v>
      </c>
    </row>
    <row r="239" spans="1:11" hidden="1" x14ac:dyDescent="0.25">
      <c r="A239" t="s">
        <v>239</v>
      </c>
      <c r="B239" t="s">
        <v>232</v>
      </c>
      <c r="C239" t="s">
        <v>243</v>
      </c>
      <c r="D239" t="s">
        <v>288</v>
      </c>
      <c r="E239">
        <v>306</v>
      </c>
      <c r="F239">
        <v>0</v>
      </c>
      <c r="G239">
        <v>0</v>
      </c>
      <c r="H239">
        <v>9</v>
      </c>
      <c r="I239">
        <v>0</v>
      </c>
      <c r="J239">
        <v>0</v>
      </c>
      <c r="K239">
        <v>297</v>
      </c>
    </row>
    <row r="240" spans="1:11" hidden="1" x14ac:dyDescent="0.25">
      <c r="A240" t="s">
        <v>760</v>
      </c>
      <c r="B240" t="s">
        <v>232</v>
      </c>
      <c r="C240" t="s">
        <v>55</v>
      </c>
      <c r="D240" t="s">
        <v>363</v>
      </c>
      <c r="E240">
        <v>134</v>
      </c>
      <c r="F240">
        <v>0</v>
      </c>
      <c r="G240">
        <v>0</v>
      </c>
      <c r="H240">
        <v>134</v>
      </c>
      <c r="I240">
        <v>0</v>
      </c>
      <c r="J240">
        <v>0</v>
      </c>
      <c r="K240">
        <v>0</v>
      </c>
    </row>
    <row r="241" spans="1:11" hidden="1" x14ac:dyDescent="0.25">
      <c r="A241" t="s">
        <v>1010</v>
      </c>
      <c r="B241" t="s">
        <v>232</v>
      </c>
      <c r="C241" t="s">
        <v>42</v>
      </c>
      <c r="E241">
        <v>137</v>
      </c>
      <c r="F241">
        <v>0</v>
      </c>
      <c r="G241">
        <v>0</v>
      </c>
      <c r="H241">
        <v>50</v>
      </c>
      <c r="I241">
        <v>0</v>
      </c>
      <c r="J241">
        <v>0</v>
      </c>
      <c r="K241">
        <v>87</v>
      </c>
    </row>
    <row r="242" spans="1:11" x14ac:dyDescent="0.25">
      <c r="A242" t="s">
        <v>1108</v>
      </c>
      <c r="B242" t="s">
        <v>232</v>
      </c>
      <c r="C242" t="s">
        <v>40</v>
      </c>
      <c r="E242">
        <v>81</v>
      </c>
      <c r="F242">
        <v>0</v>
      </c>
      <c r="G242">
        <v>0</v>
      </c>
      <c r="H242">
        <v>56</v>
      </c>
      <c r="I242">
        <v>0</v>
      </c>
      <c r="J242">
        <v>0</v>
      </c>
      <c r="K242">
        <v>25</v>
      </c>
    </row>
    <row r="243" spans="1:11" hidden="1" x14ac:dyDescent="0.25">
      <c r="A243" t="s">
        <v>917</v>
      </c>
      <c r="B243" t="s">
        <v>232</v>
      </c>
      <c r="C243" t="s">
        <v>40</v>
      </c>
      <c r="D243" t="s">
        <v>361</v>
      </c>
      <c r="E243">
        <v>90</v>
      </c>
      <c r="F243">
        <v>0</v>
      </c>
      <c r="G243">
        <v>0</v>
      </c>
      <c r="H243">
        <v>64</v>
      </c>
      <c r="I243">
        <v>0</v>
      </c>
      <c r="J243">
        <v>0</v>
      </c>
      <c r="K243">
        <v>26</v>
      </c>
    </row>
    <row r="244" spans="1:11" hidden="1" x14ac:dyDescent="0.25">
      <c r="A244" t="s">
        <v>917</v>
      </c>
      <c r="B244" t="s">
        <v>232</v>
      </c>
      <c r="C244" t="s">
        <v>50</v>
      </c>
      <c r="D244" t="s">
        <v>362</v>
      </c>
      <c r="E244">
        <v>198</v>
      </c>
      <c r="F244">
        <v>0</v>
      </c>
      <c r="G244">
        <v>0</v>
      </c>
      <c r="H244">
        <v>38</v>
      </c>
      <c r="I244">
        <v>0</v>
      </c>
      <c r="J244">
        <v>0</v>
      </c>
      <c r="K244">
        <v>160</v>
      </c>
    </row>
    <row r="245" spans="1:11" hidden="1" x14ac:dyDescent="0.25">
      <c r="A245" t="s">
        <v>917</v>
      </c>
      <c r="B245" t="s">
        <v>233</v>
      </c>
      <c r="C245" t="s">
        <v>36</v>
      </c>
      <c r="D245" t="s">
        <v>362</v>
      </c>
      <c r="E245">
        <v>21</v>
      </c>
      <c r="F245">
        <v>0</v>
      </c>
      <c r="G245">
        <v>4</v>
      </c>
      <c r="H245">
        <v>0</v>
      </c>
      <c r="I245">
        <v>0</v>
      </c>
      <c r="J245">
        <v>0</v>
      </c>
      <c r="K245">
        <v>21</v>
      </c>
    </row>
    <row r="246" spans="1:11" x14ac:dyDescent="0.25">
      <c r="A246" t="s">
        <v>1108</v>
      </c>
      <c r="B246" t="s">
        <v>232</v>
      </c>
      <c r="C246" t="s">
        <v>47</v>
      </c>
      <c r="E246">
        <v>149</v>
      </c>
      <c r="F246">
        <v>0</v>
      </c>
      <c r="G246">
        <v>0</v>
      </c>
      <c r="H246">
        <v>116</v>
      </c>
      <c r="I246">
        <v>0</v>
      </c>
      <c r="J246">
        <v>3</v>
      </c>
      <c r="K246">
        <v>30</v>
      </c>
    </row>
    <row r="247" spans="1:11" hidden="1" x14ac:dyDescent="0.25">
      <c r="A247" t="s">
        <v>760</v>
      </c>
      <c r="B247" t="s">
        <v>232</v>
      </c>
      <c r="C247" t="s">
        <v>39</v>
      </c>
      <c r="D247" t="s">
        <v>362</v>
      </c>
      <c r="E247">
        <v>79</v>
      </c>
      <c r="F247">
        <v>0</v>
      </c>
      <c r="G247">
        <v>0</v>
      </c>
      <c r="H247">
        <v>0</v>
      </c>
      <c r="I247">
        <v>0</v>
      </c>
      <c r="J247">
        <v>0</v>
      </c>
      <c r="K247">
        <v>79</v>
      </c>
    </row>
    <row r="248" spans="1:11" x14ac:dyDescent="0.25">
      <c r="A248" t="s">
        <v>1108</v>
      </c>
      <c r="B248" t="s">
        <v>232</v>
      </c>
      <c r="C248" t="s">
        <v>32</v>
      </c>
      <c r="E248">
        <v>294</v>
      </c>
      <c r="F248">
        <v>0</v>
      </c>
      <c r="G248">
        <v>0</v>
      </c>
      <c r="H248">
        <v>266</v>
      </c>
      <c r="I248">
        <v>0</v>
      </c>
      <c r="J248">
        <v>0</v>
      </c>
      <c r="K248">
        <v>28</v>
      </c>
    </row>
    <row r="249" spans="1:11" hidden="1" x14ac:dyDescent="0.25">
      <c r="A249" t="s">
        <v>1010</v>
      </c>
      <c r="B249" t="s">
        <v>232</v>
      </c>
      <c r="C249" t="s">
        <v>53</v>
      </c>
      <c r="E249">
        <v>112</v>
      </c>
      <c r="F249">
        <v>0</v>
      </c>
      <c r="G249">
        <v>0</v>
      </c>
      <c r="H249">
        <v>13</v>
      </c>
      <c r="I249">
        <v>0</v>
      </c>
      <c r="J249">
        <v>0</v>
      </c>
      <c r="K249">
        <v>99</v>
      </c>
    </row>
    <row r="250" spans="1:11" hidden="1" x14ac:dyDescent="0.25">
      <c r="A250" t="s">
        <v>1061</v>
      </c>
      <c r="B250" t="s">
        <v>233</v>
      </c>
      <c r="C250" t="s">
        <v>67</v>
      </c>
      <c r="E250">
        <v>32</v>
      </c>
      <c r="F250">
        <v>0</v>
      </c>
      <c r="G250">
        <v>4</v>
      </c>
      <c r="H250">
        <v>0</v>
      </c>
      <c r="I250">
        <v>0</v>
      </c>
      <c r="J250">
        <v>0</v>
      </c>
      <c r="K250">
        <v>32</v>
      </c>
    </row>
    <row r="251" spans="1:11" hidden="1" x14ac:dyDescent="0.25">
      <c r="A251" t="s">
        <v>917</v>
      </c>
      <c r="B251" t="s">
        <v>232</v>
      </c>
      <c r="C251" t="s">
        <v>117</v>
      </c>
      <c r="D251" t="s">
        <v>362</v>
      </c>
      <c r="E251">
        <v>499</v>
      </c>
      <c r="F251">
        <v>0</v>
      </c>
      <c r="G251">
        <v>0</v>
      </c>
      <c r="H251">
        <v>0</v>
      </c>
      <c r="I251">
        <v>0</v>
      </c>
      <c r="J251">
        <v>0</v>
      </c>
      <c r="K251">
        <v>499</v>
      </c>
    </row>
    <row r="252" spans="1:11" x14ac:dyDescent="0.25">
      <c r="A252" t="s">
        <v>1108</v>
      </c>
      <c r="B252" t="s">
        <v>232</v>
      </c>
      <c r="C252" t="s">
        <v>56</v>
      </c>
      <c r="E252">
        <v>98</v>
      </c>
      <c r="F252">
        <v>0</v>
      </c>
      <c r="G252">
        <v>0</v>
      </c>
      <c r="H252">
        <v>46</v>
      </c>
      <c r="I252">
        <v>0</v>
      </c>
      <c r="J252">
        <v>0</v>
      </c>
      <c r="K252">
        <v>52</v>
      </c>
    </row>
    <row r="253" spans="1:11" hidden="1" x14ac:dyDescent="0.25">
      <c r="A253" t="s">
        <v>1010</v>
      </c>
      <c r="B253" t="s">
        <v>233</v>
      </c>
      <c r="C253" t="s">
        <v>70</v>
      </c>
      <c r="E253">
        <v>33</v>
      </c>
      <c r="F253">
        <v>0</v>
      </c>
      <c r="G253">
        <v>10</v>
      </c>
      <c r="H253">
        <v>0</v>
      </c>
      <c r="I253">
        <v>0</v>
      </c>
      <c r="J253">
        <v>0</v>
      </c>
      <c r="K253">
        <v>33</v>
      </c>
    </row>
    <row r="254" spans="1:11" hidden="1" x14ac:dyDescent="0.25">
      <c r="A254" t="s">
        <v>1061</v>
      </c>
      <c r="B254" t="s">
        <v>232</v>
      </c>
      <c r="C254" t="s">
        <v>39</v>
      </c>
      <c r="E254">
        <v>71</v>
      </c>
      <c r="F254">
        <v>0</v>
      </c>
      <c r="G254">
        <v>0</v>
      </c>
      <c r="H254">
        <v>0</v>
      </c>
      <c r="I254">
        <v>0</v>
      </c>
      <c r="J254">
        <v>0</v>
      </c>
      <c r="K254">
        <v>71</v>
      </c>
    </row>
    <row r="255" spans="1:11" hidden="1" x14ac:dyDescent="0.25">
      <c r="A255" t="s">
        <v>1010</v>
      </c>
      <c r="B255" t="s">
        <v>233</v>
      </c>
      <c r="C255" t="s">
        <v>64</v>
      </c>
      <c r="E255">
        <v>28</v>
      </c>
      <c r="F255">
        <v>0</v>
      </c>
      <c r="G255">
        <v>6</v>
      </c>
      <c r="H255">
        <v>0</v>
      </c>
      <c r="I255">
        <v>0</v>
      </c>
      <c r="J255">
        <v>0</v>
      </c>
      <c r="K255">
        <v>28</v>
      </c>
    </row>
    <row r="256" spans="1:11" hidden="1" x14ac:dyDescent="0.25">
      <c r="A256" t="s">
        <v>191</v>
      </c>
      <c r="B256" t="s">
        <v>232</v>
      </c>
      <c r="C256" t="s">
        <v>39</v>
      </c>
      <c r="D256" t="s">
        <v>295</v>
      </c>
      <c r="E256">
        <v>72</v>
      </c>
      <c r="H256">
        <v>0</v>
      </c>
      <c r="J256">
        <v>0</v>
      </c>
      <c r="K256">
        <v>72</v>
      </c>
    </row>
    <row r="257" spans="1:11" hidden="1" x14ac:dyDescent="0.25">
      <c r="A257" t="s">
        <v>191</v>
      </c>
      <c r="B257" t="s">
        <v>232</v>
      </c>
      <c r="C257" t="s">
        <v>56</v>
      </c>
      <c r="D257" t="s">
        <v>282</v>
      </c>
      <c r="E257">
        <v>114</v>
      </c>
      <c r="H257">
        <v>54</v>
      </c>
      <c r="J257">
        <v>0</v>
      </c>
      <c r="K257">
        <v>60</v>
      </c>
    </row>
    <row r="258" spans="1:11" hidden="1" x14ac:dyDescent="0.25">
      <c r="A258" t="s">
        <v>192</v>
      </c>
      <c r="B258" t="s">
        <v>232</v>
      </c>
      <c r="C258" t="s">
        <v>54</v>
      </c>
      <c r="D258" t="s">
        <v>280</v>
      </c>
      <c r="E258">
        <v>209</v>
      </c>
      <c r="H258">
        <v>134</v>
      </c>
      <c r="J258">
        <v>0</v>
      </c>
      <c r="K258">
        <v>75</v>
      </c>
    </row>
    <row r="259" spans="1:11" hidden="1" x14ac:dyDescent="0.25">
      <c r="A259" t="s">
        <v>192</v>
      </c>
      <c r="B259" t="s">
        <v>232</v>
      </c>
      <c r="C259" t="s">
        <v>41</v>
      </c>
      <c r="D259" t="s">
        <v>270</v>
      </c>
      <c r="E259">
        <v>59</v>
      </c>
      <c r="H259">
        <v>0</v>
      </c>
      <c r="J259">
        <v>0</v>
      </c>
      <c r="K259">
        <v>59</v>
      </c>
    </row>
    <row r="260" spans="1:11" hidden="1" x14ac:dyDescent="0.25">
      <c r="A260" t="s">
        <v>190</v>
      </c>
      <c r="B260" t="s">
        <v>232</v>
      </c>
      <c r="C260" t="s">
        <v>36</v>
      </c>
      <c r="D260" t="s">
        <v>267</v>
      </c>
      <c r="E260">
        <v>260</v>
      </c>
      <c r="H260">
        <v>190</v>
      </c>
      <c r="J260">
        <v>5</v>
      </c>
      <c r="K260">
        <v>65</v>
      </c>
    </row>
    <row r="261" spans="1:11" hidden="1" x14ac:dyDescent="0.25">
      <c r="A261" t="s">
        <v>917</v>
      </c>
      <c r="B261" t="s">
        <v>233</v>
      </c>
      <c r="C261" t="s">
        <v>67</v>
      </c>
      <c r="D261" t="s">
        <v>361</v>
      </c>
      <c r="E261">
        <v>28</v>
      </c>
      <c r="F261">
        <v>0</v>
      </c>
      <c r="G261">
        <v>4</v>
      </c>
      <c r="H261">
        <v>0</v>
      </c>
      <c r="I261">
        <v>0</v>
      </c>
      <c r="J261">
        <v>0</v>
      </c>
      <c r="K261">
        <v>28</v>
      </c>
    </row>
    <row r="262" spans="1:11" hidden="1" x14ac:dyDescent="0.25">
      <c r="A262" t="s">
        <v>239</v>
      </c>
      <c r="B262" t="s">
        <v>232</v>
      </c>
      <c r="C262" t="s">
        <v>51</v>
      </c>
      <c r="D262" t="s">
        <v>278</v>
      </c>
      <c r="E262">
        <v>109</v>
      </c>
      <c r="F262">
        <v>0</v>
      </c>
      <c r="G262">
        <v>0</v>
      </c>
      <c r="H262">
        <v>109</v>
      </c>
      <c r="I262">
        <v>0</v>
      </c>
      <c r="J262">
        <v>0</v>
      </c>
      <c r="K262">
        <v>0</v>
      </c>
    </row>
    <row r="263" spans="1:11" hidden="1" x14ac:dyDescent="0.25">
      <c r="A263" t="s">
        <v>760</v>
      </c>
      <c r="B263" t="s">
        <v>233</v>
      </c>
      <c r="C263" t="s">
        <v>50</v>
      </c>
      <c r="D263" t="s">
        <v>362</v>
      </c>
      <c r="E263">
        <v>16</v>
      </c>
      <c r="F263">
        <v>0</v>
      </c>
      <c r="G263">
        <v>0</v>
      </c>
      <c r="H263">
        <v>0</v>
      </c>
      <c r="I263">
        <v>0</v>
      </c>
      <c r="J263">
        <v>0</v>
      </c>
      <c r="K263">
        <v>16</v>
      </c>
    </row>
    <row r="264" spans="1:11" hidden="1" x14ac:dyDescent="0.25">
      <c r="A264" t="s">
        <v>760</v>
      </c>
      <c r="B264" t="s">
        <v>233</v>
      </c>
      <c r="C264" t="s">
        <v>762</v>
      </c>
      <c r="E264">
        <v>38</v>
      </c>
      <c r="F264">
        <v>0</v>
      </c>
      <c r="G264">
        <v>4</v>
      </c>
      <c r="H264">
        <v>0</v>
      </c>
      <c r="I264">
        <v>0</v>
      </c>
      <c r="J264">
        <v>0</v>
      </c>
      <c r="K264">
        <v>38</v>
      </c>
    </row>
    <row r="265" spans="1:11" hidden="1" x14ac:dyDescent="0.25">
      <c r="A265" t="s">
        <v>1061</v>
      </c>
      <c r="B265" t="s">
        <v>233</v>
      </c>
      <c r="C265" t="s">
        <v>66</v>
      </c>
      <c r="E265">
        <v>26</v>
      </c>
      <c r="F265">
        <v>0</v>
      </c>
      <c r="G265">
        <v>4</v>
      </c>
      <c r="H265">
        <v>0</v>
      </c>
      <c r="I265">
        <v>0</v>
      </c>
      <c r="J265">
        <v>0</v>
      </c>
      <c r="K265">
        <v>26</v>
      </c>
    </row>
    <row r="266" spans="1:11" hidden="1" x14ac:dyDescent="0.25">
      <c r="A266" t="s">
        <v>1061</v>
      </c>
      <c r="B266" t="s">
        <v>232</v>
      </c>
      <c r="C266" t="s">
        <v>50</v>
      </c>
      <c r="E266">
        <v>190</v>
      </c>
      <c r="F266">
        <v>0</v>
      </c>
      <c r="G266">
        <v>0</v>
      </c>
      <c r="H266">
        <v>31</v>
      </c>
      <c r="I266">
        <v>0</v>
      </c>
      <c r="J266">
        <v>0</v>
      </c>
      <c r="K266">
        <v>159</v>
      </c>
    </row>
    <row r="267" spans="1:11" hidden="1" x14ac:dyDescent="0.25">
      <c r="A267" t="s">
        <v>239</v>
      </c>
      <c r="B267" t="s">
        <v>232</v>
      </c>
      <c r="C267" t="s">
        <v>55</v>
      </c>
      <c r="D267" t="s">
        <v>281</v>
      </c>
      <c r="E267">
        <v>127</v>
      </c>
      <c r="F267">
        <v>0</v>
      </c>
      <c r="G267">
        <v>0</v>
      </c>
      <c r="H267">
        <v>127</v>
      </c>
      <c r="I267">
        <v>0</v>
      </c>
      <c r="J267">
        <v>0</v>
      </c>
      <c r="K267">
        <v>0</v>
      </c>
    </row>
    <row r="268" spans="1:11" hidden="1" x14ac:dyDescent="0.25">
      <c r="A268" t="s">
        <v>1061</v>
      </c>
      <c r="B268" t="s">
        <v>232</v>
      </c>
      <c r="C268" t="s">
        <v>56</v>
      </c>
      <c r="E268">
        <v>96</v>
      </c>
      <c r="F268">
        <v>0</v>
      </c>
      <c r="G268">
        <v>0</v>
      </c>
      <c r="H268">
        <v>48</v>
      </c>
      <c r="I268">
        <v>0</v>
      </c>
      <c r="J268">
        <v>0</v>
      </c>
      <c r="K268">
        <v>48</v>
      </c>
    </row>
    <row r="269" spans="1:11" hidden="1" x14ac:dyDescent="0.25">
      <c r="A269" t="s">
        <v>1061</v>
      </c>
      <c r="B269" t="s">
        <v>232</v>
      </c>
      <c r="C269" t="s">
        <v>41</v>
      </c>
      <c r="E269">
        <v>47</v>
      </c>
      <c r="F269">
        <v>0</v>
      </c>
      <c r="G269">
        <v>0</v>
      </c>
      <c r="H269">
        <v>0</v>
      </c>
      <c r="I269">
        <v>0</v>
      </c>
      <c r="J269">
        <v>0</v>
      </c>
      <c r="K269">
        <v>47</v>
      </c>
    </row>
    <row r="270" spans="1:11" hidden="1" x14ac:dyDescent="0.25">
      <c r="A270" t="s">
        <v>1061</v>
      </c>
      <c r="B270" t="s">
        <v>233</v>
      </c>
      <c r="C270" t="s">
        <v>64</v>
      </c>
      <c r="E270">
        <v>30</v>
      </c>
      <c r="F270">
        <v>0</v>
      </c>
      <c r="G270">
        <v>0</v>
      </c>
      <c r="H270">
        <v>0</v>
      </c>
      <c r="I270">
        <v>0</v>
      </c>
      <c r="J270">
        <v>0</v>
      </c>
      <c r="K270">
        <v>30</v>
      </c>
    </row>
    <row r="271" spans="1:11" hidden="1" x14ac:dyDescent="0.25">
      <c r="A271" t="s">
        <v>1061</v>
      </c>
      <c r="B271" t="s">
        <v>232</v>
      </c>
      <c r="C271" t="s">
        <v>59</v>
      </c>
      <c r="E271">
        <v>87</v>
      </c>
      <c r="F271">
        <v>0</v>
      </c>
      <c r="G271">
        <v>0</v>
      </c>
      <c r="H271">
        <v>19</v>
      </c>
      <c r="I271">
        <v>0</v>
      </c>
      <c r="J271">
        <v>0</v>
      </c>
      <c r="K271">
        <v>68</v>
      </c>
    </row>
    <row r="272" spans="1:11" x14ac:dyDescent="0.25">
      <c r="A272" t="s">
        <v>1108</v>
      </c>
      <c r="B272" t="s">
        <v>232</v>
      </c>
      <c r="C272" t="s">
        <v>55</v>
      </c>
      <c r="E272">
        <v>115</v>
      </c>
      <c r="F272">
        <v>0</v>
      </c>
      <c r="G272">
        <v>0</v>
      </c>
      <c r="H272">
        <v>114</v>
      </c>
      <c r="I272">
        <v>0</v>
      </c>
      <c r="J272">
        <v>0</v>
      </c>
      <c r="K272">
        <v>1</v>
      </c>
    </row>
    <row r="273" spans="1:11" hidden="1" x14ac:dyDescent="0.25">
      <c r="A273" t="s">
        <v>239</v>
      </c>
      <c r="B273" t="s">
        <v>234</v>
      </c>
      <c r="C273" t="s">
        <v>162</v>
      </c>
      <c r="D273" t="s">
        <v>363</v>
      </c>
      <c r="E273">
        <v>30</v>
      </c>
      <c r="F273">
        <v>0</v>
      </c>
      <c r="G273">
        <v>0</v>
      </c>
      <c r="H273">
        <v>0</v>
      </c>
      <c r="I273">
        <v>0</v>
      </c>
      <c r="J273">
        <v>0</v>
      </c>
      <c r="K273">
        <v>30</v>
      </c>
    </row>
    <row r="274" spans="1:11" hidden="1" x14ac:dyDescent="0.25">
      <c r="A274" t="s">
        <v>1061</v>
      </c>
      <c r="B274" t="s">
        <v>232</v>
      </c>
      <c r="C274" t="s">
        <v>54</v>
      </c>
      <c r="E274">
        <v>210</v>
      </c>
      <c r="F274">
        <v>0</v>
      </c>
      <c r="G274">
        <v>0</v>
      </c>
      <c r="H274">
        <v>154</v>
      </c>
      <c r="I274">
        <v>0</v>
      </c>
      <c r="J274">
        <v>0</v>
      </c>
      <c r="K274">
        <v>56</v>
      </c>
    </row>
    <row r="275" spans="1:11" hidden="1" x14ac:dyDescent="0.25">
      <c r="A275" t="s">
        <v>239</v>
      </c>
      <c r="B275" t="s">
        <v>232</v>
      </c>
      <c r="C275" t="s">
        <v>39</v>
      </c>
      <c r="D275" t="s">
        <v>295</v>
      </c>
      <c r="E275">
        <v>78</v>
      </c>
      <c r="F275">
        <v>0</v>
      </c>
      <c r="G275">
        <v>0</v>
      </c>
      <c r="H275">
        <v>0</v>
      </c>
      <c r="I275">
        <v>0</v>
      </c>
      <c r="J275">
        <v>0</v>
      </c>
      <c r="K275">
        <v>78</v>
      </c>
    </row>
    <row r="276" spans="1:11" hidden="1" x14ac:dyDescent="0.25">
      <c r="A276" t="s">
        <v>239</v>
      </c>
      <c r="B276" t="s">
        <v>233</v>
      </c>
      <c r="C276" t="s">
        <v>117</v>
      </c>
      <c r="D276" t="s">
        <v>994</v>
      </c>
      <c r="E276">
        <v>25</v>
      </c>
      <c r="F276">
        <v>0</v>
      </c>
      <c r="G276">
        <v>0</v>
      </c>
      <c r="H276">
        <v>0</v>
      </c>
      <c r="I276">
        <v>0</v>
      </c>
      <c r="J276">
        <v>0</v>
      </c>
      <c r="K276">
        <v>25</v>
      </c>
    </row>
    <row r="277" spans="1:11" hidden="1" x14ac:dyDescent="0.25">
      <c r="A277" t="s">
        <v>239</v>
      </c>
      <c r="B277" t="s">
        <v>234</v>
      </c>
      <c r="C277" t="s">
        <v>164</v>
      </c>
      <c r="D277" t="s">
        <v>361</v>
      </c>
      <c r="E277">
        <v>37</v>
      </c>
      <c r="F277">
        <v>0</v>
      </c>
      <c r="G277">
        <v>0</v>
      </c>
      <c r="H277">
        <v>0</v>
      </c>
      <c r="I277">
        <v>0</v>
      </c>
      <c r="J277">
        <v>0</v>
      </c>
      <c r="K277">
        <v>37</v>
      </c>
    </row>
    <row r="278" spans="1:11" x14ac:dyDescent="0.25">
      <c r="A278" t="s">
        <v>1108</v>
      </c>
      <c r="B278" t="s">
        <v>232</v>
      </c>
      <c r="C278" t="s">
        <v>42</v>
      </c>
      <c r="E278">
        <v>152</v>
      </c>
      <c r="F278">
        <v>0</v>
      </c>
      <c r="G278">
        <v>0</v>
      </c>
      <c r="H278">
        <v>61</v>
      </c>
      <c r="I278">
        <v>0</v>
      </c>
      <c r="J278">
        <v>0</v>
      </c>
      <c r="K278">
        <v>91</v>
      </c>
    </row>
    <row r="279" spans="1:11" hidden="1" x14ac:dyDescent="0.25">
      <c r="A279" t="s">
        <v>917</v>
      </c>
      <c r="B279" t="s">
        <v>232</v>
      </c>
      <c r="C279" t="s">
        <v>60</v>
      </c>
      <c r="D279" t="s">
        <v>361</v>
      </c>
      <c r="E279">
        <v>115</v>
      </c>
      <c r="F279">
        <v>0</v>
      </c>
      <c r="G279">
        <v>0</v>
      </c>
      <c r="H279">
        <v>58</v>
      </c>
      <c r="I279">
        <v>0</v>
      </c>
      <c r="J279">
        <v>0</v>
      </c>
      <c r="K279">
        <v>57</v>
      </c>
    </row>
    <row r="280" spans="1:11" hidden="1" x14ac:dyDescent="0.25">
      <c r="A280" t="s">
        <v>760</v>
      </c>
      <c r="B280" t="s">
        <v>233</v>
      </c>
      <c r="C280" t="s">
        <v>31</v>
      </c>
      <c r="D280" t="s">
        <v>363</v>
      </c>
      <c r="E280">
        <v>13</v>
      </c>
      <c r="F280">
        <v>0</v>
      </c>
      <c r="G280">
        <v>0</v>
      </c>
      <c r="H280">
        <v>0</v>
      </c>
      <c r="I280">
        <v>0</v>
      </c>
      <c r="J280">
        <v>0</v>
      </c>
      <c r="K280">
        <v>13</v>
      </c>
    </row>
    <row r="281" spans="1:11" hidden="1" x14ac:dyDescent="0.25">
      <c r="A281" t="s">
        <v>239</v>
      </c>
      <c r="B281" t="s">
        <v>234</v>
      </c>
      <c r="C281" t="s">
        <v>163</v>
      </c>
      <c r="D281" t="s">
        <v>362</v>
      </c>
      <c r="E281">
        <v>79</v>
      </c>
      <c r="F281">
        <v>0</v>
      </c>
      <c r="G281">
        <v>0</v>
      </c>
      <c r="H281">
        <v>0</v>
      </c>
      <c r="I281">
        <v>0</v>
      </c>
      <c r="J281">
        <v>0</v>
      </c>
      <c r="K281">
        <v>79</v>
      </c>
    </row>
    <row r="282" spans="1:11" hidden="1" x14ac:dyDescent="0.25">
      <c r="A282" t="s">
        <v>239</v>
      </c>
      <c r="B282" t="s">
        <v>233</v>
      </c>
      <c r="C282" t="s">
        <v>68</v>
      </c>
      <c r="D282" t="s">
        <v>341</v>
      </c>
      <c r="E282">
        <v>14</v>
      </c>
      <c r="F282">
        <v>0</v>
      </c>
      <c r="G282">
        <v>0</v>
      </c>
      <c r="H282">
        <v>0</v>
      </c>
      <c r="I282">
        <v>0</v>
      </c>
      <c r="J282">
        <v>0</v>
      </c>
      <c r="K282">
        <v>14</v>
      </c>
    </row>
    <row r="283" spans="1:11" hidden="1" x14ac:dyDescent="0.25">
      <c r="A283" t="s">
        <v>239</v>
      </c>
      <c r="B283" t="s">
        <v>232</v>
      </c>
      <c r="C283" t="s">
        <v>32</v>
      </c>
      <c r="D283" t="s">
        <v>286</v>
      </c>
      <c r="E283">
        <v>314</v>
      </c>
      <c r="F283">
        <v>0</v>
      </c>
      <c r="G283">
        <v>0</v>
      </c>
      <c r="H283">
        <v>284</v>
      </c>
      <c r="I283">
        <v>0</v>
      </c>
      <c r="J283">
        <v>0</v>
      </c>
      <c r="K283">
        <v>30</v>
      </c>
    </row>
    <row r="284" spans="1:11" hidden="1" x14ac:dyDescent="0.25">
      <c r="A284" t="s">
        <v>239</v>
      </c>
      <c r="B284" t="s">
        <v>232</v>
      </c>
      <c r="C284" t="s">
        <v>40</v>
      </c>
      <c r="D284" t="s">
        <v>269</v>
      </c>
      <c r="E284">
        <v>86</v>
      </c>
      <c r="F284">
        <v>0</v>
      </c>
      <c r="G284">
        <v>0</v>
      </c>
      <c r="H284">
        <v>62</v>
      </c>
      <c r="I284">
        <v>0</v>
      </c>
      <c r="J284">
        <v>0</v>
      </c>
      <c r="K284">
        <v>24</v>
      </c>
    </row>
    <row r="285" spans="1:11" hidden="1" x14ac:dyDescent="0.25">
      <c r="A285" t="s">
        <v>1061</v>
      </c>
      <c r="B285" t="s">
        <v>232</v>
      </c>
      <c r="C285" t="s">
        <v>60</v>
      </c>
      <c r="E285">
        <v>113</v>
      </c>
      <c r="F285">
        <v>0</v>
      </c>
      <c r="G285">
        <v>0</v>
      </c>
      <c r="H285">
        <v>54</v>
      </c>
      <c r="I285">
        <v>0</v>
      </c>
      <c r="J285">
        <v>0</v>
      </c>
      <c r="K285">
        <v>59</v>
      </c>
    </row>
    <row r="286" spans="1:11" hidden="1" x14ac:dyDescent="0.25">
      <c r="A286" t="s">
        <v>917</v>
      </c>
      <c r="B286" t="s">
        <v>232</v>
      </c>
      <c r="C286" t="s">
        <v>53</v>
      </c>
      <c r="D286" t="s">
        <v>362</v>
      </c>
      <c r="E286">
        <v>113</v>
      </c>
      <c r="F286">
        <v>0</v>
      </c>
      <c r="G286">
        <v>0</v>
      </c>
      <c r="H286">
        <v>13</v>
      </c>
      <c r="I286">
        <v>0</v>
      </c>
      <c r="J286">
        <v>0</v>
      </c>
      <c r="K286">
        <v>100</v>
      </c>
    </row>
    <row r="287" spans="1:11" x14ac:dyDescent="0.25">
      <c r="A287" t="s">
        <v>1108</v>
      </c>
      <c r="B287" t="s">
        <v>232</v>
      </c>
      <c r="C287" t="s">
        <v>60</v>
      </c>
      <c r="E287">
        <v>119</v>
      </c>
      <c r="F287">
        <v>0</v>
      </c>
      <c r="G287">
        <v>0</v>
      </c>
      <c r="H287">
        <v>56</v>
      </c>
      <c r="I287">
        <v>0</v>
      </c>
      <c r="J287">
        <v>0</v>
      </c>
      <c r="K287">
        <v>63</v>
      </c>
    </row>
    <row r="288" spans="1:11" hidden="1" x14ac:dyDescent="0.25">
      <c r="A288" t="s">
        <v>1061</v>
      </c>
      <c r="B288" t="s">
        <v>232</v>
      </c>
      <c r="C288" t="s">
        <v>38</v>
      </c>
      <c r="E288">
        <v>118</v>
      </c>
      <c r="F288">
        <v>0</v>
      </c>
      <c r="G288">
        <v>0</v>
      </c>
      <c r="H288">
        <v>71</v>
      </c>
      <c r="I288">
        <v>0</v>
      </c>
      <c r="J288">
        <v>0</v>
      </c>
      <c r="K288">
        <v>47</v>
      </c>
    </row>
    <row r="289" spans="1:11" hidden="1" x14ac:dyDescent="0.25">
      <c r="A289" t="s">
        <v>1061</v>
      </c>
      <c r="B289" t="s">
        <v>233</v>
      </c>
      <c r="C289" t="s">
        <v>117</v>
      </c>
      <c r="E289">
        <v>23</v>
      </c>
      <c r="F289">
        <v>0</v>
      </c>
      <c r="G289">
        <v>0</v>
      </c>
      <c r="H289">
        <v>0</v>
      </c>
      <c r="I289">
        <v>0</v>
      </c>
      <c r="J289">
        <v>0</v>
      </c>
      <c r="K289">
        <v>23</v>
      </c>
    </row>
    <row r="290" spans="1:11" hidden="1" x14ac:dyDescent="0.25">
      <c r="A290" t="s">
        <v>1061</v>
      </c>
      <c r="B290" t="s">
        <v>234</v>
      </c>
      <c r="C290" t="s">
        <v>163</v>
      </c>
      <c r="E290">
        <v>119</v>
      </c>
      <c r="F290">
        <v>0</v>
      </c>
      <c r="G290">
        <v>0</v>
      </c>
      <c r="H290">
        <v>0</v>
      </c>
      <c r="I290">
        <v>0</v>
      </c>
      <c r="J290">
        <v>0</v>
      </c>
      <c r="K290">
        <v>119</v>
      </c>
    </row>
    <row r="291" spans="1:11" hidden="1" x14ac:dyDescent="0.25">
      <c r="A291" t="s">
        <v>917</v>
      </c>
      <c r="B291" t="s">
        <v>232</v>
      </c>
      <c r="C291" t="s">
        <v>42</v>
      </c>
      <c r="D291" t="s">
        <v>361</v>
      </c>
      <c r="E291">
        <v>144</v>
      </c>
      <c r="F291">
        <v>0</v>
      </c>
      <c r="G291">
        <v>0</v>
      </c>
      <c r="H291">
        <v>56</v>
      </c>
      <c r="I291">
        <v>0</v>
      </c>
      <c r="J291">
        <v>0</v>
      </c>
      <c r="K291">
        <v>88</v>
      </c>
    </row>
    <row r="292" spans="1:11" x14ac:dyDescent="0.25">
      <c r="A292" t="s">
        <v>1108</v>
      </c>
      <c r="B292" t="s">
        <v>232</v>
      </c>
      <c r="C292" t="s">
        <v>70</v>
      </c>
      <c r="E292">
        <v>591</v>
      </c>
      <c r="F292">
        <v>0</v>
      </c>
      <c r="G292">
        <v>0</v>
      </c>
      <c r="H292">
        <v>464</v>
      </c>
      <c r="I292">
        <v>0</v>
      </c>
      <c r="J292">
        <v>47</v>
      </c>
      <c r="K292">
        <v>80</v>
      </c>
    </row>
    <row r="293" spans="1:11" x14ac:dyDescent="0.25">
      <c r="A293" t="s">
        <v>1108</v>
      </c>
      <c r="B293" t="s">
        <v>232</v>
      </c>
      <c r="C293" t="s">
        <v>54</v>
      </c>
      <c r="E293">
        <v>194</v>
      </c>
      <c r="F293">
        <v>0</v>
      </c>
      <c r="G293">
        <v>0</v>
      </c>
      <c r="H293">
        <v>137</v>
      </c>
      <c r="I293">
        <v>0</v>
      </c>
      <c r="J293">
        <v>0</v>
      </c>
      <c r="K293">
        <v>57</v>
      </c>
    </row>
    <row r="294" spans="1:11" x14ac:dyDescent="0.25">
      <c r="A294" t="s">
        <v>1108</v>
      </c>
      <c r="B294" t="s">
        <v>232</v>
      </c>
      <c r="C294" t="s">
        <v>117</v>
      </c>
      <c r="E294">
        <v>463</v>
      </c>
      <c r="F294">
        <v>0</v>
      </c>
      <c r="G294">
        <v>0</v>
      </c>
      <c r="H294">
        <v>0</v>
      </c>
      <c r="I294">
        <v>0</v>
      </c>
      <c r="J294">
        <v>0</v>
      </c>
      <c r="K294">
        <v>463</v>
      </c>
    </row>
    <row r="295" spans="1:11" hidden="1" x14ac:dyDescent="0.25">
      <c r="A295" t="s">
        <v>1108</v>
      </c>
      <c r="B295" t="s">
        <v>233</v>
      </c>
      <c r="C295" t="s">
        <v>65</v>
      </c>
      <c r="E295">
        <v>23</v>
      </c>
      <c r="F295">
        <v>0</v>
      </c>
      <c r="G295">
        <v>3</v>
      </c>
      <c r="H295">
        <v>0</v>
      </c>
      <c r="I295">
        <v>0</v>
      </c>
      <c r="J295">
        <v>0</v>
      </c>
      <c r="K295">
        <v>23</v>
      </c>
    </row>
    <row r="296" spans="1:11" hidden="1" x14ac:dyDescent="0.25">
      <c r="A296" t="s">
        <v>240</v>
      </c>
      <c r="B296" t="s">
        <v>235</v>
      </c>
      <c r="C296" t="s">
        <v>244</v>
      </c>
      <c r="D296" t="s">
        <v>347</v>
      </c>
      <c r="E296">
        <v>609</v>
      </c>
      <c r="F296">
        <v>189</v>
      </c>
      <c r="I296">
        <v>277</v>
      </c>
      <c r="K296">
        <v>143</v>
      </c>
    </row>
    <row r="297" spans="1:11" hidden="1" x14ac:dyDescent="0.25">
      <c r="A297" t="s">
        <v>257</v>
      </c>
      <c r="B297" t="s">
        <v>233</v>
      </c>
      <c r="C297" t="s">
        <v>165</v>
      </c>
      <c r="D297" t="s">
        <v>342</v>
      </c>
      <c r="E297">
        <v>27</v>
      </c>
      <c r="K297">
        <v>27</v>
      </c>
    </row>
    <row r="298" spans="1:11" hidden="1" x14ac:dyDescent="0.25">
      <c r="A298" t="s">
        <v>917</v>
      </c>
      <c r="B298" t="s">
        <v>235</v>
      </c>
      <c r="C298" t="s">
        <v>244</v>
      </c>
      <c r="D298" t="s">
        <v>347</v>
      </c>
      <c r="E298">
        <v>1107</v>
      </c>
      <c r="F298">
        <v>182</v>
      </c>
      <c r="G298">
        <v>0</v>
      </c>
      <c r="H298">
        <v>0</v>
      </c>
      <c r="I298">
        <v>835</v>
      </c>
      <c r="J298">
        <v>0</v>
      </c>
      <c r="K298">
        <v>90</v>
      </c>
    </row>
    <row r="299" spans="1:11" hidden="1" x14ac:dyDescent="0.25">
      <c r="A299" t="s">
        <v>1061</v>
      </c>
      <c r="B299" t="s">
        <v>232</v>
      </c>
      <c r="C299" t="s">
        <v>70</v>
      </c>
      <c r="E299">
        <v>579</v>
      </c>
      <c r="F299">
        <v>0</v>
      </c>
      <c r="G299">
        <v>0</v>
      </c>
      <c r="H299">
        <v>464</v>
      </c>
      <c r="I299">
        <v>0</v>
      </c>
      <c r="J299">
        <v>42</v>
      </c>
      <c r="K299">
        <v>73</v>
      </c>
    </row>
    <row r="300" spans="1:11" hidden="1" x14ac:dyDescent="0.25">
      <c r="A300" t="s">
        <v>191</v>
      </c>
      <c r="B300" t="s">
        <v>233</v>
      </c>
      <c r="C300" t="s">
        <v>68</v>
      </c>
      <c r="D300" t="s">
        <v>341</v>
      </c>
      <c r="E300">
        <v>12</v>
      </c>
      <c r="K300">
        <v>12</v>
      </c>
    </row>
    <row r="301" spans="1:11" hidden="1" x14ac:dyDescent="0.25">
      <c r="A301" t="s">
        <v>240</v>
      </c>
      <c r="B301" t="s">
        <v>232</v>
      </c>
      <c r="C301" t="s">
        <v>34</v>
      </c>
      <c r="D301" t="s">
        <v>287</v>
      </c>
      <c r="E301">
        <v>438</v>
      </c>
      <c r="H301">
        <v>177</v>
      </c>
      <c r="J301">
        <v>211</v>
      </c>
      <c r="K301">
        <v>50</v>
      </c>
    </row>
    <row r="302" spans="1:11" hidden="1" x14ac:dyDescent="0.25">
      <c r="A302" t="s">
        <v>240</v>
      </c>
      <c r="B302" t="s">
        <v>233</v>
      </c>
      <c r="C302" t="s">
        <v>71</v>
      </c>
      <c r="D302" t="s">
        <v>346</v>
      </c>
      <c r="E302">
        <v>19</v>
      </c>
      <c r="K302">
        <v>19</v>
      </c>
    </row>
    <row r="303" spans="1:11" hidden="1" x14ac:dyDescent="0.25">
      <c r="A303" t="s">
        <v>240</v>
      </c>
      <c r="B303" t="s">
        <v>232</v>
      </c>
      <c r="C303" t="s">
        <v>42</v>
      </c>
      <c r="D303" t="s">
        <v>272</v>
      </c>
      <c r="E303">
        <v>141</v>
      </c>
      <c r="H303">
        <v>54</v>
      </c>
      <c r="K303">
        <v>87</v>
      </c>
    </row>
    <row r="304" spans="1:11" hidden="1" x14ac:dyDescent="0.25">
      <c r="A304" t="s">
        <v>257</v>
      </c>
      <c r="B304" t="s">
        <v>233</v>
      </c>
      <c r="C304" t="s">
        <v>985</v>
      </c>
      <c r="D304" t="s">
        <v>996</v>
      </c>
      <c r="E304">
        <v>15</v>
      </c>
      <c r="K304">
        <v>15</v>
      </c>
    </row>
    <row r="305" spans="1:11" hidden="1" x14ac:dyDescent="0.25">
      <c r="A305" t="s">
        <v>190</v>
      </c>
      <c r="B305" t="s">
        <v>232</v>
      </c>
      <c r="C305" t="s">
        <v>59</v>
      </c>
      <c r="D305" t="s">
        <v>290</v>
      </c>
      <c r="E305">
        <v>89</v>
      </c>
      <c r="H305">
        <v>19</v>
      </c>
      <c r="J305">
        <v>0</v>
      </c>
      <c r="K305">
        <v>70</v>
      </c>
    </row>
    <row r="306" spans="1:11" hidden="1" x14ac:dyDescent="0.25">
      <c r="A306" t="s">
        <v>192</v>
      </c>
      <c r="B306" t="s">
        <v>233</v>
      </c>
      <c r="C306" t="s">
        <v>66</v>
      </c>
      <c r="D306" t="s">
        <v>339</v>
      </c>
      <c r="E306">
        <v>23</v>
      </c>
      <c r="K306">
        <v>23</v>
      </c>
    </row>
    <row r="307" spans="1:11" hidden="1" x14ac:dyDescent="0.25">
      <c r="A307" t="s">
        <v>192</v>
      </c>
      <c r="B307" t="s">
        <v>232</v>
      </c>
      <c r="C307" t="s">
        <v>56</v>
      </c>
      <c r="D307" t="s">
        <v>282</v>
      </c>
      <c r="E307">
        <v>119</v>
      </c>
      <c r="H307">
        <v>54</v>
      </c>
      <c r="J307">
        <v>0</v>
      </c>
      <c r="K307">
        <v>65</v>
      </c>
    </row>
    <row r="308" spans="1:11" hidden="1" x14ac:dyDescent="0.25">
      <c r="A308" t="s">
        <v>192</v>
      </c>
      <c r="B308" t="s">
        <v>233</v>
      </c>
      <c r="C308" t="s">
        <v>65</v>
      </c>
      <c r="D308" t="s">
        <v>336</v>
      </c>
      <c r="E308">
        <v>11</v>
      </c>
      <c r="K308">
        <v>11</v>
      </c>
    </row>
    <row r="309" spans="1:11" hidden="1" x14ac:dyDescent="0.25">
      <c r="A309" t="s">
        <v>190</v>
      </c>
      <c r="B309" t="s">
        <v>235</v>
      </c>
      <c r="C309" t="s">
        <v>244</v>
      </c>
      <c r="D309" t="s">
        <v>347</v>
      </c>
      <c r="E309">
        <v>695</v>
      </c>
      <c r="F309">
        <v>203</v>
      </c>
      <c r="I309">
        <v>297</v>
      </c>
      <c r="K309">
        <v>195</v>
      </c>
    </row>
    <row r="310" spans="1:11" hidden="1" x14ac:dyDescent="0.25">
      <c r="A310" t="s">
        <v>257</v>
      </c>
      <c r="B310" t="s">
        <v>232</v>
      </c>
      <c r="C310" t="s">
        <v>51</v>
      </c>
      <c r="D310" t="s">
        <v>278</v>
      </c>
      <c r="E310">
        <v>95</v>
      </c>
      <c r="H310">
        <v>95</v>
      </c>
      <c r="J310">
        <v>0</v>
      </c>
      <c r="K310">
        <v>0</v>
      </c>
    </row>
    <row r="311" spans="1:11" hidden="1" x14ac:dyDescent="0.25">
      <c r="A311" t="s">
        <v>190</v>
      </c>
      <c r="B311" t="s">
        <v>232</v>
      </c>
      <c r="C311" t="s">
        <v>60</v>
      </c>
      <c r="D311" t="s">
        <v>291</v>
      </c>
      <c r="E311">
        <v>116</v>
      </c>
      <c r="H311">
        <v>55</v>
      </c>
      <c r="J311">
        <v>0</v>
      </c>
      <c r="K311">
        <v>61</v>
      </c>
    </row>
    <row r="312" spans="1:11" hidden="1" x14ac:dyDescent="0.25">
      <c r="A312" t="s">
        <v>190</v>
      </c>
      <c r="B312" t="s">
        <v>232</v>
      </c>
      <c r="C312" t="s">
        <v>42</v>
      </c>
      <c r="D312" t="s">
        <v>272</v>
      </c>
      <c r="E312">
        <v>148</v>
      </c>
      <c r="H312">
        <v>53</v>
      </c>
      <c r="J312">
        <v>0</v>
      </c>
      <c r="K312">
        <v>95</v>
      </c>
    </row>
    <row r="313" spans="1:11" hidden="1" x14ac:dyDescent="0.25">
      <c r="A313" t="s">
        <v>190</v>
      </c>
      <c r="B313" t="s">
        <v>232</v>
      </c>
      <c r="C313" t="s">
        <v>53</v>
      </c>
      <c r="D313" t="s">
        <v>289</v>
      </c>
      <c r="E313">
        <v>105</v>
      </c>
      <c r="H313">
        <v>13</v>
      </c>
      <c r="J313">
        <v>0</v>
      </c>
      <c r="K313">
        <v>92</v>
      </c>
    </row>
    <row r="314" spans="1:11" hidden="1" x14ac:dyDescent="0.25">
      <c r="A314" t="s">
        <v>257</v>
      </c>
      <c r="B314" t="s">
        <v>232</v>
      </c>
      <c r="C314" t="s">
        <v>60</v>
      </c>
      <c r="D314" t="s">
        <v>291</v>
      </c>
      <c r="E314">
        <v>124</v>
      </c>
      <c r="H314">
        <v>64</v>
      </c>
      <c r="J314">
        <v>0</v>
      </c>
      <c r="K314">
        <v>60</v>
      </c>
    </row>
    <row r="315" spans="1:11" hidden="1" x14ac:dyDescent="0.25">
      <c r="A315" t="s">
        <v>192</v>
      </c>
      <c r="B315" t="s">
        <v>233</v>
      </c>
      <c r="C315" t="s">
        <v>71</v>
      </c>
      <c r="D315" t="s">
        <v>346</v>
      </c>
      <c r="E315">
        <v>9</v>
      </c>
      <c r="K315">
        <v>9</v>
      </c>
    </row>
    <row r="316" spans="1:11" hidden="1" x14ac:dyDescent="0.25">
      <c r="A316" t="s">
        <v>240</v>
      </c>
      <c r="B316" t="s">
        <v>233</v>
      </c>
      <c r="C316" t="s">
        <v>36</v>
      </c>
      <c r="D316" t="s">
        <v>338</v>
      </c>
      <c r="E316">
        <v>22</v>
      </c>
      <c r="K316">
        <v>22</v>
      </c>
    </row>
    <row r="317" spans="1:11" hidden="1" x14ac:dyDescent="0.25">
      <c r="A317" t="s">
        <v>191</v>
      </c>
      <c r="B317" t="s">
        <v>232</v>
      </c>
      <c r="C317" t="s">
        <v>53</v>
      </c>
      <c r="D317" t="s">
        <v>289</v>
      </c>
      <c r="E317">
        <v>129</v>
      </c>
      <c r="H317">
        <v>14</v>
      </c>
      <c r="J317">
        <v>0</v>
      </c>
      <c r="K317">
        <v>115</v>
      </c>
    </row>
    <row r="318" spans="1:11" hidden="1" x14ac:dyDescent="0.25">
      <c r="A318" t="s">
        <v>190</v>
      </c>
      <c r="B318" t="s">
        <v>232</v>
      </c>
      <c r="C318" t="s">
        <v>47</v>
      </c>
      <c r="D318" t="s">
        <v>276</v>
      </c>
      <c r="E318">
        <v>161</v>
      </c>
      <c r="H318">
        <v>110</v>
      </c>
      <c r="J318">
        <v>20</v>
      </c>
      <c r="K318">
        <v>31</v>
      </c>
    </row>
    <row r="319" spans="1:11" hidden="1" x14ac:dyDescent="0.25">
      <c r="A319" t="s">
        <v>192</v>
      </c>
      <c r="B319" t="s">
        <v>232</v>
      </c>
      <c r="C319" t="s">
        <v>35</v>
      </c>
      <c r="D319" t="s">
        <v>266</v>
      </c>
      <c r="E319">
        <v>64</v>
      </c>
      <c r="H319">
        <v>21</v>
      </c>
      <c r="J319">
        <v>0</v>
      </c>
      <c r="K319">
        <v>43</v>
      </c>
    </row>
    <row r="320" spans="1:11" hidden="1" x14ac:dyDescent="0.25">
      <c r="A320" t="s">
        <v>190</v>
      </c>
      <c r="B320" t="s">
        <v>232</v>
      </c>
      <c r="C320" t="s">
        <v>50</v>
      </c>
      <c r="D320" t="s">
        <v>294</v>
      </c>
      <c r="E320">
        <v>214</v>
      </c>
      <c r="H320">
        <v>34</v>
      </c>
      <c r="J320">
        <v>0</v>
      </c>
      <c r="K320">
        <v>180</v>
      </c>
    </row>
    <row r="321" spans="1:11" hidden="1" x14ac:dyDescent="0.25">
      <c r="A321" t="s">
        <v>191</v>
      </c>
      <c r="B321" t="s">
        <v>233</v>
      </c>
      <c r="C321" t="s">
        <v>117</v>
      </c>
      <c r="D321" t="s">
        <v>994</v>
      </c>
      <c r="E321">
        <v>25</v>
      </c>
      <c r="K321">
        <v>25</v>
      </c>
    </row>
    <row r="322" spans="1:11" hidden="1" x14ac:dyDescent="0.25">
      <c r="A322" t="s">
        <v>257</v>
      </c>
      <c r="B322" t="s">
        <v>233</v>
      </c>
      <c r="C322" t="s">
        <v>68</v>
      </c>
      <c r="D322" t="s">
        <v>341</v>
      </c>
      <c r="E322">
        <v>18</v>
      </c>
      <c r="K322">
        <v>18</v>
      </c>
    </row>
    <row r="323" spans="1:11" hidden="1" x14ac:dyDescent="0.25">
      <c r="A323" t="s">
        <v>191</v>
      </c>
      <c r="B323" t="s">
        <v>233</v>
      </c>
      <c r="C323" t="s">
        <v>65</v>
      </c>
      <c r="D323" t="s">
        <v>336</v>
      </c>
      <c r="E323">
        <v>12</v>
      </c>
      <c r="K323">
        <v>12</v>
      </c>
    </row>
    <row r="324" spans="1:11" hidden="1" x14ac:dyDescent="0.25">
      <c r="A324" t="s">
        <v>190</v>
      </c>
      <c r="B324" t="s">
        <v>232</v>
      </c>
      <c r="C324" t="s">
        <v>31</v>
      </c>
      <c r="D324" t="s">
        <v>285</v>
      </c>
      <c r="E324">
        <v>167</v>
      </c>
      <c r="H324">
        <v>23</v>
      </c>
      <c r="J324">
        <v>0</v>
      </c>
      <c r="K324">
        <v>144</v>
      </c>
    </row>
    <row r="325" spans="1:11" hidden="1" x14ac:dyDescent="0.25">
      <c r="A325" t="s">
        <v>257</v>
      </c>
      <c r="B325" t="s">
        <v>232</v>
      </c>
      <c r="C325" t="s">
        <v>31</v>
      </c>
      <c r="D325" t="s">
        <v>285</v>
      </c>
      <c r="E325">
        <v>163</v>
      </c>
      <c r="H325">
        <v>8</v>
      </c>
      <c r="J325">
        <v>0</v>
      </c>
      <c r="K325">
        <v>155</v>
      </c>
    </row>
    <row r="326" spans="1:11" hidden="1" x14ac:dyDescent="0.25">
      <c r="A326" t="s">
        <v>191</v>
      </c>
      <c r="B326" t="s">
        <v>232</v>
      </c>
      <c r="C326" t="s">
        <v>41</v>
      </c>
      <c r="D326" t="s">
        <v>270</v>
      </c>
      <c r="E326">
        <v>57</v>
      </c>
      <c r="H326">
        <v>0</v>
      </c>
      <c r="J326">
        <v>0</v>
      </c>
      <c r="K326">
        <v>57</v>
      </c>
    </row>
    <row r="327" spans="1:11" hidden="1" x14ac:dyDescent="0.25">
      <c r="A327" t="s">
        <v>240</v>
      </c>
      <c r="B327" t="s">
        <v>232</v>
      </c>
      <c r="C327" t="s">
        <v>50</v>
      </c>
      <c r="D327" t="s">
        <v>294</v>
      </c>
      <c r="E327">
        <v>200</v>
      </c>
      <c r="H327">
        <v>37</v>
      </c>
      <c r="K327">
        <v>163</v>
      </c>
    </row>
    <row r="328" spans="1:11" hidden="1" x14ac:dyDescent="0.25">
      <c r="A328" t="s">
        <v>192</v>
      </c>
      <c r="B328" t="s">
        <v>233</v>
      </c>
      <c r="C328" t="s">
        <v>67</v>
      </c>
      <c r="D328" t="s">
        <v>340</v>
      </c>
      <c r="E328">
        <v>21</v>
      </c>
      <c r="K328">
        <v>21</v>
      </c>
    </row>
    <row r="329" spans="1:11" hidden="1" x14ac:dyDescent="0.25">
      <c r="A329" t="s">
        <v>191</v>
      </c>
      <c r="B329" t="s">
        <v>232</v>
      </c>
      <c r="C329" t="s">
        <v>37</v>
      </c>
      <c r="D329" t="s">
        <v>293</v>
      </c>
      <c r="E329">
        <v>221</v>
      </c>
      <c r="H329">
        <v>14</v>
      </c>
      <c r="J329">
        <v>0</v>
      </c>
      <c r="K329">
        <v>207</v>
      </c>
    </row>
    <row r="330" spans="1:11" hidden="1" x14ac:dyDescent="0.25">
      <c r="A330" t="s">
        <v>257</v>
      </c>
      <c r="B330" t="s">
        <v>232</v>
      </c>
      <c r="C330" t="s">
        <v>52</v>
      </c>
      <c r="D330" t="s">
        <v>279</v>
      </c>
      <c r="E330">
        <v>213</v>
      </c>
      <c r="H330">
        <v>122</v>
      </c>
      <c r="J330">
        <v>23</v>
      </c>
      <c r="K330">
        <v>68</v>
      </c>
    </row>
    <row r="331" spans="1:11" hidden="1" x14ac:dyDescent="0.25">
      <c r="A331" t="s">
        <v>240</v>
      </c>
      <c r="B331" t="s">
        <v>233</v>
      </c>
      <c r="C331" t="s">
        <v>117</v>
      </c>
      <c r="D331" t="s">
        <v>994</v>
      </c>
      <c r="E331">
        <v>22</v>
      </c>
      <c r="K331">
        <v>22</v>
      </c>
    </row>
    <row r="332" spans="1:11" hidden="1" x14ac:dyDescent="0.25">
      <c r="A332" t="s">
        <v>192</v>
      </c>
      <c r="B332" t="s">
        <v>233</v>
      </c>
      <c r="C332" t="s">
        <v>57</v>
      </c>
      <c r="D332" t="s">
        <v>345</v>
      </c>
      <c r="E332">
        <v>10</v>
      </c>
      <c r="K332">
        <v>10</v>
      </c>
    </row>
    <row r="333" spans="1:11" hidden="1" x14ac:dyDescent="0.25">
      <c r="A333" t="s">
        <v>257</v>
      </c>
      <c r="B333" t="s">
        <v>233</v>
      </c>
      <c r="C333" t="s">
        <v>43</v>
      </c>
      <c r="D333" t="s">
        <v>993</v>
      </c>
      <c r="E333">
        <v>24</v>
      </c>
      <c r="K333">
        <v>24</v>
      </c>
    </row>
    <row r="334" spans="1:11" hidden="1" x14ac:dyDescent="0.25">
      <c r="A334" t="s">
        <v>192</v>
      </c>
      <c r="B334" t="s">
        <v>232</v>
      </c>
      <c r="C334" t="s">
        <v>47</v>
      </c>
      <c r="D334" t="s">
        <v>276</v>
      </c>
      <c r="E334">
        <v>156</v>
      </c>
      <c r="H334">
        <v>104</v>
      </c>
      <c r="J334">
        <v>32</v>
      </c>
      <c r="K334">
        <v>20</v>
      </c>
    </row>
    <row r="335" spans="1:11" hidden="1" x14ac:dyDescent="0.25">
      <c r="A335" t="s">
        <v>192</v>
      </c>
      <c r="B335" t="s">
        <v>233</v>
      </c>
      <c r="C335" t="s">
        <v>31</v>
      </c>
      <c r="D335" t="s">
        <v>334</v>
      </c>
      <c r="E335">
        <v>15</v>
      </c>
      <c r="K335">
        <v>15</v>
      </c>
    </row>
    <row r="336" spans="1:11" hidden="1" x14ac:dyDescent="0.25">
      <c r="A336" t="s">
        <v>192</v>
      </c>
      <c r="B336" t="s">
        <v>232</v>
      </c>
      <c r="C336" t="s">
        <v>33</v>
      </c>
      <c r="D336" t="s">
        <v>292</v>
      </c>
      <c r="E336">
        <v>134</v>
      </c>
      <c r="H336">
        <v>99</v>
      </c>
      <c r="J336">
        <v>0</v>
      </c>
      <c r="K336">
        <v>35</v>
      </c>
    </row>
    <row r="337" spans="1:11" hidden="1" x14ac:dyDescent="0.25">
      <c r="A337" t="s">
        <v>1061</v>
      </c>
      <c r="B337" t="s">
        <v>233</v>
      </c>
      <c r="C337" t="s">
        <v>65</v>
      </c>
      <c r="E337">
        <v>23</v>
      </c>
      <c r="F337">
        <v>0</v>
      </c>
      <c r="G337">
        <v>2</v>
      </c>
      <c r="H337">
        <v>0</v>
      </c>
      <c r="I337">
        <v>0</v>
      </c>
      <c r="J337">
        <v>0</v>
      </c>
      <c r="K337">
        <v>23</v>
      </c>
    </row>
    <row r="338" spans="1:11" hidden="1" x14ac:dyDescent="0.25">
      <c r="A338" t="s">
        <v>239</v>
      </c>
      <c r="B338" t="s">
        <v>232</v>
      </c>
      <c r="C338" t="s">
        <v>41</v>
      </c>
      <c r="D338" t="s">
        <v>270</v>
      </c>
      <c r="E338">
        <v>52</v>
      </c>
      <c r="F338">
        <v>0</v>
      </c>
      <c r="G338">
        <v>0</v>
      </c>
      <c r="H338">
        <v>0</v>
      </c>
      <c r="I338">
        <v>0</v>
      </c>
      <c r="J338">
        <v>0</v>
      </c>
      <c r="K338">
        <v>52</v>
      </c>
    </row>
    <row r="339" spans="1:11" x14ac:dyDescent="0.25">
      <c r="A339" t="s">
        <v>1108</v>
      </c>
      <c r="B339" t="s">
        <v>232</v>
      </c>
      <c r="C339" t="s">
        <v>243</v>
      </c>
      <c r="E339">
        <v>302</v>
      </c>
      <c r="F339">
        <v>0</v>
      </c>
      <c r="G339">
        <v>0</v>
      </c>
      <c r="H339">
        <v>9</v>
      </c>
      <c r="I339">
        <v>0</v>
      </c>
      <c r="J339">
        <v>0</v>
      </c>
      <c r="K339">
        <v>293</v>
      </c>
    </row>
    <row r="340" spans="1:11" hidden="1" x14ac:dyDescent="0.25">
      <c r="A340" t="s">
        <v>917</v>
      </c>
      <c r="B340" t="s">
        <v>232</v>
      </c>
      <c r="C340" t="s">
        <v>51</v>
      </c>
      <c r="D340" t="s">
        <v>363</v>
      </c>
      <c r="E340">
        <v>112</v>
      </c>
      <c r="F340">
        <v>0</v>
      </c>
      <c r="G340">
        <v>0</v>
      </c>
      <c r="H340">
        <v>112</v>
      </c>
      <c r="I340">
        <v>0</v>
      </c>
      <c r="J340">
        <v>0</v>
      </c>
      <c r="K340">
        <v>0</v>
      </c>
    </row>
    <row r="341" spans="1:11" hidden="1" x14ac:dyDescent="0.25">
      <c r="A341" t="s">
        <v>760</v>
      </c>
      <c r="B341" t="s">
        <v>232</v>
      </c>
      <c r="C341" t="s">
        <v>47</v>
      </c>
      <c r="D341" t="s">
        <v>363</v>
      </c>
      <c r="E341">
        <v>155</v>
      </c>
      <c r="F341">
        <v>0</v>
      </c>
      <c r="G341">
        <v>0</v>
      </c>
      <c r="H341">
        <v>121</v>
      </c>
      <c r="I341">
        <v>0</v>
      </c>
      <c r="J341">
        <v>4</v>
      </c>
      <c r="K341">
        <v>30</v>
      </c>
    </row>
    <row r="342" spans="1:11" hidden="1" x14ac:dyDescent="0.25">
      <c r="A342" t="s">
        <v>1061</v>
      </c>
      <c r="B342" t="s">
        <v>235</v>
      </c>
      <c r="C342" t="s">
        <v>244</v>
      </c>
      <c r="D342" t="s">
        <v>347</v>
      </c>
      <c r="E342">
        <v>1142</v>
      </c>
      <c r="F342">
        <v>172</v>
      </c>
      <c r="G342">
        <v>0</v>
      </c>
      <c r="H342">
        <v>0</v>
      </c>
      <c r="I342">
        <v>901</v>
      </c>
      <c r="J342">
        <v>0</v>
      </c>
      <c r="K342">
        <v>69</v>
      </c>
    </row>
    <row r="343" spans="1:11" hidden="1" x14ac:dyDescent="0.25">
      <c r="A343" t="s">
        <v>239</v>
      </c>
      <c r="B343" t="s">
        <v>233</v>
      </c>
      <c r="C343" t="s">
        <v>64</v>
      </c>
      <c r="D343" t="s">
        <v>337</v>
      </c>
      <c r="E343">
        <v>26</v>
      </c>
      <c r="F343">
        <v>0</v>
      </c>
      <c r="G343">
        <v>1</v>
      </c>
      <c r="H343">
        <v>0</v>
      </c>
      <c r="I343">
        <v>0</v>
      </c>
      <c r="J343">
        <v>0</v>
      </c>
      <c r="K343">
        <v>26</v>
      </c>
    </row>
    <row r="344" spans="1:11" hidden="1" x14ac:dyDescent="0.25">
      <c r="A344" t="s">
        <v>917</v>
      </c>
      <c r="B344" t="s">
        <v>233</v>
      </c>
      <c r="C344" t="s">
        <v>762</v>
      </c>
      <c r="E344">
        <v>37</v>
      </c>
      <c r="F344">
        <v>0</v>
      </c>
      <c r="G344">
        <v>4</v>
      </c>
      <c r="H344">
        <v>0</v>
      </c>
      <c r="I344">
        <v>0</v>
      </c>
      <c r="J344">
        <v>0</v>
      </c>
      <c r="K344">
        <v>37</v>
      </c>
    </row>
    <row r="345" spans="1:11" hidden="1" x14ac:dyDescent="0.25">
      <c r="A345" t="s">
        <v>1010</v>
      </c>
      <c r="B345" t="s">
        <v>232</v>
      </c>
      <c r="C345" t="s">
        <v>60</v>
      </c>
      <c r="E345">
        <v>116</v>
      </c>
      <c r="F345">
        <v>0</v>
      </c>
      <c r="G345">
        <v>0</v>
      </c>
      <c r="H345">
        <v>58</v>
      </c>
      <c r="I345">
        <v>0</v>
      </c>
      <c r="J345">
        <v>0</v>
      </c>
      <c r="K345">
        <v>58</v>
      </c>
    </row>
    <row r="346" spans="1:11" hidden="1" x14ac:dyDescent="0.25">
      <c r="A346" t="s">
        <v>192</v>
      </c>
      <c r="B346" t="s">
        <v>235</v>
      </c>
      <c r="C346" t="s">
        <v>244</v>
      </c>
      <c r="D346" t="s">
        <v>347</v>
      </c>
      <c r="E346">
        <v>516</v>
      </c>
      <c r="F346">
        <v>223</v>
      </c>
      <c r="I346">
        <v>237</v>
      </c>
      <c r="K346">
        <v>56</v>
      </c>
    </row>
    <row r="347" spans="1:11" hidden="1" x14ac:dyDescent="0.25">
      <c r="A347" t="s">
        <v>240</v>
      </c>
      <c r="B347" t="s">
        <v>232</v>
      </c>
      <c r="C347" t="s">
        <v>56</v>
      </c>
      <c r="D347" t="s">
        <v>282</v>
      </c>
      <c r="E347">
        <v>99</v>
      </c>
      <c r="H347">
        <v>49</v>
      </c>
      <c r="K347">
        <v>50</v>
      </c>
    </row>
    <row r="348" spans="1:11" hidden="1" x14ac:dyDescent="0.25">
      <c r="A348" t="s">
        <v>257</v>
      </c>
      <c r="B348" t="s">
        <v>233</v>
      </c>
      <c r="C348" t="s">
        <v>36</v>
      </c>
      <c r="D348" t="s">
        <v>338</v>
      </c>
      <c r="E348">
        <v>22</v>
      </c>
      <c r="K348">
        <v>22</v>
      </c>
    </row>
    <row r="349" spans="1:11" hidden="1" x14ac:dyDescent="0.25">
      <c r="A349" t="s">
        <v>191</v>
      </c>
      <c r="B349" t="s">
        <v>232</v>
      </c>
      <c r="C349" t="s">
        <v>42</v>
      </c>
      <c r="D349" t="s">
        <v>272</v>
      </c>
      <c r="E349">
        <v>162</v>
      </c>
      <c r="H349">
        <v>68</v>
      </c>
      <c r="J349">
        <v>0</v>
      </c>
      <c r="K349">
        <v>94</v>
      </c>
    </row>
    <row r="350" spans="1:11" hidden="1" x14ac:dyDescent="0.25">
      <c r="A350" t="s">
        <v>240</v>
      </c>
      <c r="B350" t="s">
        <v>232</v>
      </c>
      <c r="C350" t="s">
        <v>54</v>
      </c>
      <c r="D350" t="s">
        <v>280</v>
      </c>
      <c r="E350">
        <v>194</v>
      </c>
      <c r="H350">
        <v>143</v>
      </c>
      <c r="K350">
        <v>51</v>
      </c>
    </row>
    <row r="351" spans="1:11" hidden="1" x14ac:dyDescent="0.25">
      <c r="A351" t="s">
        <v>257</v>
      </c>
      <c r="B351" t="s">
        <v>232</v>
      </c>
      <c r="C351" t="s">
        <v>42</v>
      </c>
      <c r="D351" t="s">
        <v>272</v>
      </c>
      <c r="E351">
        <v>142</v>
      </c>
      <c r="H351">
        <v>56</v>
      </c>
      <c r="J351">
        <v>0</v>
      </c>
      <c r="K351">
        <v>86</v>
      </c>
    </row>
    <row r="352" spans="1:11" hidden="1" x14ac:dyDescent="0.25">
      <c r="A352" t="s">
        <v>190</v>
      </c>
      <c r="B352" t="s">
        <v>232</v>
      </c>
      <c r="C352" t="s">
        <v>37</v>
      </c>
      <c r="D352" t="s">
        <v>293</v>
      </c>
      <c r="E352">
        <v>187</v>
      </c>
      <c r="H352">
        <v>11</v>
      </c>
      <c r="J352">
        <v>0</v>
      </c>
      <c r="K352">
        <v>176</v>
      </c>
    </row>
    <row r="353" spans="1:11" hidden="1" x14ac:dyDescent="0.25">
      <c r="A353" t="s">
        <v>257</v>
      </c>
      <c r="B353" t="s">
        <v>233</v>
      </c>
      <c r="C353" t="s">
        <v>69</v>
      </c>
      <c r="D353" t="s">
        <v>343</v>
      </c>
      <c r="E353">
        <v>21</v>
      </c>
      <c r="K353">
        <v>21</v>
      </c>
    </row>
    <row r="354" spans="1:11" hidden="1" x14ac:dyDescent="0.25">
      <c r="A354" t="s">
        <v>240</v>
      </c>
      <c r="B354" t="s">
        <v>232</v>
      </c>
      <c r="C354" t="s">
        <v>46</v>
      </c>
      <c r="D354" t="s">
        <v>275</v>
      </c>
      <c r="E354">
        <v>40</v>
      </c>
      <c r="H354">
        <v>12</v>
      </c>
      <c r="K354">
        <v>28</v>
      </c>
    </row>
    <row r="355" spans="1:11" hidden="1" x14ac:dyDescent="0.25">
      <c r="A355" t="s">
        <v>192</v>
      </c>
      <c r="B355" t="s">
        <v>232</v>
      </c>
      <c r="C355" t="s">
        <v>57</v>
      </c>
      <c r="D355" t="s">
        <v>283</v>
      </c>
      <c r="E355">
        <v>276</v>
      </c>
      <c r="H355">
        <v>84</v>
      </c>
      <c r="J355">
        <v>2</v>
      </c>
      <c r="K355">
        <v>190</v>
      </c>
    </row>
    <row r="356" spans="1:11" hidden="1" x14ac:dyDescent="0.25">
      <c r="A356" t="s">
        <v>191</v>
      </c>
      <c r="B356" t="s">
        <v>232</v>
      </c>
      <c r="C356" t="s">
        <v>43</v>
      </c>
      <c r="D356" t="s">
        <v>297</v>
      </c>
      <c r="E356">
        <v>400</v>
      </c>
      <c r="H356">
        <v>112</v>
      </c>
      <c r="J356">
        <v>0</v>
      </c>
      <c r="K356">
        <v>288</v>
      </c>
    </row>
    <row r="357" spans="1:11" hidden="1" x14ac:dyDescent="0.25">
      <c r="A357" t="s">
        <v>192</v>
      </c>
      <c r="B357" t="s">
        <v>232</v>
      </c>
      <c r="C357" t="s">
        <v>243</v>
      </c>
      <c r="D357" t="s">
        <v>288</v>
      </c>
      <c r="E357">
        <v>382</v>
      </c>
      <c r="H357">
        <v>12</v>
      </c>
      <c r="J357">
        <v>0</v>
      </c>
      <c r="K357">
        <v>370</v>
      </c>
    </row>
    <row r="358" spans="1:11" hidden="1" x14ac:dyDescent="0.25">
      <c r="A358" t="s">
        <v>257</v>
      </c>
      <c r="B358" t="s">
        <v>232</v>
      </c>
      <c r="C358" t="s">
        <v>243</v>
      </c>
      <c r="D358" t="s">
        <v>288</v>
      </c>
      <c r="E358">
        <v>325</v>
      </c>
      <c r="H358">
        <v>12</v>
      </c>
      <c r="J358">
        <v>0</v>
      </c>
      <c r="K358">
        <v>313</v>
      </c>
    </row>
    <row r="359" spans="1:11" hidden="1" x14ac:dyDescent="0.25">
      <c r="A359" t="s">
        <v>190</v>
      </c>
      <c r="B359" t="s">
        <v>233</v>
      </c>
      <c r="C359" t="s">
        <v>67</v>
      </c>
      <c r="D359" t="s">
        <v>340</v>
      </c>
      <c r="E359">
        <v>38</v>
      </c>
      <c r="K359">
        <v>38</v>
      </c>
    </row>
    <row r="360" spans="1:11" hidden="1" x14ac:dyDescent="0.25">
      <c r="A360" t="s">
        <v>191</v>
      </c>
      <c r="B360" t="s">
        <v>232</v>
      </c>
      <c r="C360" t="s">
        <v>47</v>
      </c>
      <c r="D360" t="s">
        <v>276</v>
      </c>
      <c r="E360">
        <v>167</v>
      </c>
      <c r="H360">
        <v>121</v>
      </c>
      <c r="J360">
        <v>25</v>
      </c>
      <c r="K360">
        <v>21</v>
      </c>
    </row>
    <row r="361" spans="1:11" hidden="1" x14ac:dyDescent="0.25">
      <c r="A361" t="s">
        <v>191</v>
      </c>
      <c r="B361" t="s">
        <v>232</v>
      </c>
      <c r="C361" t="s">
        <v>51</v>
      </c>
      <c r="D361" t="s">
        <v>278</v>
      </c>
      <c r="E361">
        <v>110</v>
      </c>
      <c r="H361">
        <v>109</v>
      </c>
      <c r="J361">
        <v>1</v>
      </c>
      <c r="K361">
        <v>0</v>
      </c>
    </row>
    <row r="362" spans="1:11" hidden="1" x14ac:dyDescent="0.25">
      <c r="A362" t="s">
        <v>190</v>
      </c>
      <c r="B362" t="s">
        <v>232</v>
      </c>
      <c r="C362" t="s">
        <v>55</v>
      </c>
      <c r="D362" t="s">
        <v>281</v>
      </c>
      <c r="E362">
        <v>126</v>
      </c>
      <c r="H362">
        <v>126</v>
      </c>
      <c r="J362">
        <v>0</v>
      </c>
      <c r="K362">
        <v>0</v>
      </c>
    </row>
    <row r="363" spans="1:11" hidden="1" x14ac:dyDescent="0.25">
      <c r="A363" t="s">
        <v>257</v>
      </c>
      <c r="B363" t="s">
        <v>232</v>
      </c>
      <c r="C363" t="s">
        <v>41</v>
      </c>
      <c r="D363" t="s">
        <v>270</v>
      </c>
      <c r="E363">
        <v>50</v>
      </c>
      <c r="H363">
        <v>0</v>
      </c>
      <c r="J363">
        <v>0</v>
      </c>
      <c r="K363">
        <v>50</v>
      </c>
    </row>
    <row r="364" spans="1:11" hidden="1" x14ac:dyDescent="0.25">
      <c r="A364" t="s">
        <v>192</v>
      </c>
      <c r="B364" t="s">
        <v>232</v>
      </c>
      <c r="C364" t="s">
        <v>55</v>
      </c>
      <c r="D364" t="s">
        <v>281</v>
      </c>
      <c r="E364">
        <v>134</v>
      </c>
      <c r="H364">
        <v>134</v>
      </c>
      <c r="J364">
        <v>0</v>
      </c>
      <c r="K364">
        <v>0</v>
      </c>
    </row>
    <row r="365" spans="1:11" hidden="1" x14ac:dyDescent="0.25">
      <c r="A365" t="s">
        <v>240</v>
      </c>
      <c r="B365" t="s">
        <v>232</v>
      </c>
      <c r="C365" t="s">
        <v>47</v>
      </c>
      <c r="D365" t="s">
        <v>276</v>
      </c>
      <c r="E365">
        <v>149</v>
      </c>
      <c r="H365">
        <v>120</v>
      </c>
      <c r="K365">
        <v>29</v>
      </c>
    </row>
    <row r="366" spans="1:11" hidden="1" x14ac:dyDescent="0.25">
      <c r="A366" t="s">
        <v>240</v>
      </c>
      <c r="B366" t="s">
        <v>232</v>
      </c>
      <c r="C366" t="s">
        <v>35</v>
      </c>
      <c r="D366" t="s">
        <v>266</v>
      </c>
      <c r="E366">
        <v>47</v>
      </c>
      <c r="H366">
        <v>22</v>
      </c>
      <c r="K366">
        <v>25</v>
      </c>
    </row>
    <row r="367" spans="1:11" hidden="1" x14ac:dyDescent="0.25">
      <c r="A367" t="s">
        <v>240</v>
      </c>
      <c r="B367" t="s">
        <v>233</v>
      </c>
      <c r="C367" t="s">
        <v>57</v>
      </c>
      <c r="D367" t="s">
        <v>345</v>
      </c>
      <c r="E367">
        <v>16</v>
      </c>
      <c r="K367">
        <v>16</v>
      </c>
    </row>
    <row r="368" spans="1:11" hidden="1" x14ac:dyDescent="0.25">
      <c r="A368" t="s">
        <v>257</v>
      </c>
      <c r="B368" t="s">
        <v>232</v>
      </c>
      <c r="C368" t="s">
        <v>46</v>
      </c>
      <c r="D368" t="s">
        <v>275</v>
      </c>
      <c r="E368">
        <v>33</v>
      </c>
      <c r="H368">
        <v>11</v>
      </c>
      <c r="J368">
        <v>0</v>
      </c>
      <c r="K368">
        <v>22</v>
      </c>
    </row>
    <row r="369" spans="1:11" hidden="1" x14ac:dyDescent="0.25">
      <c r="A369" t="s">
        <v>190</v>
      </c>
      <c r="B369" t="s">
        <v>233</v>
      </c>
      <c r="C369" t="s">
        <v>165</v>
      </c>
      <c r="D369" t="s">
        <v>342</v>
      </c>
      <c r="E369">
        <v>27</v>
      </c>
      <c r="K369">
        <v>27</v>
      </c>
    </row>
    <row r="370" spans="1:11" hidden="1" x14ac:dyDescent="0.25">
      <c r="A370" t="s">
        <v>192</v>
      </c>
      <c r="B370" t="s">
        <v>232</v>
      </c>
      <c r="C370" t="s">
        <v>59</v>
      </c>
      <c r="D370" t="s">
        <v>290</v>
      </c>
      <c r="E370">
        <v>98</v>
      </c>
      <c r="H370">
        <v>18</v>
      </c>
      <c r="J370">
        <v>0</v>
      </c>
      <c r="K370">
        <v>80</v>
      </c>
    </row>
    <row r="371" spans="1:11" hidden="1" x14ac:dyDescent="0.25">
      <c r="A371" t="s">
        <v>257</v>
      </c>
      <c r="B371" t="s">
        <v>232</v>
      </c>
      <c r="C371" t="s">
        <v>36</v>
      </c>
      <c r="D371" t="s">
        <v>267</v>
      </c>
      <c r="E371">
        <v>270</v>
      </c>
      <c r="H371">
        <v>202</v>
      </c>
      <c r="J371">
        <v>5</v>
      </c>
      <c r="K371">
        <v>63</v>
      </c>
    </row>
    <row r="372" spans="1:11" hidden="1" x14ac:dyDescent="0.25">
      <c r="A372" t="s">
        <v>240</v>
      </c>
      <c r="B372" t="s">
        <v>233</v>
      </c>
      <c r="C372" t="s">
        <v>43</v>
      </c>
      <c r="D372" t="s">
        <v>993</v>
      </c>
      <c r="E372">
        <v>19</v>
      </c>
      <c r="K372">
        <v>19</v>
      </c>
    </row>
    <row r="373" spans="1:11" hidden="1" x14ac:dyDescent="0.25">
      <c r="A373" t="s">
        <v>192</v>
      </c>
      <c r="B373" t="s">
        <v>232</v>
      </c>
      <c r="C373" t="s">
        <v>46</v>
      </c>
      <c r="D373" t="s">
        <v>275</v>
      </c>
      <c r="E373">
        <v>45</v>
      </c>
      <c r="H373">
        <v>10</v>
      </c>
      <c r="J373">
        <v>0</v>
      </c>
      <c r="K373">
        <v>35</v>
      </c>
    </row>
    <row r="374" spans="1:11" hidden="1" x14ac:dyDescent="0.25">
      <c r="A374" t="s">
        <v>190</v>
      </c>
      <c r="B374" t="s">
        <v>233</v>
      </c>
      <c r="C374" t="s">
        <v>36</v>
      </c>
      <c r="D374" t="s">
        <v>338</v>
      </c>
      <c r="E374">
        <v>19</v>
      </c>
      <c r="K374">
        <v>19</v>
      </c>
    </row>
    <row r="375" spans="1:11" hidden="1" x14ac:dyDescent="0.25">
      <c r="A375" t="s">
        <v>191</v>
      </c>
      <c r="B375" t="s">
        <v>232</v>
      </c>
      <c r="C375" t="s">
        <v>35</v>
      </c>
      <c r="D375" t="s">
        <v>266</v>
      </c>
      <c r="E375">
        <v>60</v>
      </c>
      <c r="H375">
        <v>23</v>
      </c>
      <c r="J375">
        <v>0</v>
      </c>
      <c r="K375">
        <v>37</v>
      </c>
    </row>
    <row r="376" spans="1:11" hidden="1" x14ac:dyDescent="0.25">
      <c r="A376" t="s">
        <v>239</v>
      </c>
      <c r="B376" t="s">
        <v>232</v>
      </c>
      <c r="C376" t="s">
        <v>37</v>
      </c>
      <c r="D376" t="s">
        <v>293</v>
      </c>
      <c r="E376">
        <v>189</v>
      </c>
      <c r="F376">
        <v>0</v>
      </c>
      <c r="G376">
        <v>0</v>
      </c>
      <c r="H376">
        <v>12</v>
      </c>
      <c r="I376">
        <v>0</v>
      </c>
      <c r="J376">
        <v>0</v>
      </c>
      <c r="K376">
        <v>177</v>
      </c>
    </row>
    <row r="377" spans="1:11" hidden="1" x14ac:dyDescent="0.25">
      <c r="A377" t="s">
        <v>1061</v>
      </c>
      <c r="B377" t="s">
        <v>232</v>
      </c>
      <c r="C377" t="s">
        <v>53</v>
      </c>
      <c r="E377">
        <v>109</v>
      </c>
      <c r="F377">
        <v>0</v>
      </c>
      <c r="G377">
        <v>0</v>
      </c>
      <c r="H377">
        <v>14</v>
      </c>
      <c r="I377">
        <v>0</v>
      </c>
      <c r="J377">
        <v>0</v>
      </c>
      <c r="K377">
        <v>95</v>
      </c>
    </row>
    <row r="378" spans="1:11" hidden="1" x14ac:dyDescent="0.25">
      <c r="A378" t="s">
        <v>1061</v>
      </c>
      <c r="B378" t="s">
        <v>233</v>
      </c>
      <c r="C378" t="s">
        <v>65</v>
      </c>
      <c r="E378">
        <v>0</v>
      </c>
      <c r="F378">
        <v>0</v>
      </c>
      <c r="G378">
        <v>1</v>
      </c>
      <c r="H378">
        <v>0</v>
      </c>
      <c r="I378">
        <v>0</v>
      </c>
      <c r="J378">
        <v>0</v>
      </c>
      <c r="K378">
        <v>0</v>
      </c>
    </row>
    <row r="379" spans="1:11" hidden="1" x14ac:dyDescent="0.25">
      <c r="A379" t="s">
        <v>917</v>
      </c>
      <c r="B379" t="s">
        <v>232</v>
      </c>
      <c r="C379" t="s">
        <v>33</v>
      </c>
      <c r="D379" t="s">
        <v>363</v>
      </c>
      <c r="E379">
        <v>131</v>
      </c>
      <c r="F379">
        <v>0</v>
      </c>
      <c r="G379">
        <v>0</v>
      </c>
      <c r="H379">
        <v>104</v>
      </c>
      <c r="I379">
        <v>0</v>
      </c>
      <c r="J379">
        <v>0</v>
      </c>
      <c r="K379">
        <v>27</v>
      </c>
    </row>
    <row r="380" spans="1:11" hidden="1" x14ac:dyDescent="0.25">
      <c r="A380" t="s">
        <v>1108</v>
      </c>
      <c r="B380" t="s">
        <v>233</v>
      </c>
      <c r="C380" t="s">
        <v>68</v>
      </c>
      <c r="E380">
        <v>18</v>
      </c>
      <c r="F380">
        <v>0</v>
      </c>
      <c r="G380">
        <v>0</v>
      </c>
      <c r="H380">
        <v>0</v>
      </c>
      <c r="I380">
        <v>0</v>
      </c>
      <c r="J380">
        <v>0</v>
      </c>
      <c r="K380">
        <v>18</v>
      </c>
    </row>
    <row r="381" spans="1:11" hidden="1" x14ac:dyDescent="0.25">
      <c r="A381" t="s">
        <v>240</v>
      </c>
      <c r="B381" t="s">
        <v>232</v>
      </c>
      <c r="C381" t="s">
        <v>51</v>
      </c>
      <c r="D381" t="s">
        <v>278</v>
      </c>
      <c r="E381">
        <v>100</v>
      </c>
      <c r="H381">
        <v>100</v>
      </c>
    </row>
    <row r="382" spans="1:11" hidden="1" x14ac:dyDescent="0.25">
      <c r="A382" t="s">
        <v>191</v>
      </c>
      <c r="B382" t="s">
        <v>232</v>
      </c>
      <c r="C382" t="s">
        <v>32</v>
      </c>
      <c r="D382" t="s">
        <v>286</v>
      </c>
      <c r="E382">
        <v>303</v>
      </c>
      <c r="H382">
        <v>280</v>
      </c>
      <c r="J382">
        <v>0</v>
      </c>
      <c r="K382">
        <v>23</v>
      </c>
    </row>
    <row r="383" spans="1:11" hidden="1" x14ac:dyDescent="0.25">
      <c r="A383" t="s">
        <v>191</v>
      </c>
      <c r="B383" t="s">
        <v>234</v>
      </c>
      <c r="C383" t="s">
        <v>164</v>
      </c>
      <c r="D383" t="s">
        <v>361</v>
      </c>
      <c r="E383">
        <v>242</v>
      </c>
      <c r="I383">
        <v>163</v>
      </c>
      <c r="K383">
        <v>79</v>
      </c>
    </row>
    <row r="384" spans="1:11" hidden="1" x14ac:dyDescent="0.25">
      <c r="A384" t="s">
        <v>190</v>
      </c>
      <c r="B384" t="s">
        <v>233</v>
      </c>
      <c r="C384" t="s">
        <v>64</v>
      </c>
      <c r="D384" t="s">
        <v>337</v>
      </c>
      <c r="E384">
        <v>25</v>
      </c>
      <c r="K384">
        <v>25</v>
      </c>
    </row>
    <row r="385" spans="1:11" hidden="1" x14ac:dyDescent="0.25">
      <c r="A385" t="s">
        <v>257</v>
      </c>
      <c r="B385" t="s">
        <v>233</v>
      </c>
      <c r="C385" t="s">
        <v>63</v>
      </c>
      <c r="D385" t="s">
        <v>335</v>
      </c>
      <c r="E385">
        <v>25</v>
      </c>
      <c r="K385">
        <v>25</v>
      </c>
    </row>
    <row r="386" spans="1:11" hidden="1" x14ac:dyDescent="0.25">
      <c r="A386" t="s">
        <v>240</v>
      </c>
      <c r="B386" t="s">
        <v>232</v>
      </c>
      <c r="C386" t="s">
        <v>38</v>
      </c>
      <c r="D386" t="s">
        <v>268</v>
      </c>
      <c r="E386">
        <v>131</v>
      </c>
      <c r="H386">
        <v>82</v>
      </c>
      <c r="K386">
        <v>49</v>
      </c>
    </row>
    <row r="387" spans="1:11" hidden="1" x14ac:dyDescent="0.25">
      <c r="A387" t="s">
        <v>192</v>
      </c>
      <c r="B387" t="s">
        <v>232</v>
      </c>
      <c r="C387" t="s">
        <v>51</v>
      </c>
      <c r="D387" t="s">
        <v>278</v>
      </c>
      <c r="E387">
        <v>113</v>
      </c>
      <c r="H387">
        <v>113</v>
      </c>
      <c r="J387">
        <v>0</v>
      </c>
      <c r="K387">
        <v>0</v>
      </c>
    </row>
    <row r="388" spans="1:11" hidden="1" x14ac:dyDescent="0.25">
      <c r="A388" t="s">
        <v>191</v>
      </c>
      <c r="B388" t="s">
        <v>232</v>
      </c>
      <c r="C388" t="s">
        <v>60</v>
      </c>
      <c r="D388" t="s">
        <v>291</v>
      </c>
      <c r="E388">
        <v>144</v>
      </c>
      <c r="H388">
        <v>65</v>
      </c>
      <c r="J388">
        <v>0</v>
      </c>
      <c r="K388">
        <v>79</v>
      </c>
    </row>
    <row r="389" spans="1:11" hidden="1" x14ac:dyDescent="0.25">
      <c r="A389" t="s">
        <v>192</v>
      </c>
      <c r="B389" t="s">
        <v>233</v>
      </c>
      <c r="C389" t="s">
        <v>69</v>
      </c>
      <c r="D389" t="s">
        <v>343</v>
      </c>
      <c r="E389">
        <v>13</v>
      </c>
      <c r="K389">
        <v>13</v>
      </c>
    </row>
    <row r="390" spans="1:11" hidden="1" x14ac:dyDescent="0.25">
      <c r="A390" t="s">
        <v>257</v>
      </c>
      <c r="B390" t="s">
        <v>232</v>
      </c>
      <c r="C390" t="s">
        <v>49</v>
      </c>
      <c r="D390" t="s">
        <v>277</v>
      </c>
      <c r="E390">
        <v>202</v>
      </c>
      <c r="H390">
        <v>106</v>
      </c>
      <c r="J390">
        <v>18</v>
      </c>
      <c r="K390">
        <v>78</v>
      </c>
    </row>
    <row r="391" spans="1:11" hidden="1" x14ac:dyDescent="0.25">
      <c r="A391" t="s">
        <v>240</v>
      </c>
      <c r="B391" t="s">
        <v>232</v>
      </c>
      <c r="C391" t="s">
        <v>60</v>
      </c>
      <c r="D391" t="s">
        <v>291</v>
      </c>
      <c r="E391">
        <v>123</v>
      </c>
      <c r="H391">
        <v>65</v>
      </c>
      <c r="K391">
        <v>58</v>
      </c>
    </row>
    <row r="392" spans="1:11" hidden="1" x14ac:dyDescent="0.25">
      <c r="A392" t="s">
        <v>192</v>
      </c>
      <c r="B392" t="s">
        <v>232</v>
      </c>
      <c r="C392" t="s">
        <v>50</v>
      </c>
      <c r="D392" t="s">
        <v>294</v>
      </c>
      <c r="E392">
        <v>216</v>
      </c>
      <c r="H392">
        <v>28</v>
      </c>
      <c r="J392">
        <v>0</v>
      </c>
      <c r="K392">
        <v>188</v>
      </c>
    </row>
    <row r="393" spans="1:11" hidden="1" x14ac:dyDescent="0.25">
      <c r="A393" t="s">
        <v>240</v>
      </c>
      <c r="B393" t="s">
        <v>233</v>
      </c>
      <c r="C393" t="s">
        <v>68</v>
      </c>
      <c r="D393" t="s">
        <v>341</v>
      </c>
      <c r="E393">
        <v>16</v>
      </c>
      <c r="K393">
        <v>16</v>
      </c>
    </row>
    <row r="394" spans="1:11" hidden="1" x14ac:dyDescent="0.25">
      <c r="A394" t="s">
        <v>191</v>
      </c>
      <c r="B394" t="s">
        <v>234</v>
      </c>
      <c r="C394" t="s">
        <v>162</v>
      </c>
      <c r="D394" t="s">
        <v>363</v>
      </c>
      <c r="E394">
        <v>193</v>
      </c>
      <c r="I394">
        <v>126</v>
      </c>
      <c r="K394">
        <v>67</v>
      </c>
    </row>
    <row r="395" spans="1:11" hidden="1" x14ac:dyDescent="0.25">
      <c r="A395" t="s">
        <v>192</v>
      </c>
      <c r="B395" t="s">
        <v>232</v>
      </c>
      <c r="C395" t="s">
        <v>49</v>
      </c>
      <c r="D395" t="s">
        <v>277</v>
      </c>
      <c r="E395">
        <v>191</v>
      </c>
      <c r="H395">
        <v>94</v>
      </c>
      <c r="J395">
        <v>21</v>
      </c>
      <c r="K395">
        <v>76</v>
      </c>
    </row>
    <row r="396" spans="1:11" hidden="1" x14ac:dyDescent="0.25">
      <c r="A396" t="s">
        <v>191</v>
      </c>
      <c r="B396" t="s">
        <v>232</v>
      </c>
      <c r="C396" t="s">
        <v>48</v>
      </c>
      <c r="D396" t="s">
        <v>271</v>
      </c>
      <c r="E396">
        <v>147</v>
      </c>
      <c r="H396">
        <v>147</v>
      </c>
      <c r="J396">
        <v>0</v>
      </c>
      <c r="K396">
        <v>0</v>
      </c>
    </row>
    <row r="397" spans="1:11" hidden="1" x14ac:dyDescent="0.25">
      <c r="A397" t="s">
        <v>191</v>
      </c>
      <c r="B397" t="s">
        <v>233</v>
      </c>
      <c r="C397" t="s">
        <v>43</v>
      </c>
      <c r="D397" t="s">
        <v>993</v>
      </c>
      <c r="E397">
        <v>21</v>
      </c>
      <c r="K397">
        <v>21</v>
      </c>
    </row>
    <row r="398" spans="1:11" hidden="1" x14ac:dyDescent="0.25">
      <c r="A398" t="s">
        <v>240</v>
      </c>
      <c r="B398" t="s">
        <v>232</v>
      </c>
      <c r="C398" t="s">
        <v>45</v>
      </c>
      <c r="D398" t="s">
        <v>274</v>
      </c>
      <c r="E398">
        <v>114</v>
      </c>
      <c r="H398">
        <v>42</v>
      </c>
      <c r="K398">
        <v>72</v>
      </c>
    </row>
    <row r="399" spans="1:11" hidden="1" x14ac:dyDescent="0.25">
      <c r="A399" t="s">
        <v>192</v>
      </c>
      <c r="B399" t="s">
        <v>232</v>
      </c>
      <c r="C399" t="s">
        <v>42</v>
      </c>
      <c r="D399" t="s">
        <v>272</v>
      </c>
      <c r="E399">
        <v>161</v>
      </c>
      <c r="H399">
        <v>65</v>
      </c>
      <c r="J399">
        <v>0</v>
      </c>
      <c r="K399">
        <v>96</v>
      </c>
    </row>
    <row r="400" spans="1:11" hidden="1" x14ac:dyDescent="0.25">
      <c r="A400" t="s">
        <v>192</v>
      </c>
      <c r="B400" t="s">
        <v>232</v>
      </c>
      <c r="C400" t="s">
        <v>36</v>
      </c>
      <c r="D400" t="s">
        <v>267</v>
      </c>
      <c r="E400">
        <v>271</v>
      </c>
      <c r="H400">
        <v>198</v>
      </c>
      <c r="J400">
        <v>4</v>
      </c>
      <c r="K400">
        <v>69</v>
      </c>
    </row>
    <row r="401" spans="1:11" hidden="1" x14ac:dyDescent="0.25">
      <c r="A401" t="s">
        <v>257</v>
      </c>
      <c r="B401" t="s">
        <v>233</v>
      </c>
      <c r="C401" t="s">
        <v>31</v>
      </c>
      <c r="D401" t="s">
        <v>334</v>
      </c>
      <c r="E401">
        <v>14</v>
      </c>
      <c r="K401">
        <v>14</v>
      </c>
    </row>
    <row r="402" spans="1:11" hidden="1" x14ac:dyDescent="0.25">
      <c r="A402" t="s">
        <v>192</v>
      </c>
      <c r="B402" t="s">
        <v>233</v>
      </c>
      <c r="C402" t="s">
        <v>117</v>
      </c>
      <c r="D402" t="s">
        <v>994</v>
      </c>
      <c r="E402">
        <v>28</v>
      </c>
      <c r="K402">
        <v>28</v>
      </c>
    </row>
    <row r="403" spans="1:11" hidden="1" x14ac:dyDescent="0.25">
      <c r="A403" t="s">
        <v>191</v>
      </c>
      <c r="B403" t="s">
        <v>232</v>
      </c>
      <c r="C403" t="s">
        <v>57</v>
      </c>
      <c r="D403" t="s">
        <v>283</v>
      </c>
      <c r="E403">
        <v>273</v>
      </c>
      <c r="H403">
        <v>82</v>
      </c>
      <c r="J403">
        <v>4</v>
      </c>
      <c r="K403">
        <v>187</v>
      </c>
    </row>
    <row r="404" spans="1:11" hidden="1" x14ac:dyDescent="0.25">
      <c r="A404" t="s">
        <v>190</v>
      </c>
      <c r="B404" t="s">
        <v>232</v>
      </c>
      <c r="C404" t="s">
        <v>38</v>
      </c>
      <c r="D404" t="s">
        <v>268</v>
      </c>
      <c r="E404">
        <v>136</v>
      </c>
      <c r="H404">
        <v>83</v>
      </c>
      <c r="J404">
        <v>0</v>
      </c>
      <c r="K404">
        <v>53</v>
      </c>
    </row>
    <row r="405" spans="1:11" hidden="1" x14ac:dyDescent="0.25">
      <c r="A405" t="s">
        <v>257</v>
      </c>
      <c r="B405" t="s">
        <v>233</v>
      </c>
      <c r="C405" t="s">
        <v>117</v>
      </c>
      <c r="D405" t="s">
        <v>994</v>
      </c>
      <c r="E405">
        <v>25</v>
      </c>
      <c r="K405">
        <v>25</v>
      </c>
    </row>
    <row r="406" spans="1:11" hidden="1" x14ac:dyDescent="0.25">
      <c r="A406" t="s">
        <v>257</v>
      </c>
      <c r="B406" t="s">
        <v>232</v>
      </c>
      <c r="C406" t="s">
        <v>48</v>
      </c>
      <c r="D406" t="s">
        <v>271</v>
      </c>
      <c r="E406">
        <v>137</v>
      </c>
      <c r="H406">
        <v>137</v>
      </c>
      <c r="J406">
        <v>0</v>
      </c>
      <c r="K406">
        <v>0</v>
      </c>
    </row>
    <row r="407" spans="1:11" hidden="1" x14ac:dyDescent="0.25">
      <c r="A407" t="s">
        <v>240</v>
      </c>
      <c r="B407" t="s">
        <v>232</v>
      </c>
      <c r="C407" t="s">
        <v>37</v>
      </c>
      <c r="D407" t="s">
        <v>293</v>
      </c>
      <c r="E407">
        <v>191</v>
      </c>
      <c r="H407">
        <v>13</v>
      </c>
      <c r="K407">
        <v>178</v>
      </c>
    </row>
    <row r="408" spans="1:11" hidden="1" x14ac:dyDescent="0.25">
      <c r="A408" t="s">
        <v>240</v>
      </c>
      <c r="B408" t="s">
        <v>233</v>
      </c>
      <c r="C408" t="s">
        <v>67</v>
      </c>
      <c r="D408" t="s">
        <v>340</v>
      </c>
      <c r="E408">
        <v>27</v>
      </c>
      <c r="K408">
        <v>27</v>
      </c>
    </row>
    <row r="409" spans="1:11" hidden="1" x14ac:dyDescent="0.25">
      <c r="A409" t="s">
        <v>191</v>
      </c>
      <c r="B409" t="s">
        <v>233</v>
      </c>
      <c r="C409" t="s">
        <v>69</v>
      </c>
      <c r="D409" t="s">
        <v>343</v>
      </c>
      <c r="E409">
        <v>13</v>
      </c>
      <c r="K409">
        <v>13</v>
      </c>
    </row>
    <row r="410" spans="1:11" hidden="1" x14ac:dyDescent="0.25">
      <c r="A410" t="s">
        <v>257</v>
      </c>
      <c r="B410" t="s">
        <v>234</v>
      </c>
      <c r="C410" t="s">
        <v>163</v>
      </c>
      <c r="D410" t="s">
        <v>362</v>
      </c>
      <c r="E410">
        <v>340</v>
      </c>
      <c r="I410">
        <v>272</v>
      </c>
      <c r="K410">
        <v>68</v>
      </c>
    </row>
    <row r="411" spans="1:11" hidden="1" x14ac:dyDescent="0.25">
      <c r="A411" t="s">
        <v>257</v>
      </c>
      <c r="B411" t="s">
        <v>232</v>
      </c>
      <c r="C411" t="s">
        <v>38</v>
      </c>
      <c r="D411" t="s">
        <v>268</v>
      </c>
      <c r="E411">
        <v>127</v>
      </c>
      <c r="H411">
        <v>81</v>
      </c>
      <c r="J411">
        <v>0</v>
      </c>
      <c r="K411">
        <v>46</v>
      </c>
    </row>
    <row r="412" spans="1:11" hidden="1" x14ac:dyDescent="0.25">
      <c r="A412" t="s">
        <v>192</v>
      </c>
      <c r="B412" t="s">
        <v>233</v>
      </c>
      <c r="C412" t="s">
        <v>43</v>
      </c>
      <c r="D412" t="s">
        <v>993</v>
      </c>
      <c r="E412">
        <v>21</v>
      </c>
      <c r="K412">
        <v>21</v>
      </c>
    </row>
    <row r="413" spans="1:11" hidden="1" x14ac:dyDescent="0.25">
      <c r="A413" t="s">
        <v>192</v>
      </c>
      <c r="B413" t="s">
        <v>232</v>
      </c>
      <c r="C413" t="s">
        <v>39</v>
      </c>
      <c r="D413" t="s">
        <v>295</v>
      </c>
      <c r="E413">
        <v>74</v>
      </c>
      <c r="H413">
        <v>0</v>
      </c>
      <c r="J413">
        <v>0</v>
      </c>
      <c r="K413">
        <v>74</v>
      </c>
    </row>
    <row r="414" spans="1:11" hidden="1" x14ac:dyDescent="0.25">
      <c r="A414" t="s">
        <v>190</v>
      </c>
      <c r="B414" t="s">
        <v>232</v>
      </c>
      <c r="C414" t="s">
        <v>39</v>
      </c>
      <c r="D414" t="s">
        <v>295</v>
      </c>
      <c r="E414">
        <v>71</v>
      </c>
      <c r="H414">
        <v>1</v>
      </c>
      <c r="J414">
        <v>0</v>
      </c>
      <c r="K414">
        <v>70</v>
      </c>
    </row>
    <row r="415" spans="1:11" hidden="1" x14ac:dyDescent="0.25">
      <c r="A415" t="s">
        <v>240</v>
      </c>
      <c r="B415" t="s">
        <v>233</v>
      </c>
      <c r="C415" t="s">
        <v>985</v>
      </c>
      <c r="D415" t="s">
        <v>996</v>
      </c>
      <c r="E415">
        <v>18</v>
      </c>
      <c r="K415">
        <v>18</v>
      </c>
    </row>
    <row r="416" spans="1:11" hidden="1" x14ac:dyDescent="0.25">
      <c r="A416" t="s">
        <v>191</v>
      </c>
      <c r="B416" t="s">
        <v>232</v>
      </c>
      <c r="C416" t="s">
        <v>40</v>
      </c>
      <c r="D416" t="s">
        <v>269</v>
      </c>
      <c r="E416">
        <v>88</v>
      </c>
      <c r="H416">
        <v>60</v>
      </c>
      <c r="J416">
        <v>0</v>
      </c>
      <c r="K416">
        <v>28</v>
      </c>
    </row>
    <row r="417" spans="1:11" hidden="1" x14ac:dyDescent="0.25">
      <c r="A417" t="s">
        <v>257</v>
      </c>
      <c r="B417" t="s">
        <v>233</v>
      </c>
      <c r="C417" t="s">
        <v>65</v>
      </c>
      <c r="D417" t="s">
        <v>336</v>
      </c>
      <c r="E417">
        <v>28</v>
      </c>
      <c r="K417">
        <v>28</v>
      </c>
    </row>
    <row r="418" spans="1:11" hidden="1" x14ac:dyDescent="0.25">
      <c r="A418" t="s">
        <v>190</v>
      </c>
      <c r="B418" t="s">
        <v>232</v>
      </c>
      <c r="C418" t="s">
        <v>56</v>
      </c>
      <c r="D418" t="s">
        <v>282</v>
      </c>
      <c r="E418">
        <v>108</v>
      </c>
      <c r="H418">
        <v>53</v>
      </c>
      <c r="J418">
        <v>0</v>
      </c>
      <c r="K418">
        <v>55</v>
      </c>
    </row>
    <row r="419" spans="1:11" hidden="1" x14ac:dyDescent="0.25">
      <c r="A419" t="s">
        <v>240</v>
      </c>
      <c r="B419" t="s">
        <v>232</v>
      </c>
      <c r="C419" t="s">
        <v>44</v>
      </c>
      <c r="D419" t="s">
        <v>273</v>
      </c>
      <c r="E419">
        <v>670</v>
      </c>
      <c r="H419">
        <v>538</v>
      </c>
      <c r="J419">
        <v>64</v>
      </c>
      <c r="K419">
        <v>68</v>
      </c>
    </row>
    <row r="420" spans="1:11" hidden="1" x14ac:dyDescent="0.25">
      <c r="A420" t="s">
        <v>192</v>
      </c>
      <c r="B420" t="s">
        <v>233</v>
      </c>
      <c r="C420" t="s">
        <v>63</v>
      </c>
      <c r="D420" t="s">
        <v>335</v>
      </c>
      <c r="E420">
        <v>22</v>
      </c>
      <c r="K420">
        <v>22</v>
      </c>
    </row>
    <row r="421" spans="1:11" hidden="1" x14ac:dyDescent="0.25">
      <c r="A421" t="s">
        <v>240</v>
      </c>
      <c r="B421" t="s">
        <v>232</v>
      </c>
      <c r="C421" t="s">
        <v>49</v>
      </c>
      <c r="D421" t="s">
        <v>277</v>
      </c>
      <c r="E421">
        <v>205</v>
      </c>
      <c r="H421">
        <v>106</v>
      </c>
      <c r="J421">
        <v>23</v>
      </c>
      <c r="K421">
        <v>76</v>
      </c>
    </row>
    <row r="422" spans="1:11" hidden="1" x14ac:dyDescent="0.25">
      <c r="A422" t="s">
        <v>192</v>
      </c>
      <c r="B422" t="s">
        <v>232</v>
      </c>
      <c r="C422" t="s">
        <v>48</v>
      </c>
      <c r="D422" t="s">
        <v>271</v>
      </c>
      <c r="E422">
        <v>132</v>
      </c>
      <c r="H422">
        <v>132</v>
      </c>
      <c r="J422">
        <v>0</v>
      </c>
      <c r="K422">
        <v>0</v>
      </c>
    </row>
    <row r="423" spans="1:11" hidden="1" x14ac:dyDescent="0.25">
      <c r="A423" t="s">
        <v>240</v>
      </c>
      <c r="B423" t="s">
        <v>232</v>
      </c>
      <c r="C423" t="s">
        <v>36</v>
      </c>
      <c r="D423" t="s">
        <v>267</v>
      </c>
      <c r="E423">
        <v>247</v>
      </c>
      <c r="H423">
        <v>189</v>
      </c>
      <c r="J423">
        <v>4</v>
      </c>
      <c r="K423">
        <v>54</v>
      </c>
    </row>
    <row r="424" spans="1:11" hidden="1" x14ac:dyDescent="0.25">
      <c r="A424" t="s">
        <v>192</v>
      </c>
      <c r="B424" t="s">
        <v>232</v>
      </c>
      <c r="C424" t="s">
        <v>58</v>
      </c>
      <c r="D424" t="s">
        <v>284</v>
      </c>
      <c r="E424">
        <v>136</v>
      </c>
      <c r="H424">
        <v>74</v>
      </c>
      <c r="J424">
        <v>0</v>
      </c>
      <c r="K424">
        <v>62</v>
      </c>
    </row>
    <row r="425" spans="1:11" hidden="1" x14ac:dyDescent="0.25">
      <c r="A425" t="s">
        <v>192</v>
      </c>
      <c r="B425" t="s">
        <v>232</v>
      </c>
      <c r="C425" t="s">
        <v>31</v>
      </c>
      <c r="D425" t="s">
        <v>285</v>
      </c>
      <c r="E425">
        <v>182</v>
      </c>
      <c r="H425">
        <v>8</v>
      </c>
      <c r="J425">
        <v>0</v>
      </c>
      <c r="K425">
        <v>174</v>
      </c>
    </row>
    <row r="426" spans="1:11" hidden="1" x14ac:dyDescent="0.25">
      <c r="A426" t="s">
        <v>192</v>
      </c>
      <c r="B426" t="s">
        <v>232</v>
      </c>
      <c r="C426" t="s">
        <v>43</v>
      </c>
      <c r="D426" t="s">
        <v>297</v>
      </c>
      <c r="E426">
        <v>400</v>
      </c>
      <c r="H426">
        <v>111</v>
      </c>
      <c r="J426">
        <v>0</v>
      </c>
      <c r="K426">
        <v>289</v>
      </c>
    </row>
    <row r="427" spans="1:11" hidden="1" x14ac:dyDescent="0.25">
      <c r="A427" t="s">
        <v>240</v>
      </c>
      <c r="B427" t="s">
        <v>233</v>
      </c>
      <c r="C427" t="s">
        <v>69</v>
      </c>
      <c r="D427" t="s">
        <v>343</v>
      </c>
      <c r="E427">
        <v>19</v>
      </c>
      <c r="K427">
        <v>19</v>
      </c>
    </row>
    <row r="428" spans="1:11" hidden="1" x14ac:dyDescent="0.25">
      <c r="A428" t="s">
        <v>190</v>
      </c>
      <c r="B428" t="s">
        <v>233</v>
      </c>
      <c r="C428" t="s">
        <v>69</v>
      </c>
      <c r="D428" t="s">
        <v>343</v>
      </c>
      <c r="E428">
        <v>16</v>
      </c>
      <c r="K428">
        <v>16</v>
      </c>
    </row>
    <row r="429" spans="1:11" hidden="1" x14ac:dyDescent="0.25">
      <c r="A429" t="s">
        <v>257</v>
      </c>
      <c r="B429" t="s">
        <v>233</v>
      </c>
      <c r="C429" t="s">
        <v>64</v>
      </c>
      <c r="D429" t="s">
        <v>337</v>
      </c>
      <c r="E429">
        <v>26</v>
      </c>
      <c r="K429">
        <v>26</v>
      </c>
    </row>
    <row r="430" spans="1:11" hidden="1" x14ac:dyDescent="0.25">
      <c r="A430" t="s">
        <v>257</v>
      </c>
      <c r="B430" t="s">
        <v>234</v>
      </c>
      <c r="C430" t="s">
        <v>162</v>
      </c>
      <c r="D430" t="s">
        <v>363</v>
      </c>
      <c r="E430">
        <v>180</v>
      </c>
      <c r="I430">
        <v>135</v>
      </c>
      <c r="K430">
        <v>45</v>
      </c>
    </row>
    <row r="431" spans="1:11" hidden="1" x14ac:dyDescent="0.25">
      <c r="A431" t="s">
        <v>190</v>
      </c>
      <c r="B431" t="s">
        <v>232</v>
      </c>
      <c r="C431" t="s">
        <v>43</v>
      </c>
      <c r="D431" t="s">
        <v>297</v>
      </c>
      <c r="E431">
        <v>390</v>
      </c>
      <c r="H431">
        <v>112</v>
      </c>
      <c r="J431">
        <v>0</v>
      </c>
      <c r="K431">
        <v>278</v>
      </c>
    </row>
    <row r="432" spans="1:11" hidden="1" x14ac:dyDescent="0.25">
      <c r="A432" t="s">
        <v>191</v>
      </c>
      <c r="B432" t="s">
        <v>233</v>
      </c>
      <c r="C432" t="s">
        <v>31</v>
      </c>
      <c r="D432" t="s">
        <v>334</v>
      </c>
      <c r="E432">
        <v>18</v>
      </c>
      <c r="K432">
        <v>18</v>
      </c>
    </row>
    <row r="433" spans="1:11" hidden="1" x14ac:dyDescent="0.25">
      <c r="A433" t="s">
        <v>191</v>
      </c>
      <c r="B433" t="s">
        <v>233</v>
      </c>
      <c r="C433" t="s">
        <v>165</v>
      </c>
      <c r="D433" t="s">
        <v>342</v>
      </c>
      <c r="E433">
        <v>24</v>
      </c>
      <c r="K433">
        <v>24</v>
      </c>
    </row>
    <row r="434" spans="1:11" hidden="1" x14ac:dyDescent="0.25">
      <c r="A434" t="s">
        <v>240</v>
      </c>
      <c r="B434" t="s">
        <v>233</v>
      </c>
      <c r="C434" t="s">
        <v>63</v>
      </c>
      <c r="D434" t="s">
        <v>335</v>
      </c>
      <c r="E434">
        <v>25</v>
      </c>
      <c r="K434">
        <v>25</v>
      </c>
    </row>
    <row r="435" spans="1:11" hidden="1" x14ac:dyDescent="0.25">
      <c r="A435" t="s">
        <v>240</v>
      </c>
      <c r="B435" t="s">
        <v>233</v>
      </c>
      <c r="C435" t="s">
        <v>65</v>
      </c>
      <c r="D435" t="s">
        <v>336</v>
      </c>
      <c r="E435">
        <v>28</v>
      </c>
      <c r="K435">
        <v>28</v>
      </c>
    </row>
    <row r="436" spans="1:11" hidden="1" x14ac:dyDescent="0.25">
      <c r="A436" t="s">
        <v>240</v>
      </c>
      <c r="B436" t="s">
        <v>232</v>
      </c>
      <c r="C436" t="s">
        <v>55</v>
      </c>
      <c r="D436" t="s">
        <v>281</v>
      </c>
      <c r="E436">
        <v>118</v>
      </c>
      <c r="H436">
        <v>118</v>
      </c>
    </row>
    <row r="437" spans="1:11" hidden="1" x14ac:dyDescent="0.25">
      <c r="A437" t="s">
        <v>240</v>
      </c>
      <c r="B437" t="s">
        <v>233</v>
      </c>
      <c r="C437" t="s">
        <v>64</v>
      </c>
      <c r="D437" t="s">
        <v>337</v>
      </c>
      <c r="E437">
        <v>26</v>
      </c>
      <c r="K437">
        <v>26</v>
      </c>
    </row>
    <row r="438" spans="1:11" hidden="1" x14ac:dyDescent="0.25">
      <c r="A438" t="s">
        <v>240</v>
      </c>
      <c r="B438" t="s">
        <v>232</v>
      </c>
      <c r="C438" t="s">
        <v>48</v>
      </c>
      <c r="D438" t="s">
        <v>271</v>
      </c>
      <c r="E438">
        <v>131</v>
      </c>
      <c r="H438">
        <v>131</v>
      </c>
    </row>
    <row r="439" spans="1:11" hidden="1" x14ac:dyDescent="0.25">
      <c r="A439" t="s">
        <v>257</v>
      </c>
      <c r="B439" t="s">
        <v>234</v>
      </c>
      <c r="C439" t="s">
        <v>164</v>
      </c>
      <c r="D439" t="s">
        <v>361</v>
      </c>
      <c r="E439">
        <v>202</v>
      </c>
      <c r="I439">
        <v>164</v>
      </c>
      <c r="K439">
        <v>38</v>
      </c>
    </row>
    <row r="440" spans="1:11" hidden="1" x14ac:dyDescent="0.25">
      <c r="A440" t="s">
        <v>191</v>
      </c>
      <c r="B440" t="s">
        <v>232</v>
      </c>
      <c r="C440" t="s">
        <v>46</v>
      </c>
      <c r="D440" t="s">
        <v>275</v>
      </c>
      <c r="E440">
        <v>49</v>
      </c>
      <c r="H440">
        <v>14</v>
      </c>
      <c r="J440">
        <v>0</v>
      </c>
      <c r="K440">
        <v>35</v>
      </c>
    </row>
    <row r="441" spans="1:11" hidden="1" x14ac:dyDescent="0.25">
      <c r="A441" t="s">
        <v>257</v>
      </c>
      <c r="B441" t="s">
        <v>235</v>
      </c>
      <c r="C441" t="s">
        <v>244</v>
      </c>
      <c r="D441" t="s">
        <v>347</v>
      </c>
      <c r="E441">
        <v>614</v>
      </c>
      <c r="F441">
        <v>165</v>
      </c>
      <c r="I441">
        <v>267</v>
      </c>
      <c r="K441">
        <v>182</v>
      </c>
    </row>
    <row r="442" spans="1:11" hidden="1" x14ac:dyDescent="0.25">
      <c r="A442" t="s">
        <v>191</v>
      </c>
      <c r="B442" t="s">
        <v>232</v>
      </c>
      <c r="C442" t="s">
        <v>55</v>
      </c>
      <c r="D442" t="s">
        <v>281</v>
      </c>
      <c r="E442">
        <v>128</v>
      </c>
      <c r="H442">
        <v>127</v>
      </c>
      <c r="J442">
        <v>1</v>
      </c>
      <c r="K442">
        <v>0</v>
      </c>
    </row>
    <row r="443" spans="1:11" hidden="1" x14ac:dyDescent="0.25">
      <c r="A443" t="s">
        <v>190</v>
      </c>
      <c r="B443" t="s">
        <v>232</v>
      </c>
      <c r="C443" t="s">
        <v>243</v>
      </c>
      <c r="D443" t="s">
        <v>288</v>
      </c>
      <c r="E443">
        <v>327</v>
      </c>
      <c r="H443">
        <v>12</v>
      </c>
      <c r="J443">
        <v>0</v>
      </c>
      <c r="K443">
        <v>315</v>
      </c>
    </row>
    <row r="444" spans="1:11" hidden="1" x14ac:dyDescent="0.25">
      <c r="A444" t="s">
        <v>190</v>
      </c>
      <c r="B444" t="s">
        <v>232</v>
      </c>
      <c r="C444" t="s">
        <v>33</v>
      </c>
      <c r="D444" t="s">
        <v>292</v>
      </c>
      <c r="E444">
        <v>134</v>
      </c>
      <c r="H444">
        <v>98</v>
      </c>
      <c r="J444">
        <v>0</v>
      </c>
      <c r="K444">
        <v>36</v>
      </c>
    </row>
    <row r="445" spans="1:11" hidden="1" x14ac:dyDescent="0.25">
      <c r="A445" t="s">
        <v>191</v>
      </c>
      <c r="B445" t="s">
        <v>232</v>
      </c>
      <c r="C445" t="s">
        <v>36</v>
      </c>
      <c r="D445" t="s">
        <v>267</v>
      </c>
      <c r="E445">
        <v>278</v>
      </c>
      <c r="H445">
        <v>206</v>
      </c>
      <c r="J445">
        <v>3</v>
      </c>
      <c r="K445">
        <v>69</v>
      </c>
    </row>
    <row r="446" spans="1:11" hidden="1" x14ac:dyDescent="0.25">
      <c r="A446" t="s">
        <v>190</v>
      </c>
      <c r="B446" t="s">
        <v>232</v>
      </c>
      <c r="C446" t="s">
        <v>51</v>
      </c>
      <c r="D446" t="s">
        <v>278</v>
      </c>
      <c r="E446">
        <v>98</v>
      </c>
      <c r="H446">
        <v>98</v>
      </c>
      <c r="J446">
        <v>0</v>
      </c>
      <c r="K446">
        <v>0</v>
      </c>
    </row>
    <row r="447" spans="1:11" hidden="1" x14ac:dyDescent="0.25">
      <c r="A447" t="s">
        <v>191</v>
      </c>
      <c r="B447" t="s">
        <v>233</v>
      </c>
      <c r="C447" t="s">
        <v>36</v>
      </c>
      <c r="D447" t="s">
        <v>338</v>
      </c>
      <c r="E447">
        <v>18</v>
      </c>
      <c r="K447">
        <v>18</v>
      </c>
    </row>
    <row r="448" spans="1:11" hidden="1" x14ac:dyDescent="0.25">
      <c r="A448" t="s">
        <v>240</v>
      </c>
      <c r="B448" t="s">
        <v>232</v>
      </c>
      <c r="C448" t="s">
        <v>33</v>
      </c>
      <c r="D448" t="s">
        <v>292</v>
      </c>
      <c r="E448">
        <v>121</v>
      </c>
      <c r="H448">
        <v>93</v>
      </c>
      <c r="K448">
        <v>28</v>
      </c>
    </row>
    <row r="449" spans="1:11" hidden="1" x14ac:dyDescent="0.25"/>
    <row r="450" spans="1:11" hidden="1" x14ac:dyDescent="0.25">
      <c r="A450" t="s">
        <v>190</v>
      </c>
      <c r="B450" t="s">
        <v>232</v>
      </c>
      <c r="C450" t="s">
        <v>41</v>
      </c>
      <c r="D450" t="s">
        <v>270</v>
      </c>
      <c r="E450">
        <v>55</v>
      </c>
      <c r="H450">
        <v>2</v>
      </c>
      <c r="J450">
        <v>0</v>
      </c>
      <c r="K450">
        <v>53</v>
      </c>
    </row>
    <row r="451" spans="1:11" hidden="1" x14ac:dyDescent="0.25">
      <c r="A451" t="s">
        <v>240</v>
      </c>
      <c r="B451" t="s">
        <v>232</v>
      </c>
      <c r="C451" t="s">
        <v>58</v>
      </c>
      <c r="D451" t="s">
        <v>284</v>
      </c>
      <c r="E451">
        <v>122</v>
      </c>
      <c r="H451">
        <v>74</v>
      </c>
      <c r="K451">
        <v>48</v>
      </c>
    </row>
    <row r="452" spans="1:11" hidden="1" x14ac:dyDescent="0.25">
      <c r="A452" t="s">
        <v>257</v>
      </c>
      <c r="B452" t="s">
        <v>232</v>
      </c>
      <c r="C452" t="s">
        <v>33</v>
      </c>
      <c r="D452" t="s">
        <v>292</v>
      </c>
      <c r="E452">
        <v>119</v>
      </c>
      <c r="H452">
        <v>94</v>
      </c>
      <c r="J452">
        <v>0</v>
      </c>
      <c r="K452">
        <v>25</v>
      </c>
    </row>
    <row r="453" spans="1:11" hidden="1" x14ac:dyDescent="0.25">
      <c r="A453" t="s">
        <v>190</v>
      </c>
      <c r="B453" t="s">
        <v>232</v>
      </c>
      <c r="C453" t="s">
        <v>54</v>
      </c>
      <c r="D453" t="s">
        <v>280</v>
      </c>
      <c r="E453">
        <v>218</v>
      </c>
      <c r="H453">
        <v>147</v>
      </c>
      <c r="J453">
        <v>0</v>
      </c>
      <c r="K453">
        <v>71</v>
      </c>
    </row>
    <row r="454" spans="1:11" hidden="1" x14ac:dyDescent="0.25">
      <c r="A454" t="s">
        <v>191</v>
      </c>
      <c r="B454" t="s">
        <v>235</v>
      </c>
      <c r="C454" t="s">
        <v>244</v>
      </c>
      <c r="D454" t="s">
        <v>347</v>
      </c>
      <c r="E454">
        <v>518</v>
      </c>
      <c r="F454">
        <v>230</v>
      </c>
      <c r="I454">
        <v>238</v>
      </c>
      <c r="K454">
        <v>50</v>
      </c>
    </row>
    <row r="455" spans="1:11" hidden="1" x14ac:dyDescent="0.25">
      <c r="A455" t="s">
        <v>191</v>
      </c>
      <c r="B455" t="s">
        <v>232</v>
      </c>
      <c r="C455" t="s">
        <v>34</v>
      </c>
      <c r="D455" t="s">
        <v>287</v>
      </c>
      <c r="E455">
        <v>454</v>
      </c>
      <c r="H455">
        <v>175</v>
      </c>
      <c r="J455">
        <v>225</v>
      </c>
      <c r="K455">
        <v>54</v>
      </c>
    </row>
    <row r="456" spans="1:11" hidden="1" x14ac:dyDescent="0.25">
      <c r="A456" t="s">
        <v>192</v>
      </c>
      <c r="B456" t="s">
        <v>234</v>
      </c>
      <c r="C456" t="s">
        <v>162</v>
      </c>
      <c r="D456" t="s">
        <v>363</v>
      </c>
      <c r="E456">
        <v>210</v>
      </c>
      <c r="I456">
        <v>133</v>
      </c>
      <c r="K456">
        <v>77</v>
      </c>
    </row>
    <row r="457" spans="1:11" hidden="1" x14ac:dyDescent="0.25">
      <c r="A457" t="s">
        <v>190</v>
      </c>
      <c r="B457" t="s">
        <v>232</v>
      </c>
      <c r="C457" t="s">
        <v>34</v>
      </c>
      <c r="D457" t="s">
        <v>287</v>
      </c>
      <c r="E457">
        <v>438</v>
      </c>
      <c r="H457">
        <v>182</v>
      </c>
      <c r="J457">
        <v>201</v>
      </c>
      <c r="K457">
        <v>55</v>
      </c>
    </row>
    <row r="458" spans="1:11" hidden="1" x14ac:dyDescent="0.25">
      <c r="A458" t="s">
        <v>257</v>
      </c>
      <c r="B458" t="s">
        <v>232</v>
      </c>
      <c r="C458" t="s">
        <v>44</v>
      </c>
      <c r="D458" t="s">
        <v>273</v>
      </c>
      <c r="E458">
        <v>659</v>
      </c>
      <c r="H458">
        <v>525</v>
      </c>
      <c r="J458">
        <v>67</v>
      </c>
      <c r="K458">
        <v>67</v>
      </c>
    </row>
    <row r="459" spans="1:11" hidden="1" x14ac:dyDescent="0.25">
      <c r="A459" t="s">
        <v>190</v>
      </c>
      <c r="B459" t="s">
        <v>232</v>
      </c>
      <c r="C459" t="s">
        <v>46</v>
      </c>
      <c r="D459" t="s">
        <v>275</v>
      </c>
      <c r="E459">
        <v>34</v>
      </c>
      <c r="H459">
        <v>11</v>
      </c>
      <c r="J459">
        <v>0</v>
      </c>
      <c r="K459">
        <v>23</v>
      </c>
    </row>
    <row r="460" spans="1:11" hidden="1" x14ac:dyDescent="0.25">
      <c r="A460" t="s">
        <v>192</v>
      </c>
      <c r="B460" t="s">
        <v>233</v>
      </c>
      <c r="C460" t="s">
        <v>165</v>
      </c>
      <c r="D460" t="s">
        <v>342</v>
      </c>
      <c r="E460">
        <v>26</v>
      </c>
      <c r="K460">
        <v>26</v>
      </c>
    </row>
    <row r="461" spans="1:11" hidden="1" x14ac:dyDescent="0.25">
      <c r="A461" t="s">
        <v>192</v>
      </c>
      <c r="B461" t="s">
        <v>232</v>
      </c>
      <c r="C461" t="s">
        <v>44</v>
      </c>
      <c r="D461" t="s">
        <v>273</v>
      </c>
      <c r="E461">
        <v>717</v>
      </c>
      <c r="H461">
        <v>564</v>
      </c>
      <c r="J461">
        <v>72</v>
      </c>
      <c r="K461">
        <v>81</v>
      </c>
    </row>
    <row r="462" spans="1:11" hidden="1" x14ac:dyDescent="0.25">
      <c r="A462" t="s">
        <v>191</v>
      </c>
      <c r="B462" t="s">
        <v>232</v>
      </c>
      <c r="C462" t="s">
        <v>50</v>
      </c>
      <c r="D462" t="s">
        <v>294</v>
      </c>
      <c r="E462">
        <v>217</v>
      </c>
      <c r="H462">
        <v>30</v>
      </c>
      <c r="J462">
        <v>0</v>
      </c>
      <c r="K462">
        <v>187</v>
      </c>
    </row>
    <row r="463" spans="1:11" hidden="1" x14ac:dyDescent="0.25">
      <c r="A463" t="s">
        <v>190</v>
      </c>
      <c r="B463" t="s">
        <v>234</v>
      </c>
      <c r="C463" t="s">
        <v>162</v>
      </c>
      <c r="D463" t="s">
        <v>363</v>
      </c>
      <c r="E463">
        <v>165</v>
      </c>
      <c r="I463">
        <v>121</v>
      </c>
      <c r="K463">
        <v>44</v>
      </c>
    </row>
    <row r="464" spans="1:11" hidden="1" x14ac:dyDescent="0.25">
      <c r="A464" t="s">
        <v>190</v>
      </c>
      <c r="B464" t="s">
        <v>232</v>
      </c>
      <c r="C464" t="s">
        <v>48</v>
      </c>
      <c r="D464" t="s">
        <v>271</v>
      </c>
      <c r="E464">
        <v>140</v>
      </c>
      <c r="H464">
        <v>140</v>
      </c>
      <c r="J464">
        <v>0</v>
      </c>
      <c r="K464">
        <v>0</v>
      </c>
    </row>
    <row r="465" spans="1:11" hidden="1" x14ac:dyDescent="0.25">
      <c r="A465" t="s">
        <v>191</v>
      </c>
      <c r="B465" t="s">
        <v>233</v>
      </c>
      <c r="C465" t="s">
        <v>985</v>
      </c>
      <c r="D465" t="s">
        <v>996</v>
      </c>
      <c r="E465">
        <v>5</v>
      </c>
      <c r="K465">
        <v>5</v>
      </c>
    </row>
    <row r="466" spans="1:11" hidden="1" x14ac:dyDescent="0.25">
      <c r="A466" t="s">
        <v>240</v>
      </c>
      <c r="B466" t="s">
        <v>232</v>
      </c>
      <c r="C466" t="s">
        <v>117</v>
      </c>
      <c r="D466" t="s">
        <v>296</v>
      </c>
      <c r="E466">
        <v>489</v>
      </c>
      <c r="K466">
        <v>489</v>
      </c>
    </row>
    <row r="467" spans="1:11" hidden="1" x14ac:dyDescent="0.25">
      <c r="A467" t="s">
        <v>192</v>
      </c>
      <c r="B467" t="s">
        <v>233</v>
      </c>
      <c r="C467" t="s">
        <v>50</v>
      </c>
      <c r="D467" t="s">
        <v>995</v>
      </c>
      <c r="E467">
        <v>14</v>
      </c>
      <c r="K467">
        <v>14</v>
      </c>
    </row>
    <row r="468" spans="1:11" hidden="1" x14ac:dyDescent="0.25">
      <c r="A468" t="s">
        <v>240</v>
      </c>
      <c r="B468" t="s">
        <v>234</v>
      </c>
      <c r="C468" t="s">
        <v>162</v>
      </c>
      <c r="D468" t="s">
        <v>363</v>
      </c>
      <c r="E468">
        <v>187</v>
      </c>
      <c r="I468">
        <v>141</v>
      </c>
      <c r="K468">
        <v>46</v>
      </c>
    </row>
    <row r="469" spans="1:11" hidden="1" x14ac:dyDescent="0.25">
      <c r="A469" t="s">
        <v>191</v>
      </c>
      <c r="B469" t="s">
        <v>233</v>
      </c>
      <c r="C469" t="s">
        <v>66</v>
      </c>
      <c r="D469" t="s">
        <v>339</v>
      </c>
      <c r="E469">
        <v>20</v>
      </c>
      <c r="K469">
        <v>20</v>
      </c>
    </row>
    <row r="470" spans="1:11" hidden="1" x14ac:dyDescent="0.25">
      <c r="A470" t="s">
        <v>191</v>
      </c>
      <c r="B470" t="s">
        <v>232</v>
      </c>
      <c r="C470" t="s">
        <v>44</v>
      </c>
      <c r="D470" t="s">
        <v>273</v>
      </c>
      <c r="E470">
        <v>698</v>
      </c>
      <c r="H470">
        <v>548</v>
      </c>
      <c r="J470">
        <v>69</v>
      </c>
      <c r="K470">
        <v>81</v>
      </c>
    </row>
    <row r="471" spans="1:11" hidden="1" x14ac:dyDescent="0.25">
      <c r="A471" t="s">
        <v>257</v>
      </c>
      <c r="B471" t="s">
        <v>232</v>
      </c>
      <c r="C471" t="s">
        <v>39</v>
      </c>
      <c r="D471" t="s">
        <v>295</v>
      </c>
      <c r="E471">
        <v>68</v>
      </c>
      <c r="H471">
        <v>0</v>
      </c>
      <c r="J471">
        <v>0</v>
      </c>
      <c r="K471">
        <v>68</v>
      </c>
    </row>
    <row r="472" spans="1:11" hidden="1" x14ac:dyDescent="0.25">
      <c r="A472" t="s">
        <v>240</v>
      </c>
      <c r="B472" t="s">
        <v>232</v>
      </c>
      <c r="C472" t="s">
        <v>43</v>
      </c>
      <c r="D472" t="s">
        <v>297</v>
      </c>
      <c r="E472">
        <v>369</v>
      </c>
      <c r="H472">
        <v>115</v>
      </c>
      <c r="K472">
        <v>254</v>
      </c>
    </row>
    <row r="473" spans="1:11" hidden="1" x14ac:dyDescent="0.25">
      <c r="A473" t="s">
        <v>240</v>
      </c>
      <c r="B473" t="s">
        <v>233</v>
      </c>
      <c r="C473" t="s">
        <v>66</v>
      </c>
      <c r="D473" t="s">
        <v>339</v>
      </c>
      <c r="E473">
        <v>27</v>
      </c>
      <c r="K473">
        <v>27</v>
      </c>
    </row>
    <row r="474" spans="1:11" hidden="1" x14ac:dyDescent="0.25">
      <c r="A474" t="s">
        <v>190</v>
      </c>
      <c r="B474" t="s">
        <v>233</v>
      </c>
      <c r="C474" t="s">
        <v>985</v>
      </c>
      <c r="D474" t="s">
        <v>996</v>
      </c>
      <c r="E474">
        <v>13</v>
      </c>
      <c r="K474">
        <v>13</v>
      </c>
    </row>
    <row r="475" spans="1:11" hidden="1" x14ac:dyDescent="0.25">
      <c r="A475" t="s">
        <v>257</v>
      </c>
      <c r="B475" t="s">
        <v>232</v>
      </c>
      <c r="C475" t="s">
        <v>32</v>
      </c>
      <c r="D475" t="s">
        <v>286</v>
      </c>
      <c r="E475">
        <v>307</v>
      </c>
      <c r="H475">
        <v>282</v>
      </c>
      <c r="J475">
        <v>0</v>
      </c>
      <c r="K475">
        <v>25</v>
      </c>
    </row>
    <row r="476" spans="1:11" hidden="1" x14ac:dyDescent="0.25">
      <c r="A476" t="s">
        <v>257</v>
      </c>
      <c r="B476" t="s">
        <v>232</v>
      </c>
      <c r="C476" t="s">
        <v>40</v>
      </c>
      <c r="D476" t="s">
        <v>269</v>
      </c>
      <c r="E476">
        <v>82</v>
      </c>
      <c r="H476">
        <v>55</v>
      </c>
      <c r="J476">
        <v>0</v>
      </c>
      <c r="K476">
        <v>27</v>
      </c>
    </row>
    <row r="477" spans="1:11" hidden="1" x14ac:dyDescent="0.25">
      <c r="A477" t="s">
        <v>192</v>
      </c>
      <c r="B477" t="s">
        <v>232</v>
      </c>
      <c r="C477" t="s">
        <v>60</v>
      </c>
      <c r="D477" t="s">
        <v>291</v>
      </c>
      <c r="E477">
        <v>143</v>
      </c>
      <c r="H477">
        <v>58</v>
      </c>
      <c r="J477">
        <v>0</v>
      </c>
      <c r="K477">
        <v>85</v>
      </c>
    </row>
    <row r="478" spans="1:11" hidden="1" x14ac:dyDescent="0.25">
      <c r="A478" t="s">
        <v>257</v>
      </c>
      <c r="B478" t="s">
        <v>232</v>
      </c>
      <c r="C478" t="s">
        <v>34</v>
      </c>
      <c r="D478" t="s">
        <v>287</v>
      </c>
      <c r="E478">
        <v>428</v>
      </c>
      <c r="H478">
        <v>185</v>
      </c>
      <c r="J478">
        <v>200</v>
      </c>
      <c r="K478">
        <v>43</v>
      </c>
    </row>
    <row r="479" spans="1:11" hidden="1" x14ac:dyDescent="0.25">
      <c r="A479" t="s">
        <v>190</v>
      </c>
      <c r="B479" t="s">
        <v>233</v>
      </c>
      <c r="C479" t="s">
        <v>50</v>
      </c>
      <c r="D479" t="s">
        <v>995</v>
      </c>
      <c r="E479">
        <v>20</v>
      </c>
      <c r="K479">
        <v>20</v>
      </c>
    </row>
    <row r="480" spans="1:11" hidden="1" x14ac:dyDescent="0.25">
      <c r="A480" t="s">
        <v>240</v>
      </c>
      <c r="B480" t="s">
        <v>232</v>
      </c>
      <c r="C480" t="s">
        <v>59</v>
      </c>
      <c r="D480" t="s">
        <v>290</v>
      </c>
      <c r="E480">
        <v>86</v>
      </c>
      <c r="H480">
        <v>18</v>
      </c>
      <c r="K480">
        <v>68</v>
      </c>
    </row>
    <row r="481" spans="1:11" hidden="1" x14ac:dyDescent="0.25">
      <c r="A481" t="s">
        <v>190</v>
      </c>
      <c r="B481" t="s">
        <v>233</v>
      </c>
      <c r="C481" t="s">
        <v>57</v>
      </c>
      <c r="D481" t="s">
        <v>345</v>
      </c>
      <c r="E481">
        <v>16</v>
      </c>
      <c r="K481">
        <v>16</v>
      </c>
    </row>
    <row r="482" spans="1:11" hidden="1" x14ac:dyDescent="0.25">
      <c r="A482" t="s">
        <v>192</v>
      </c>
      <c r="B482" t="s">
        <v>233</v>
      </c>
      <c r="C482" t="s">
        <v>68</v>
      </c>
      <c r="D482" t="s">
        <v>341</v>
      </c>
      <c r="E482">
        <v>12</v>
      </c>
      <c r="K482">
        <v>12</v>
      </c>
    </row>
    <row r="483" spans="1:11" hidden="1" x14ac:dyDescent="0.25">
      <c r="A483" t="s">
        <v>240</v>
      </c>
      <c r="B483" t="s">
        <v>234</v>
      </c>
      <c r="C483" t="s">
        <v>164</v>
      </c>
      <c r="D483" t="s">
        <v>361</v>
      </c>
      <c r="E483">
        <v>165</v>
      </c>
      <c r="I483">
        <v>128</v>
      </c>
      <c r="K483">
        <v>37</v>
      </c>
    </row>
    <row r="484" spans="1:11" hidden="1" x14ac:dyDescent="0.25">
      <c r="A484" t="s">
        <v>257</v>
      </c>
      <c r="B484" t="s">
        <v>232</v>
      </c>
      <c r="C484" t="s">
        <v>56</v>
      </c>
      <c r="D484" t="s">
        <v>282</v>
      </c>
      <c r="E484">
        <v>102</v>
      </c>
      <c r="H484">
        <v>48</v>
      </c>
      <c r="J484">
        <v>0</v>
      </c>
      <c r="K484">
        <v>54</v>
      </c>
    </row>
    <row r="485" spans="1:11" hidden="1" x14ac:dyDescent="0.25">
      <c r="A485" t="s">
        <v>192</v>
      </c>
      <c r="B485" t="s">
        <v>232</v>
      </c>
      <c r="C485" t="s">
        <v>52</v>
      </c>
      <c r="D485" t="s">
        <v>279</v>
      </c>
      <c r="E485">
        <v>253</v>
      </c>
      <c r="H485">
        <v>140</v>
      </c>
      <c r="J485">
        <v>25</v>
      </c>
      <c r="K485">
        <v>88</v>
      </c>
    </row>
    <row r="486" spans="1:11" hidden="1" x14ac:dyDescent="0.25">
      <c r="A486" t="s">
        <v>257</v>
      </c>
      <c r="B486" t="s">
        <v>233</v>
      </c>
      <c r="C486" t="s">
        <v>50</v>
      </c>
      <c r="D486" t="s">
        <v>995</v>
      </c>
      <c r="E486">
        <v>15</v>
      </c>
      <c r="K486">
        <v>15</v>
      </c>
    </row>
    <row r="487" spans="1:11" hidden="1" x14ac:dyDescent="0.25">
      <c r="A487" t="s">
        <v>240</v>
      </c>
      <c r="B487" t="s">
        <v>232</v>
      </c>
      <c r="C487" t="s">
        <v>39</v>
      </c>
      <c r="D487" t="s">
        <v>295</v>
      </c>
      <c r="E487">
        <v>78</v>
      </c>
      <c r="K487">
        <v>78</v>
      </c>
    </row>
    <row r="488" spans="1:11" hidden="1" x14ac:dyDescent="0.25">
      <c r="A488" t="s">
        <v>192</v>
      </c>
      <c r="B488" t="s">
        <v>233</v>
      </c>
      <c r="C488" t="s">
        <v>70</v>
      </c>
      <c r="D488" t="s">
        <v>344</v>
      </c>
      <c r="E488">
        <v>13</v>
      </c>
      <c r="K488">
        <v>13</v>
      </c>
    </row>
    <row r="489" spans="1:11" hidden="1" x14ac:dyDescent="0.25">
      <c r="A489" t="s">
        <v>191</v>
      </c>
      <c r="B489" t="s">
        <v>232</v>
      </c>
      <c r="C489" t="s">
        <v>52</v>
      </c>
      <c r="D489" t="s">
        <v>279</v>
      </c>
      <c r="E489">
        <v>238</v>
      </c>
      <c r="H489">
        <v>128</v>
      </c>
      <c r="J489">
        <v>24</v>
      </c>
      <c r="K489">
        <v>86</v>
      </c>
    </row>
    <row r="490" spans="1:11" hidden="1" x14ac:dyDescent="0.25">
      <c r="A490" t="s">
        <v>240</v>
      </c>
      <c r="B490" t="s">
        <v>232</v>
      </c>
      <c r="C490" t="s">
        <v>52</v>
      </c>
      <c r="D490" t="s">
        <v>279</v>
      </c>
      <c r="E490">
        <v>223</v>
      </c>
      <c r="H490">
        <v>126</v>
      </c>
      <c r="J490">
        <v>28</v>
      </c>
      <c r="K490">
        <v>69</v>
      </c>
    </row>
    <row r="491" spans="1:11" hidden="1" x14ac:dyDescent="0.25">
      <c r="A491" t="s">
        <v>240</v>
      </c>
      <c r="B491" t="s">
        <v>232</v>
      </c>
      <c r="C491" t="s">
        <v>243</v>
      </c>
      <c r="D491" t="s">
        <v>288</v>
      </c>
      <c r="E491">
        <v>304</v>
      </c>
      <c r="H491">
        <v>11</v>
      </c>
      <c r="K491">
        <v>293</v>
      </c>
    </row>
    <row r="492" spans="1:11" hidden="1" x14ac:dyDescent="0.25">
      <c r="A492" t="s">
        <v>191</v>
      </c>
      <c r="B492" t="s">
        <v>232</v>
      </c>
      <c r="C492" t="s">
        <v>49</v>
      </c>
      <c r="D492" t="s">
        <v>277</v>
      </c>
      <c r="E492">
        <v>194</v>
      </c>
      <c r="H492">
        <v>90</v>
      </c>
      <c r="J492">
        <v>26</v>
      </c>
      <c r="K492">
        <v>78</v>
      </c>
    </row>
    <row r="493" spans="1:11" hidden="1" x14ac:dyDescent="0.25">
      <c r="A493" t="s">
        <v>257</v>
      </c>
      <c r="B493" t="s">
        <v>233</v>
      </c>
      <c r="C493" t="s">
        <v>71</v>
      </c>
      <c r="D493" t="s">
        <v>346</v>
      </c>
      <c r="E493">
        <v>16</v>
      </c>
      <c r="K493">
        <v>16</v>
      </c>
    </row>
    <row r="494" spans="1:11" hidden="1" x14ac:dyDescent="0.25">
      <c r="A494" t="s">
        <v>192</v>
      </c>
      <c r="B494" t="s">
        <v>233</v>
      </c>
      <c r="C494" t="s">
        <v>64</v>
      </c>
      <c r="D494" t="s">
        <v>337</v>
      </c>
      <c r="E494">
        <v>23</v>
      </c>
      <c r="K494">
        <v>23</v>
      </c>
    </row>
    <row r="495" spans="1:11" hidden="1" x14ac:dyDescent="0.25">
      <c r="A495" t="s">
        <v>190</v>
      </c>
      <c r="B495" t="s">
        <v>233</v>
      </c>
      <c r="C495" t="s">
        <v>66</v>
      </c>
      <c r="D495" t="s">
        <v>339</v>
      </c>
      <c r="E495">
        <v>29</v>
      </c>
      <c r="K495">
        <v>29</v>
      </c>
    </row>
    <row r="496" spans="1:11" hidden="1" x14ac:dyDescent="0.25">
      <c r="A496" t="s">
        <v>191</v>
      </c>
      <c r="B496" t="s">
        <v>233</v>
      </c>
      <c r="C496" t="s">
        <v>70</v>
      </c>
      <c r="D496" t="s">
        <v>344</v>
      </c>
      <c r="E496">
        <v>13</v>
      </c>
      <c r="K496">
        <v>13</v>
      </c>
    </row>
    <row r="497" spans="1:11" hidden="1" x14ac:dyDescent="0.25">
      <c r="A497" t="s">
        <v>191</v>
      </c>
      <c r="B497" t="s">
        <v>233</v>
      </c>
      <c r="C497" t="s">
        <v>64</v>
      </c>
      <c r="D497" t="s">
        <v>337</v>
      </c>
      <c r="E497">
        <v>21</v>
      </c>
      <c r="K497">
        <v>21</v>
      </c>
    </row>
    <row r="498" spans="1:11" hidden="1" x14ac:dyDescent="0.25">
      <c r="A498" t="s">
        <v>191</v>
      </c>
      <c r="B498" t="s">
        <v>233</v>
      </c>
      <c r="C498" t="s">
        <v>63</v>
      </c>
      <c r="D498" t="s">
        <v>335</v>
      </c>
      <c r="E498">
        <v>18</v>
      </c>
      <c r="K498">
        <v>18</v>
      </c>
    </row>
    <row r="499" spans="1:11" hidden="1" x14ac:dyDescent="0.25">
      <c r="A499" t="s">
        <v>257</v>
      </c>
      <c r="B499" t="s">
        <v>232</v>
      </c>
      <c r="C499" t="s">
        <v>50</v>
      </c>
      <c r="D499" t="s">
        <v>294</v>
      </c>
      <c r="E499">
        <v>208</v>
      </c>
      <c r="H499">
        <v>35</v>
      </c>
      <c r="J499">
        <v>0</v>
      </c>
      <c r="K499">
        <v>173</v>
      </c>
    </row>
    <row r="500" spans="1:11" hidden="1" x14ac:dyDescent="0.25">
      <c r="A500" t="s">
        <v>192</v>
      </c>
      <c r="B500" t="s">
        <v>234</v>
      </c>
      <c r="C500" t="s">
        <v>163</v>
      </c>
      <c r="D500" t="s">
        <v>362</v>
      </c>
      <c r="E500">
        <v>527</v>
      </c>
      <c r="I500">
        <v>416</v>
      </c>
      <c r="K500">
        <v>111</v>
      </c>
    </row>
    <row r="501" spans="1:11" hidden="1" x14ac:dyDescent="0.25">
      <c r="A501" t="s">
        <v>192</v>
      </c>
      <c r="B501" t="s">
        <v>232</v>
      </c>
      <c r="C501" t="s">
        <v>45</v>
      </c>
      <c r="D501" t="s">
        <v>274</v>
      </c>
      <c r="E501">
        <v>120</v>
      </c>
      <c r="H501">
        <v>42</v>
      </c>
      <c r="J501">
        <v>0</v>
      </c>
      <c r="K501">
        <v>78</v>
      </c>
    </row>
    <row r="502" spans="1:11" hidden="1" x14ac:dyDescent="0.25">
      <c r="A502" t="s">
        <v>240</v>
      </c>
      <c r="B502" t="s">
        <v>233</v>
      </c>
      <c r="C502" t="s">
        <v>165</v>
      </c>
      <c r="D502" t="s">
        <v>342</v>
      </c>
      <c r="E502">
        <v>31</v>
      </c>
      <c r="K502">
        <v>31</v>
      </c>
    </row>
    <row r="503" spans="1:11" hidden="1" x14ac:dyDescent="0.25">
      <c r="A503" t="s">
        <v>191</v>
      </c>
      <c r="B503" t="s">
        <v>232</v>
      </c>
      <c r="C503" t="s">
        <v>59</v>
      </c>
      <c r="D503" t="s">
        <v>290</v>
      </c>
      <c r="E503">
        <v>95</v>
      </c>
      <c r="H503">
        <v>21</v>
      </c>
      <c r="J503">
        <v>0</v>
      </c>
      <c r="K503">
        <v>74</v>
      </c>
    </row>
    <row r="504" spans="1:11" hidden="1" x14ac:dyDescent="0.25">
      <c r="A504" t="s">
        <v>190</v>
      </c>
      <c r="B504" t="s">
        <v>233</v>
      </c>
      <c r="C504" t="s">
        <v>31</v>
      </c>
      <c r="D504" t="s">
        <v>334</v>
      </c>
      <c r="E504">
        <v>16</v>
      </c>
      <c r="K504">
        <v>16</v>
      </c>
    </row>
    <row r="505" spans="1:11" hidden="1" x14ac:dyDescent="0.25">
      <c r="A505" t="s">
        <v>190</v>
      </c>
      <c r="B505" t="s">
        <v>234</v>
      </c>
      <c r="C505" t="s">
        <v>163</v>
      </c>
      <c r="D505" t="s">
        <v>362</v>
      </c>
      <c r="E505">
        <v>302</v>
      </c>
      <c r="I505">
        <v>286</v>
      </c>
      <c r="K505">
        <v>16</v>
      </c>
    </row>
    <row r="506" spans="1:11" hidden="1" x14ac:dyDescent="0.25">
      <c r="A506" t="s">
        <v>191</v>
      </c>
      <c r="B506" t="s">
        <v>233</v>
      </c>
      <c r="C506" t="s">
        <v>67</v>
      </c>
      <c r="D506" t="s">
        <v>340</v>
      </c>
      <c r="E506">
        <v>17</v>
      </c>
      <c r="K506">
        <v>17</v>
      </c>
    </row>
    <row r="507" spans="1:11" hidden="1" x14ac:dyDescent="0.25">
      <c r="A507" t="s">
        <v>190</v>
      </c>
      <c r="B507" t="s">
        <v>233</v>
      </c>
      <c r="C507" t="s">
        <v>68</v>
      </c>
      <c r="D507" t="s">
        <v>341</v>
      </c>
      <c r="E507">
        <v>17</v>
      </c>
      <c r="K507">
        <v>17</v>
      </c>
    </row>
    <row r="508" spans="1:11" hidden="1" x14ac:dyDescent="0.25">
      <c r="A508" t="s">
        <v>1108</v>
      </c>
      <c r="B508" t="s">
        <v>233</v>
      </c>
      <c r="C508" t="s">
        <v>1040</v>
      </c>
      <c r="E508">
        <v>27</v>
      </c>
      <c r="F508">
        <v>0</v>
      </c>
      <c r="G508">
        <v>2</v>
      </c>
      <c r="H508">
        <v>0</v>
      </c>
      <c r="I508">
        <v>0</v>
      </c>
      <c r="J508">
        <v>0</v>
      </c>
      <c r="K508">
        <v>27</v>
      </c>
    </row>
    <row r="509" spans="1:11" hidden="1" x14ac:dyDescent="0.25">
      <c r="A509" t="s">
        <v>1108</v>
      </c>
      <c r="B509" t="s">
        <v>233</v>
      </c>
      <c r="C509" t="s">
        <v>1038</v>
      </c>
      <c r="E509">
        <v>22</v>
      </c>
      <c r="F509">
        <v>0</v>
      </c>
      <c r="G509">
        <v>9</v>
      </c>
      <c r="H509">
        <v>0</v>
      </c>
      <c r="I509">
        <v>0</v>
      </c>
      <c r="J509">
        <v>0</v>
      </c>
      <c r="K509">
        <v>22</v>
      </c>
    </row>
    <row r="510" spans="1:11" hidden="1" x14ac:dyDescent="0.25">
      <c r="A510" t="s">
        <v>240</v>
      </c>
      <c r="B510" t="s">
        <v>233</v>
      </c>
      <c r="C510" t="s">
        <v>50</v>
      </c>
      <c r="D510" t="s">
        <v>995</v>
      </c>
      <c r="E510">
        <v>17</v>
      </c>
      <c r="K510">
        <v>17</v>
      </c>
    </row>
    <row r="511" spans="1:11" hidden="1" x14ac:dyDescent="0.25">
      <c r="A511" t="s">
        <v>190</v>
      </c>
      <c r="B511" t="s">
        <v>232</v>
      </c>
      <c r="C511" t="s">
        <v>57</v>
      </c>
      <c r="D511" t="s">
        <v>283</v>
      </c>
      <c r="E511">
        <v>252</v>
      </c>
      <c r="H511">
        <v>71</v>
      </c>
      <c r="J511">
        <v>3</v>
      </c>
      <c r="K511">
        <v>178</v>
      </c>
    </row>
    <row r="512" spans="1:11" hidden="1" x14ac:dyDescent="0.25">
      <c r="A512" t="s">
        <v>190</v>
      </c>
      <c r="B512" t="s">
        <v>232</v>
      </c>
      <c r="C512" t="s">
        <v>44</v>
      </c>
      <c r="D512" t="s">
        <v>273</v>
      </c>
      <c r="E512">
        <v>661</v>
      </c>
      <c r="H512">
        <v>525</v>
      </c>
      <c r="J512">
        <v>68</v>
      </c>
      <c r="K512">
        <v>68</v>
      </c>
    </row>
    <row r="513" spans="1:11" hidden="1" x14ac:dyDescent="0.25">
      <c r="A513" t="s">
        <v>191</v>
      </c>
      <c r="B513" t="s">
        <v>233</v>
      </c>
      <c r="C513" t="s">
        <v>50</v>
      </c>
      <c r="D513" t="s">
        <v>995</v>
      </c>
      <c r="E513">
        <v>16</v>
      </c>
      <c r="K513">
        <v>16</v>
      </c>
    </row>
    <row r="514" spans="1:11" hidden="1" x14ac:dyDescent="0.25">
      <c r="A514" t="s">
        <v>192</v>
      </c>
      <c r="B514" t="s">
        <v>233</v>
      </c>
      <c r="C514" t="s">
        <v>36</v>
      </c>
      <c r="D514" t="s">
        <v>338</v>
      </c>
      <c r="E514">
        <v>16</v>
      </c>
      <c r="K514">
        <v>16</v>
      </c>
    </row>
    <row r="515" spans="1:11" hidden="1" x14ac:dyDescent="0.25">
      <c r="A515" t="s">
        <v>191</v>
      </c>
      <c r="B515" t="s">
        <v>232</v>
      </c>
      <c r="C515" t="s">
        <v>38</v>
      </c>
      <c r="D515" t="s">
        <v>268</v>
      </c>
      <c r="E515">
        <v>136</v>
      </c>
      <c r="H515">
        <v>80</v>
      </c>
      <c r="J515">
        <v>0</v>
      </c>
      <c r="K515">
        <v>56</v>
      </c>
    </row>
    <row r="516" spans="1:11" hidden="1" x14ac:dyDescent="0.25">
      <c r="A516" t="s">
        <v>190</v>
      </c>
      <c r="B516" t="s">
        <v>233</v>
      </c>
      <c r="C516" t="s">
        <v>63</v>
      </c>
      <c r="D516" t="s">
        <v>335</v>
      </c>
      <c r="E516">
        <v>27</v>
      </c>
      <c r="K516">
        <v>27</v>
      </c>
    </row>
    <row r="517" spans="1:11" hidden="1" x14ac:dyDescent="0.25">
      <c r="A517" t="s">
        <v>191</v>
      </c>
      <c r="B517" t="s">
        <v>233</v>
      </c>
      <c r="C517" t="s">
        <v>57</v>
      </c>
      <c r="D517" t="s">
        <v>345</v>
      </c>
      <c r="E517">
        <v>10</v>
      </c>
      <c r="K517">
        <v>10</v>
      </c>
    </row>
    <row r="518" spans="1:11" hidden="1" x14ac:dyDescent="0.25">
      <c r="A518" t="s">
        <v>190</v>
      </c>
      <c r="B518" t="s">
        <v>233</v>
      </c>
      <c r="C518" t="s">
        <v>43</v>
      </c>
      <c r="D518" t="s">
        <v>993</v>
      </c>
      <c r="E518">
        <v>26</v>
      </c>
      <c r="K518">
        <v>26</v>
      </c>
    </row>
    <row r="519" spans="1:11" hidden="1" x14ac:dyDescent="0.25">
      <c r="A519" t="s">
        <v>192</v>
      </c>
      <c r="B519" t="s">
        <v>232</v>
      </c>
      <c r="C519" t="s">
        <v>37</v>
      </c>
      <c r="D519" t="s">
        <v>293</v>
      </c>
      <c r="E519">
        <v>229</v>
      </c>
      <c r="H519">
        <v>14</v>
      </c>
      <c r="J519">
        <v>0</v>
      </c>
      <c r="K519">
        <v>215</v>
      </c>
    </row>
    <row r="520" spans="1:11" hidden="1" x14ac:dyDescent="0.25">
      <c r="A520" t="s">
        <v>190</v>
      </c>
      <c r="B520" t="s">
        <v>232</v>
      </c>
      <c r="C520" t="s">
        <v>49</v>
      </c>
      <c r="D520" t="s">
        <v>277</v>
      </c>
      <c r="E520">
        <v>208</v>
      </c>
      <c r="H520">
        <v>108</v>
      </c>
      <c r="J520">
        <v>22</v>
      </c>
      <c r="K520">
        <v>78</v>
      </c>
    </row>
    <row r="521" spans="1:11" hidden="1" x14ac:dyDescent="0.25">
      <c r="A521" t="s">
        <v>240</v>
      </c>
      <c r="B521" t="s">
        <v>232</v>
      </c>
      <c r="C521" t="s">
        <v>53</v>
      </c>
      <c r="D521" t="s">
        <v>289</v>
      </c>
      <c r="E521">
        <v>110</v>
      </c>
      <c r="H521">
        <v>16</v>
      </c>
      <c r="K521">
        <v>94</v>
      </c>
    </row>
    <row r="522" spans="1:11" hidden="1" x14ac:dyDescent="0.25">
      <c r="A522" t="s">
        <v>257</v>
      </c>
      <c r="B522" t="s">
        <v>233</v>
      </c>
      <c r="C522" t="s">
        <v>67</v>
      </c>
      <c r="D522" t="s">
        <v>340</v>
      </c>
      <c r="E522">
        <v>31</v>
      </c>
      <c r="K522">
        <v>31</v>
      </c>
    </row>
    <row r="523" spans="1:11" hidden="1" x14ac:dyDescent="0.25">
      <c r="A523" t="s">
        <v>257</v>
      </c>
      <c r="B523" t="s">
        <v>232</v>
      </c>
      <c r="C523" t="s">
        <v>43</v>
      </c>
      <c r="D523" t="s">
        <v>297</v>
      </c>
      <c r="E523">
        <v>379</v>
      </c>
      <c r="H523">
        <v>109</v>
      </c>
      <c r="J523">
        <v>0</v>
      </c>
      <c r="K523">
        <v>270</v>
      </c>
    </row>
    <row r="524" spans="1:11" hidden="1" x14ac:dyDescent="0.25">
      <c r="A524" t="s">
        <v>190</v>
      </c>
      <c r="B524" t="s">
        <v>234</v>
      </c>
      <c r="C524" t="s">
        <v>164</v>
      </c>
      <c r="D524" t="s">
        <v>361</v>
      </c>
      <c r="E524">
        <v>149</v>
      </c>
      <c r="I524">
        <v>124</v>
      </c>
      <c r="K524">
        <v>25</v>
      </c>
    </row>
    <row r="525" spans="1:11" hidden="1" x14ac:dyDescent="0.25">
      <c r="A525" t="s">
        <v>190</v>
      </c>
      <c r="B525" t="s">
        <v>233</v>
      </c>
      <c r="C525" t="s">
        <v>117</v>
      </c>
      <c r="D525" t="s">
        <v>994</v>
      </c>
      <c r="E525">
        <v>32</v>
      </c>
      <c r="K525">
        <v>32</v>
      </c>
    </row>
    <row r="526" spans="1:11" hidden="1" x14ac:dyDescent="0.25">
      <c r="A526" t="s">
        <v>192</v>
      </c>
      <c r="B526" t="s">
        <v>232</v>
      </c>
      <c r="C526" t="s">
        <v>40</v>
      </c>
      <c r="D526" t="s">
        <v>269</v>
      </c>
      <c r="E526">
        <v>81</v>
      </c>
      <c r="H526">
        <v>52</v>
      </c>
      <c r="J526">
        <v>0</v>
      </c>
      <c r="K526">
        <v>29</v>
      </c>
    </row>
    <row r="527" spans="1:11" hidden="1" x14ac:dyDescent="0.25">
      <c r="A527" t="s">
        <v>191</v>
      </c>
      <c r="B527" t="s">
        <v>232</v>
      </c>
      <c r="C527" t="s">
        <v>45</v>
      </c>
      <c r="D527" t="s">
        <v>274</v>
      </c>
      <c r="E527">
        <v>117</v>
      </c>
      <c r="H527">
        <v>40</v>
      </c>
      <c r="J527">
        <v>0</v>
      </c>
      <c r="K527">
        <v>77</v>
      </c>
    </row>
    <row r="528" spans="1:11" hidden="1" x14ac:dyDescent="0.25">
      <c r="A528" t="s">
        <v>257</v>
      </c>
      <c r="B528" t="s">
        <v>233</v>
      </c>
      <c r="C528" t="s">
        <v>70</v>
      </c>
      <c r="D528" t="s">
        <v>344</v>
      </c>
      <c r="E528">
        <v>37</v>
      </c>
      <c r="K528">
        <v>37</v>
      </c>
    </row>
    <row r="529" spans="1:11" hidden="1" x14ac:dyDescent="0.25">
      <c r="A529" t="s">
        <v>190</v>
      </c>
      <c r="B529" t="s">
        <v>232</v>
      </c>
      <c r="C529" t="s">
        <v>58</v>
      </c>
      <c r="D529" t="s">
        <v>284</v>
      </c>
      <c r="E529">
        <v>124</v>
      </c>
      <c r="H529">
        <v>73</v>
      </c>
      <c r="J529">
        <v>0</v>
      </c>
      <c r="K529">
        <v>51</v>
      </c>
    </row>
    <row r="530" spans="1:11" hidden="1" x14ac:dyDescent="0.25">
      <c r="A530" t="s">
        <v>257</v>
      </c>
      <c r="B530" t="s">
        <v>232</v>
      </c>
      <c r="C530" t="s">
        <v>57</v>
      </c>
      <c r="D530" t="s">
        <v>283</v>
      </c>
      <c r="E530">
        <v>248</v>
      </c>
      <c r="H530">
        <v>74</v>
      </c>
      <c r="J530">
        <v>3</v>
      </c>
      <c r="K530">
        <v>171</v>
      </c>
    </row>
    <row r="531" spans="1:11" hidden="1" x14ac:dyDescent="0.25">
      <c r="A531" t="s">
        <v>257</v>
      </c>
      <c r="B531" t="s">
        <v>232</v>
      </c>
      <c r="C531" t="s">
        <v>117</v>
      </c>
      <c r="D531" t="s">
        <v>296</v>
      </c>
      <c r="E531">
        <v>475</v>
      </c>
      <c r="H531">
        <v>0</v>
      </c>
      <c r="J531">
        <v>0</v>
      </c>
      <c r="K531">
        <v>475</v>
      </c>
    </row>
    <row r="532" spans="1:11" hidden="1" x14ac:dyDescent="0.25">
      <c r="A532" t="s">
        <v>190</v>
      </c>
      <c r="B532" t="s">
        <v>232</v>
      </c>
      <c r="C532" t="s">
        <v>45</v>
      </c>
      <c r="D532" t="s">
        <v>274</v>
      </c>
      <c r="E532">
        <v>111</v>
      </c>
      <c r="H532">
        <v>41</v>
      </c>
      <c r="J532">
        <v>0</v>
      </c>
      <c r="K532">
        <v>70</v>
      </c>
    </row>
    <row r="533" spans="1:11" hidden="1" x14ac:dyDescent="0.25">
      <c r="A533" t="s">
        <v>257</v>
      </c>
      <c r="B533" t="s">
        <v>232</v>
      </c>
      <c r="C533" t="s">
        <v>37</v>
      </c>
      <c r="D533" t="s">
        <v>293</v>
      </c>
      <c r="E533">
        <v>205</v>
      </c>
      <c r="H533">
        <v>13</v>
      </c>
      <c r="J533">
        <v>0</v>
      </c>
      <c r="K533">
        <v>192</v>
      </c>
    </row>
    <row r="534" spans="1:11" hidden="1" x14ac:dyDescent="0.25">
      <c r="A534" t="s">
        <v>257</v>
      </c>
      <c r="B534" t="s">
        <v>233</v>
      </c>
      <c r="C534" t="s">
        <v>57</v>
      </c>
      <c r="D534" t="s">
        <v>345</v>
      </c>
      <c r="E534">
        <v>15</v>
      </c>
      <c r="K534">
        <v>15</v>
      </c>
    </row>
    <row r="535" spans="1:11" hidden="1" x14ac:dyDescent="0.25">
      <c r="A535" t="s">
        <v>760</v>
      </c>
      <c r="B535" t="s">
        <v>233</v>
      </c>
      <c r="C535" t="s">
        <v>69</v>
      </c>
      <c r="D535" t="s">
        <v>361</v>
      </c>
      <c r="E535">
        <v>19</v>
      </c>
      <c r="F535">
        <v>0</v>
      </c>
      <c r="G535">
        <v>1</v>
      </c>
      <c r="H535">
        <v>0</v>
      </c>
      <c r="I535">
        <v>0</v>
      </c>
      <c r="J535">
        <v>0</v>
      </c>
      <c r="K535">
        <v>19</v>
      </c>
    </row>
    <row r="536" spans="1:11" hidden="1" x14ac:dyDescent="0.25">
      <c r="A536" t="s">
        <v>1010</v>
      </c>
      <c r="B536" t="s">
        <v>233</v>
      </c>
      <c r="C536" t="s">
        <v>36</v>
      </c>
      <c r="E536">
        <v>22</v>
      </c>
      <c r="F536">
        <v>0</v>
      </c>
      <c r="G536">
        <v>4</v>
      </c>
      <c r="H536">
        <v>0</v>
      </c>
      <c r="I536">
        <v>0</v>
      </c>
      <c r="J536">
        <v>0</v>
      </c>
      <c r="K536">
        <v>22</v>
      </c>
    </row>
    <row r="537" spans="1:11" hidden="1" x14ac:dyDescent="0.25">
      <c r="A537" t="s">
        <v>1010</v>
      </c>
      <c r="B537" t="s">
        <v>232</v>
      </c>
      <c r="C537" t="s">
        <v>49</v>
      </c>
      <c r="E537">
        <v>188</v>
      </c>
      <c r="F537">
        <v>0</v>
      </c>
      <c r="G537">
        <v>0</v>
      </c>
      <c r="H537">
        <v>95</v>
      </c>
      <c r="I537">
        <v>0</v>
      </c>
      <c r="J537">
        <v>19</v>
      </c>
      <c r="K537">
        <v>74</v>
      </c>
    </row>
    <row r="538" spans="1:11" hidden="1" x14ac:dyDescent="0.25">
      <c r="A538" t="s">
        <v>239</v>
      </c>
      <c r="B538" t="s">
        <v>232</v>
      </c>
      <c r="C538" t="s">
        <v>54</v>
      </c>
      <c r="D538" t="s">
        <v>280</v>
      </c>
      <c r="E538">
        <v>199</v>
      </c>
      <c r="F538">
        <v>0</v>
      </c>
      <c r="G538">
        <v>0</v>
      </c>
      <c r="H538">
        <v>143</v>
      </c>
      <c r="I538">
        <v>0</v>
      </c>
      <c r="J538">
        <v>0</v>
      </c>
      <c r="K538">
        <v>56</v>
      </c>
    </row>
    <row r="539" spans="1:11" hidden="1" x14ac:dyDescent="0.25">
      <c r="A539" t="s">
        <v>239</v>
      </c>
      <c r="B539" t="s">
        <v>232</v>
      </c>
      <c r="C539" t="s">
        <v>53</v>
      </c>
      <c r="D539" t="s">
        <v>289</v>
      </c>
      <c r="E539">
        <v>116</v>
      </c>
      <c r="F539">
        <v>0</v>
      </c>
      <c r="G539">
        <v>0</v>
      </c>
      <c r="H539">
        <v>17</v>
      </c>
      <c r="I539">
        <v>0</v>
      </c>
      <c r="J539">
        <v>0</v>
      </c>
      <c r="K539">
        <v>99</v>
      </c>
    </row>
    <row r="540" spans="1:11" hidden="1" x14ac:dyDescent="0.25">
      <c r="A540" t="s">
        <v>191</v>
      </c>
      <c r="B540" t="s">
        <v>232</v>
      </c>
      <c r="C540" t="s">
        <v>31</v>
      </c>
      <c r="D540" t="s">
        <v>285</v>
      </c>
      <c r="E540">
        <v>181</v>
      </c>
      <c r="H540">
        <v>8</v>
      </c>
      <c r="J540">
        <v>0</v>
      </c>
      <c r="K540">
        <v>173</v>
      </c>
    </row>
    <row r="541" spans="1:11" hidden="1" x14ac:dyDescent="0.25">
      <c r="A541" t="s">
        <v>257</v>
      </c>
      <c r="B541" t="s">
        <v>232</v>
      </c>
      <c r="C541" t="s">
        <v>58</v>
      </c>
      <c r="D541" t="s">
        <v>284</v>
      </c>
      <c r="E541">
        <v>126</v>
      </c>
      <c r="H541">
        <v>73</v>
      </c>
      <c r="J541">
        <v>0</v>
      </c>
      <c r="K541">
        <v>53</v>
      </c>
    </row>
    <row r="542" spans="1:11" hidden="1" x14ac:dyDescent="0.25">
      <c r="A542" t="s">
        <v>257</v>
      </c>
      <c r="B542" t="s">
        <v>232</v>
      </c>
      <c r="C542" t="s">
        <v>54</v>
      </c>
      <c r="D542" t="s">
        <v>280</v>
      </c>
      <c r="E542">
        <v>199</v>
      </c>
      <c r="H542">
        <v>143</v>
      </c>
      <c r="J542">
        <v>0</v>
      </c>
      <c r="K542">
        <v>56</v>
      </c>
    </row>
    <row r="543" spans="1:11" hidden="1" x14ac:dyDescent="0.25">
      <c r="A543" t="s">
        <v>257</v>
      </c>
      <c r="B543" t="s">
        <v>232</v>
      </c>
      <c r="C543" t="s">
        <v>35</v>
      </c>
      <c r="D543" t="s">
        <v>266</v>
      </c>
      <c r="E543">
        <v>46</v>
      </c>
      <c r="H543">
        <v>24</v>
      </c>
      <c r="J543">
        <v>0</v>
      </c>
      <c r="K543">
        <v>22</v>
      </c>
    </row>
    <row r="544" spans="1:11" hidden="1" x14ac:dyDescent="0.25">
      <c r="A544" t="s">
        <v>192</v>
      </c>
      <c r="B544" t="s">
        <v>232</v>
      </c>
      <c r="C544" t="s">
        <v>117</v>
      </c>
      <c r="D544" t="s">
        <v>296</v>
      </c>
      <c r="E544">
        <v>562</v>
      </c>
      <c r="H544">
        <v>2</v>
      </c>
      <c r="J544">
        <v>0</v>
      </c>
      <c r="K544">
        <v>560</v>
      </c>
    </row>
    <row r="545" spans="1:11" hidden="1" x14ac:dyDescent="0.25">
      <c r="A545" t="s">
        <v>190</v>
      </c>
      <c r="B545" t="s">
        <v>232</v>
      </c>
      <c r="C545" t="s">
        <v>35</v>
      </c>
      <c r="D545" t="s">
        <v>266</v>
      </c>
      <c r="E545">
        <v>47</v>
      </c>
      <c r="H545">
        <v>21</v>
      </c>
      <c r="J545">
        <v>0</v>
      </c>
      <c r="K545">
        <v>26</v>
      </c>
    </row>
    <row r="546" spans="1:11" hidden="1" x14ac:dyDescent="0.25">
      <c r="A546" t="s">
        <v>191</v>
      </c>
      <c r="B546" t="s">
        <v>232</v>
      </c>
      <c r="C546" t="s">
        <v>33</v>
      </c>
      <c r="D546" t="s">
        <v>292</v>
      </c>
      <c r="E546">
        <v>122</v>
      </c>
      <c r="H546">
        <v>95</v>
      </c>
      <c r="J546">
        <v>0</v>
      </c>
      <c r="K546">
        <v>27</v>
      </c>
    </row>
    <row r="547" spans="1:11" hidden="1" x14ac:dyDescent="0.25">
      <c r="A547" t="s">
        <v>240</v>
      </c>
      <c r="B547" t="s">
        <v>233</v>
      </c>
      <c r="C547" t="s">
        <v>31</v>
      </c>
      <c r="D547" t="s">
        <v>334</v>
      </c>
      <c r="E547">
        <v>15</v>
      </c>
      <c r="K547">
        <v>15</v>
      </c>
    </row>
    <row r="548" spans="1:11" hidden="1" x14ac:dyDescent="0.25">
      <c r="A548" t="s">
        <v>192</v>
      </c>
      <c r="B548" t="s">
        <v>232</v>
      </c>
      <c r="C548" t="s">
        <v>53</v>
      </c>
      <c r="D548" t="s">
        <v>289</v>
      </c>
      <c r="E548">
        <v>130</v>
      </c>
      <c r="H548">
        <v>14</v>
      </c>
      <c r="J548">
        <v>0</v>
      </c>
      <c r="K548">
        <v>116</v>
      </c>
    </row>
    <row r="549" spans="1:11" hidden="1" x14ac:dyDescent="0.25">
      <c r="A549" t="s">
        <v>190</v>
      </c>
      <c r="B549" t="s">
        <v>233</v>
      </c>
      <c r="C549" t="s">
        <v>70</v>
      </c>
      <c r="D549" t="s">
        <v>344</v>
      </c>
      <c r="E549">
        <v>29</v>
      </c>
      <c r="K549">
        <v>29</v>
      </c>
    </row>
    <row r="550" spans="1:11" hidden="1" x14ac:dyDescent="0.25">
      <c r="A550" t="s">
        <v>257</v>
      </c>
      <c r="B550" t="s">
        <v>232</v>
      </c>
      <c r="C550" t="s">
        <v>53</v>
      </c>
      <c r="D550" t="s">
        <v>289</v>
      </c>
      <c r="E550">
        <v>110</v>
      </c>
      <c r="H550">
        <v>13</v>
      </c>
      <c r="J550">
        <v>0</v>
      </c>
      <c r="K550">
        <v>97</v>
      </c>
    </row>
    <row r="551" spans="1:11" hidden="1" x14ac:dyDescent="0.25">
      <c r="A551" t="s">
        <v>192</v>
      </c>
      <c r="B551" t="s">
        <v>234</v>
      </c>
      <c r="C551" t="s">
        <v>164</v>
      </c>
      <c r="D551" t="s">
        <v>361</v>
      </c>
      <c r="E551">
        <v>255</v>
      </c>
      <c r="I551">
        <v>175</v>
      </c>
      <c r="K551">
        <v>80</v>
      </c>
    </row>
    <row r="552" spans="1:11" hidden="1" x14ac:dyDescent="0.25">
      <c r="A552" t="s">
        <v>192</v>
      </c>
      <c r="B552" t="s">
        <v>232</v>
      </c>
      <c r="C552" t="s">
        <v>38</v>
      </c>
      <c r="D552" t="s">
        <v>268</v>
      </c>
      <c r="E552">
        <v>136</v>
      </c>
      <c r="H552">
        <v>77</v>
      </c>
      <c r="J552">
        <v>0</v>
      </c>
      <c r="K552">
        <v>59</v>
      </c>
    </row>
    <row r="553" spans="1:11" hidden="1" x14ac:dyDescent="0.25">
      <c r="A553" t="s">
        <v>240</v>
      </c>
      <c r="B553" t="s">
        <v>232</v>
      </c>
      <c r="C553" t="s">
        <v>31</v>
      </c>
      <c r="D553" t="s">
        <v>285</v>
      </c>
      <c r="E553">
        <v>153</v>
      </c>
      <c r="H553">
        <v>8</v>
      </c>
      <c r="K553">
        <v>145</v>
      </c>
    </row>
    <row r="554" spans="1:11" hidden="1" x14ac:dyDescent="0.25">
      <c r="A554" t="s">
        <v>192</v>
      </c>
      <c r="B554" t="s">
        <v>232</v>
      </c>
      <c r="C554" t="s">
        <v>34</v>
      </c>
      <c r="D554" t="s">
        <v>287</v>
      </c>
      <c r="E554">
        <v>448</v>
      </c>
      <c r="H554">
        <v>187</v>
      </c>
      <c r="J554">
        <v>203</v>
      </c>
      <c r="K554">
        <v>58</v>
      </c>
    </row>
    <row r="555" spans="1:11" hidden="1" x14ac:dyDescent="0.25">
      <c r="A555" t="s">
        <v>257</v>
      </c>
      <c r="B555" t="s">
        <v>232</v>
      </c>
      <c r="C555" t="s">
        <v>59</v>
      </c>
      <c r="D555" t="s">
        <v>290</v>
      </c>
      <c r="E555">
        <v>86</v>
      </c>
      <c r="H555">
        <v>17</v>
      </c>
      <c r="J555">
        <v>0</v>
      </c>
      <c r="K555">
        <v>69</v>
      </c>
    </row>
    <row r="556" spans="1:11" hidden="1" x14ac:dyDescent="0.25">
      <c r="A556" t="s">
        <v>257</v>
      </c>
      <c r="B556" t="s">
        <v>232</v>
      </c>
      <c r="C556" t="s">
        <v>45</v>
      </c>
      <c r="D556" t="s">
        <v>274</v>
      </c>
      <c r="E556">
        <v>107</v>
      </c>
      <c r="H556">
        <v>39</v>
      </c>
      <c r="J556">
        <v>0</v>
      </c>
      <c r="K556">
        <v>68</v>
      </c>
    </row>
    <row r="557" spans="1:11" hidden="1" x14ac:dyDescent="0.25">
      <c r="A557" t="s">
        <v>191</v>
      </c>
      <c r="B557" t="s">
        <v>234</v>
      </c>
      <c r="C557" t="s">
        <v>163</v>
      </c>
      <c r="D557" t="s">
        <v>362</v>
      </c>
      <c r="E557">
        <v>445</v>
      </c>
      <c r="I557">
        <v>340</v>
      </c>
      <c r="K557">
        <v>105</v>
      </c>
    </row>
    <row r="558" spans="1:11" hidden="1" x14ac:dyDescent="0.25">
      <c r="A558" t="s">
        <v>190</v>
      </c>
      <c r="B558" t="s">
        <v>232</v>
      </c>
      <c r="C558" t="s">
        <v>117</v>
      </c>
      <c r="D558" t="s">
        <v>296</v>
      </c>
      <c r="E558">
        <v>505</v>
      </c>
      <c r="H558">
        <v>6</v>
      </c>
      <c r="J558">
        <v>0</v>
      </c>
      <c r="K558">
        <v>499</v>
      </c>
    </row>
    <row r="559" spans="1:11" hidden="1" x14ac:dyDescent="0.25">
      <c r="A559" t="s">
        <v>257</v>
      </c>
      <c r="B559" t="s">
        <v>232</v>
      </c>
      <c r="C559" t="s">
        <v>47</v>
      </c>
      <c r="D559" t="s">
        <v>276</v>
      </c>
      <c r="E559">
        <v>156</v>
      </c>
      <c r="H559">
        <v>125</v>
      </c>
      <c r="J559">
        <v>4</v>
      </c>
      <c r="K559">
        <v>27</v>
      </c>
    </row>
    <row r="560" spans="1:11" hidden="1" x14ac:dyDescent="0.25">
      <c r="A560" t="s">
        <v>190</v>
      </c>
      <c r="B560" t="s">
        <v>232</v>
      </c>
      <c r="C560" t="s">
        <v>32</v>
      </c>
      <c r="D560" t="s">
        <v>286</v>
      </c>
      <c r="E560">
        <v>303</v>
      </c>
      <c r="H560">
        <v>271</v>
      </c>
      <c r="J560">
        <v>0</v>
      </c>
      <c r="K560">
        <v>32</v>
      </c>
    </row>
    <row r="561" spans="1:11" hidden="1" x14ac:dyDescent="0.25">
      <c r="A561" t="s">
        <v>240</v>
      </c>
      <c r="B561" t="s">
        <v>232</v>
      </c>
      <c r="C561" t="s">
        <v>41</v>
      </c>
      <c r="D561" t="s">
        <v>270</v>
      </c>
      <c r="E561">
        <v>51</v>
      </c>
      <c r="K561">
        <v>51</v>
      </c>
    </row>
    <row r="562" spans="1:11" hidden="1" x14ac:dyDescent="0.25">
      <c r="A562" t="s">
        <v>190</v>
      </c>
      <c r="B562" t="s">
        <v>232</v>
      </c>
      <c r="C562" t="s">
        <v>40</v>
      </c>
      <c r="D562" t="s">
        <v>269</v>
      </c>
      <c r="E562">
        <v>82</v>
      </c>
      <c r="H562">
        <v>55</v>
      </c>
      <c r="J562">
        <v>0</v>
      </c>
      <c r="K562">
        <v>27</v>
      </c>
    </row>
    <row r="563" spans="1:11" hidden="1" x14ac:dyDescent="0.25">
      <c r="A563" t="s">
        <v>240</v>
      </c>
      <c r="B563" t="s">
        <v>232</v>
      </c>
      <c r="C563" t="s">
        <v>57</v>
      </c>
      <c r="D563" t="s">
        <v>283</v>
      </c>
      <c r="E563">
        <v>241</v>
      </c>
      <c r="H563">
        <v>73</v>
      </c>
      <c r="J563">
        <v>2</v>
      </c>
      <c r="K563">
        <v>166</v>
      </c>
    </row>
    <row r="564" spans="1:11" hidden="1" x14ac:dyDescent="0.25">
      <c r="A564" t="s">
        <v>192</v>
      </c>
      <c r="B564" t="s">
        <v>233</v>
      </c>
      <c r="C564" t="s">
        <v>985</v>
      </c>
      <c r="D564" t="s">
        <v>996</v>
      </c>
      <c r="E564">
        <v>8</v>
      </c>
      <c r="K564">
        <v>8</v>
      </c>
    </row>
    <row r="565" spans="1:11" hidden="1" x14ac:dyDescent="0.25">
      <c r="A565" t="s">
        <v>191</v>
      </c>
      <c r="B565" t="s">
        <v>232</v>
      </c>
      <c r="C565" t="s">
        <v>58</v>
      </c>
      <c r="D565" t="s">
        <v>284</v>
      </c>
      <c r="E565">
        <v>130</v>
      </c>
      <c r="H565">
        <v>75</v>
      </c>
      <c r="J565">
        <v>0</v>
      </c>
      <c r="K565">
        <v>55</v>
      </c>
    </row>
    <row r="566" spans="1:11" hidden="1" x14ac:dyDescent="0.25">
      <c r="A566" t="s">
        <v>240</v>
      </c>
      <c r="B566" t="s">
        <v>232</v>
      </c>
      <c r="C566" t="s">
        <v>40</v>
      </c>
      <c r="D566" t="s">
        <v>269</v>
      </c>
      <c r="E566">
        <v>79</v>
      </c>
      <c r="H566">
        <v>56</v>
      </c>
      <c r="K566">
        <v>23</v>
      </c>
    </row>
    <row r="567" spans="1:11" hidden="1" x14ac:dyDescent="0.25">
      <c r="A567" t="s">
        <v>191</v>
      </c>
      <c r="B567" t="s">
        <v>233</v>
      </c>
      <c r="C567" t="s">
        <v>71</v>
      </c>
      <c r="D567" t="s">
        <v>346</v>
      </c>
      <c r="E567">
        <v>7</v>
      </c>
      <c r="K567">
        <v>7</v>
      </c>
    </row>
    <row r="568" spans="1:11" hidden="1" x14ac:dyDescent="0.25">
      <c r="A568" t="s">
        <v>257</v>
      </c>
      <c r="B568" t="s">
        <v>232</v>
      </c>
      <c r="C568" t="s">
        <v>55</v>
      </c>
      <c r="D568" t="s">
        <v>281</v>
      </c>
      <c r="E568">
        <v>122</v>
      </c>
      <c r="H568">
        <v>122</v>
      </c>
      <c r="J568">
        <v>0</v>
      </c>
      <c r="K568">
        <v>0</v>
      </c>
    </row>
    <row r="569" spans="1:11" hidden="1" x14ac:dyDescent="0.25">
      <c r="A569" t="s">
        <v>240</v>
      </c>
      <c r="B569" t="s">
        <v>233</v>
      </c>
      <c r="C569" t="s">
        <v>70</v>
      </c>
      <c r="D569" t="s">
        <v>344</v>
      </c>
      <c r="E569">
        <v>32</v>
      </c>
      <c r="K569">
        <v>32</v>
      </c>
    </row>
    <row r="570" spans="1:11" hidden="1" x14ac:dyDescent="0.25">
      <c r="A570" t="s">
        <v>190</v>
      </c>
      <c r="B570" t="s">
        <v>233</v>
      </c>
      <c r="C570" t="s">
        <v>71</v>
      </c>
      <c r="D570" t="s">
        <v>346</v>
      </c>
      <c r="E570">
        <v>11</v>
      </c>
      <c r="K570">
        <v>11</v>
      </c>
    </row>
    <row r="571" spans="1:11" hidden="1" x14ac:dyDescent="0.25">
      <c r="A571" t="s">
        <v>240</v>
      </c>
      <c r="B571" t="s">
        <v>232</v>
      </c>
      <c r="C571" t="s">
        <v>32</v>
      </c>
      <c r="D571" t="s">
        <v>286</v>
      </c>
      <c r="E571">
        <v>299</v>
      </c>
      <c r="H571">
        <v>275</v>
      </c>
      <c r="K571">
        <v>24</v>
      </c>
    </row>
    <row r="572" spans="1:11" hidden="1" x14ac:dyDescent="0.25">
      <c r="A572" t="s">
        <v>240</v>
      </c>
      <c r="B572" t="s">
        <v>234</v>
      </c>
      <c r="C572" t="s">
        <v>163</v>
      </c>
      <c r="D572" t="s">
        <v>362</v>
      </c>
      <c r="E572">
        <v>373</v>
      </c>
      <c r="I572">
        <v>300</v>
      </c>
      <c r="K572">
        <v>73</v>
      </c>
    </row>
    <row r="573" spans="1:11" hidden="1" x14ac:dyDescent="0.25">
      <c r="A573" t="s">
        <v>191</v>
      </c>
      <c r="B573" t="s">
        <v>232</v>
      </c>
      <c r="C573" t="s">
        <v>117</v>
      </c>
      <c r="D573" t="s">
        <v>296</v>
      </c>
      <c r="E573">
        <v>544</v>
      </c>
      <c r="H573">
        <v>0</v>
      </c>
      <c r="J573">
        <v>0</v>
      </c>
      <c r="K573">
        <v>544</v>
      </c>
    </row>
    <row r="574" spans="1:11" hidden="1" x14ac:dyDescent="0.25">
      <c r="A574" t="s">
        <v>190</v>
      </c>
      <c r="B574" t="s">
        <v>233</v>
      </c>
      <c r="C574" t="s">
        <v>65</v>
      </c>
      <c r="D574" t="s">
        <v>336</v>
      </c>
      <c r="E574">
        <v>24</v>
      </c>
      <c r="K574">
        <v>24</v>
      </c>
    </row>
    <row r="575" spans="1:11" hidden="1" x14ac:dyDescent="0.25">
      <c r="A575" t="s">
        <v>191</v>
      </c>
      <c r="B575" t="s">
        <v>232</v>
      </c>
      <c r="C575" t="s">
        <v>243</v>
      </c>
      <c r="D575" t="s">
        <v>288</v>
      </c>
      <c r="E575">
        <v>361</v>
      </c>
      <c r="H575">
        <v>13</v>
      </c>
      <c r="J575">
        <v>0</v>
      </c>
      <c r="K575">
        <v>348</v>
      </c>
    </row>
    <row r="576" spans="1:11" hidden="1" x14ac:dyDescent="0.25">
      <c r="A576" t="s">
        <v>192</v>
      </c>
      <c r="B576" t="s">
        <v>232</v>
      </c>
      <c r="C576" t="s">
        <v>32</v>
      </c>
      <c r="D576" t="s">
        <v>286</v>
      </c>
      <c r="E576">
        <v>320</v>
      </c>
      <c r="H576">
        <v>297</v>
      </c>
      <c r="J576">
        <v>0</v>
      </c>
      <c r="K576">
        <v>23</v>
      </c>
    </row>
    <row r="577" spans="1:11" hidden="1" x14ac:dyDescent="0.25">
      <c r="A577" t="s">
        <v>191</v>
      </c>
      <c r="B577" t="s">
        <v>232</v>
      </c>
      <c r="C577" t="s">
        <v>54</v>
      </c>
      <c r="D577" t="s">
        <v>280</v>
      </c>
      <c r="E577">
        <v>224</v>
      </c>
      <c r="H577">
        <v>151</v>
      </c>
      <c r="J577">
        <v>0</v>
      </c>
      <c r="K577">
        <v>73</v>
      </c>
    </row>
    <row r="578" spans="1:11" hidden="1" x14ac:dyDescent="0.25">
      <c r="A578" t="s">
        <v>257</v>
      </c>
      <c r="B578" t="s">
        <v>233</v>
      </c>
      <c r="C578" t="s">
        <v>66</v>
      </c>
      <c r="D578" t="s">
        <v>339</v>
      </c>
      <c r="E578">
        <v>30</v>
      </c>
      <c r="K578">
        <v>30</v>
      </c>
    </row>
    <row r="579" spans="1:11" hidden="1" x14ac:dyDescent="0.25">
      <c r="A579" t="s">
        <v>190</v>
      </c>
      <c r="B579" t="s">
        <v>232</v>
      </c>
      <c r="C579" t="s">
        <v>52</v>
      </c>
      <c r="D579" t="s">
        <v>279</v>
      </c>
      <c r="E579">
        <v>222</v>
      </c>
      <c r="H579">
        <v>126</v>
      </c>
      <c r="J579">
        <v>23</v>
      </c>
      <c r="K579">
        <v>73</v>
      </c>
    </row>
  </sheetData>
  <phoneticPr fontId="53"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I21"/>
  <sheetViews>
    <sheetView showGridLines="0" workbookViewId="0">
      <pane ySplit="2" topLeftCell="A3" activePane="bottomLeft" state="frozen"/>
      <selection pane="bottomLeft" sqref="A1:C1"/>
    </sheetView>
  </sheetViews>
  <sheetFormatPr defaultRowHeight="15" x14ac:dyDescent="0.25"/>
  <cols>
    <col min="1" max="1" width="17.5703125" customWidth="1"/>
    <col min="2" max="7" width="14" customWidth="1"/>
  </cols>
  <sheetData>
    <row r="1" spans="1:7" ht="15.75" customHeight="1" x14ac:dyDescent="0.25">
      <c r="A1" s="993" t="s">
        <v>523</v>
      </c>
      <c r="B1" s="993"/>
      <c r="C1" s="993"/>
    </row>
    <row r="2" spans="1:7" ht="15.75" x14ac:dyDescent="0.25">
      <c r="A2" s="507" t="s">
        <v>511</v>
      </c>
      <c r="B2" s="449"/>
      <c r="C2" s="449"/>
    </row>
    <row r="3" spans="1:7" ht="15.75" x14ac:dyDescent="0.25">
      <c r="D3" s="187"/>
      <c r="E3" s="187"/>
      <c r="F3" s="187"/>
    </row>
    <row r="4" spans="1:7" ht="15.75" x14ac:dyDescent="0.25">
      <c r="A4" s="994" t="s">
        <v>522</v>
      </c>
      <c r="B4" s="994"/>
      <c r="C4" s="994"/>
      <c r="D4" s="994"/>
      <c r="E4" s="994"/>
      <c r="F4" s="994"/>
    </row>
    <row r="5" spans="1:7" ht="15.75" x14ac:dyDescent="0.25">
      <c r="A5" t="s">
        <v>328</v>
      </c>
      <c r="B5" t="s">
        <v>634</v>
      </c>
      <c r="C5" s="234"/>
      <c r="D5" s="234"/>
      <c r="E5" s="234"/>
      <c r="F5" s="234"/>
    </row>
    <row r="6" spans="1:7" ht="15.75" x14ac:dyDescent="0.25">
      <c r="A6" t="s">
        <v>329</v>
      </c>
      <c r="B6" t="s">
        <v>331</v>
      </c>
      <c r="C6" s="234"/>
      <c r="D6" s="234"/>
    </row>
    <row r="7" spans="1:7" ht="15.75" x14ac:dyDescent="0.25">
      <c r="A7" t="s">
        <v>330</v>
      </c>
      <c r="B7" t="s">
        <v>332</v>
      </c>
      <c r="C7" s="234"/>
      <c r="D7" s="234"/>
    </row>
    <row r="8" spans="1:7" ht="15.75" x14ac:dyDescent="0.25">
      <c r="A8" s="234"/>
      <c r="B8" s="234"/>
      <c r="C8" s="234"/>
      <c r="D8" s="234"/>
    </row>
    <row r="9" spans="1:7" s="468" customFormat="1" ht="30.75" customHeight="1" x14ac:dyDescent="0.25">
      <c r="A9" s="173" t="s">
        <v>1</v>
      </c>
      <c r="B9" s="170" t="s">
        <v>115</v>
      </c>
      <c r="C9" s="170" t="s">
        <v>350</v>
      </c>
      <c r="D9" s="170" t="s">
        <v>349</v>
      </c>
      <c r="E9" s="170" t="s">
        <v>183</v>
      </c>
      <c r="F9" s="170" t="s">
        <v>29</v>
      </c>
      <c r="G9" s="170" t="s">
        <v>26</v>
      </c>
    </row>
    <row r="10" spans="1:7" x14ac:dyDescent="0.25">
      <c r="A10" s="176" t="s">
        <v>257</v>
      </c>
      <c r="B10" s="142">
        <v>50</v>
      </c>
      <c r="C10" s="142">
        <v>1</v>
      </c>
      <c r="D10" s="142">
        <v>23</v>
      </c>
      <c r="E10" s="142">
        <v>240</v>
      </c>
      <c r="F10" s="189">
        <v>43</v>
      </c>
      <c r="G10" s="131">
        <v>357</v>
      </c>
    </row>
    <row r="11" spans="1:7" x14ac:dyDescent="0.25">
      <c r="A11" s="176" t="s">
        <v>240</v>
      </c>
      <c r="B11" s="142">
        <v>50</v>
      </c>
      <c r="C11" s="142">
        <v>1</v>
      </c>
      <c r="D11" s="142">
        <v>23</v>
      </c>
      <c r="E11" s="142">
        <v>240</v>
      </c>
      <c r="F11" s="189">
        <v>43</v>
      </c>
      <c r="G11" s="131">
        <v>357</v>
      </c>
    </row>
    <row r="12" spans="1:7" x14ac:dyDescent="0.25">
      <c r="A12" s="176" t="s">
        <v>239</v>
      </c>
      <c r="B12" s="142">
        <v>50</v>
      </c>
      <c r="C12" s="142">
        <v>1</v>
      </c>
      <c r="D12" s="142">
        <v>23</v>
      </c>
      <c r="E12" s="142">
        <v>240</v>
      </c>
      <c r="F12" s="189">
        <v>43</v>
      </c>
      <c r="G12" s="131">
        <v>357</v>
      </c>
    </row>
    <row r="13" spans="1:7" x14ac:dyDescent="0.25">
      <c r="A13" s="176" t="s">
        <v>760</v>
      </c>
      <c r="B13" s="142">
        <v>50</v>
      </c>
      <c r="C13" s="142">
        <v>1</v>
      </c>
      <c r="D13" s="142">
        <v>23</v>
      </c>
      <c r="E13" s="142">
        <v>240</v>
      </c>
      <c r="F13" s="189">
        <v>43</v>
      </c>
      <c r="G13" s="131">
        <v>357</v>
      </c>
    </row>
    <row r="14" spans="1:7" x14ac:dyDescent="0.25">
      <c r="A14" s="176" t="s">
        <v>917</v>
      </c>
      <c r="B14" s="142">
        <v>50</v>
      </c>
      <c r="C14" s="142">
        <v>1</v>
      </c>
      <c r="D14" s="142">
        <v>23</v>
      </c>
      <c r="E14" s="142">
        <v>240</v>
      </c>
      <c r="F14" s="189">
        <v>43</v>
      </c>
      <c r="G14" s="131">
        <v>357</v>
      </c>
    </row>
    <row r="15" spans="1:7" x14ac:dyDescent="0.25">
      <c r="A15" s="176" t="s">
        <v>1010</v>
      </c>
      <c r="B15" s="142">
        <v>50</v>
      </c>
      <c r="C15" s="142">
        <v>1</v>
      </c>
      <c r="D15" s="142">
        <v>23</v>
      </c>
      <c r="E15" s="142">
        <v>240</v>
      </c>
      <c r="F15" s="189">
        <v>43</v>
      </c>
      <c r="G15" s="131">
        <v>357</v>
      </c>
    </row>
    <row r="16" spans="1:7" x14ac:dyDescent="0.25">
      <c r="A16" s="176" t="s">
        <v>1061</v>
      </c>
      <c r="B16" s="142">
        <v>50</v>
      </c>
      <c r="C16" s="142">
        <v>1</v>
      </c>
      <c r="D16" s="142">
        <v>23</v>
      </c>
      <c r="E16" s="142">
        <v>240</v>
      </c>
      <c r="F16" s="189">
        <v>43</v>
      </c>
      <c r="G16" s="131">
        <v>357</v>
      </c>
    </row>
    <row r="17" spans="1:9" ht="15.75" thickBot="1" x14ac:dyDescent="0.3">
      <c r="A17" s="184" t="s">
        <v>1108</v>
      </c>
      <c r="B17" s="190">
        <v>50</v>
      </c>
      <c r="C17" s="190">
        <v>1</v>
      </c>
      <c r="D17" s="190">
        <v>23</v>
      </c>
      <c r="E17" s="190">
        <v>240</v>
      </c>
      <c r="F17" s="513">
        <v>42</v>
      </c>
      <c r="G17" s="514">
        <v>356</v>
      </c>
    </row>
    <row r="18" spans="1:9" x14ac:dyDescent="0.25">
      <c r="A18" s="176"/>
      <c r="B18" s="142"/>
      <c r="C18" s="142"/>
      <c r="D18" s="142"/>
      <c r="E18" s="142"/>
      <c r="F18" s="189"/>
      <c r="G18" s="131"/>
    </row>
    <row r="19" spans="1:9" x14ac:dyDescent="0.25">
      <c r="A19" s="339" t="s">
        <v>8</v>
      </c>
    </row>
    <row r="20" spans="1:9" ht="30.75" customHeight="1" x14ac:dyDescent="0.25">
      <c r="A20" s="996" t="s">
        <v>918</v>
      </c>
      <c r="B20" s="996"/>
      <c r="C20" s="996"/>
      <c r="D20" s="996"/>
      <c r="E20" s="996"/>
      <c r="F20" s="996"/>
      <c r="G20" s="996"/>
      <c r="H20" s="996"/>
    </row>
    <row r="21" spans="1:9" ht="30" customHeight="1" x14ac:dyDescent="0.25">
      <c r="A21" s="995" t="s">
        <v>719</v>
      </c>
      <c r="B21" s="995"/>
      <c r="C21" s="995"/>
      <c r="D21" s="995"/>
      <c r="E21" s="995"/>
      <c r="F21" s="995"/>
      <c r="G21" s="995"/>
      <c r="H21" s="995"/>
      <c r="I21" s="995"/>
    </row>
  </sheetData>
  <sheetProtection algorithmName="SHA-512" hashValue="bd6cuF2lGFi8/whL2cw2dCRftZFbXjEnLgkzBGLPPfx7cOVtJhw7pGXGMppR3KfzvfU62c94UQNlBJx2Ub9C1g==" saltValue="EsYevMK4FY5tFTIK8ujG2A==" spinCount="100000" sheet="1" scenarios="1" formatCells="0" sort="0" autoFilter="0" pivotTables="0"/>
  <mergeCells count="4">
    <mergeCell ref="A1:C1"/>
    <mergeCell ref="A4:F4"/>
    <mergeCell ref="A21:I21"/>
    <mergeCell ref="A20:H20"/>
  </mergeCells>
  <hyperlinks>
    <hyperlink ref="A2" location="'Table of Contents'!A1" display="Back to Table of Contents" xr:uid="{00000000-0004-0000-04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tabColor theme="9" tint="0.39997558519241921"/>
    <pageSetUpPr fitToPage="1"/>
  </sheetPr>
  <dimension ref="A1:J78"/>
  <sheetViews>
    <sheetView showGridLines="0" zoomScaleNormal="100" workbookViewId="0">
      <pane ySplit="2" topLeftCell="A3" activePane="bottomLeft" state="frozen"/>
      <selection pane="bottomLeft" sqref="A1:H1"/>
    </sheetView>
  </sheetViews>
  <sheetFormatPr defaultRowHeight="15" x14ac:dyDescent="0.25"/>
  <cols>
    <col min="1" max="1" width="17.140625" customWidth="1"/>
    <col min="2" max="2" width="59.42578125" bestFit="1" customWidth="1"/>
    <col min="3" max="3" width="24.28515625" customWidth="1"/>
    <col min="4" max="4" width="23" customWidth="1"/>
    <col min="5" max="5" width="9.7109375" customWidth="1"/>
    <col min="6" max="6" width="10.85546875" customWidth="1"/>
    <col min="7" max="7" width="12" customWidth="1"/>
    <col min="8" max="8" width="12.7109375" customWidth="1"/>
    <col min="9" max="9" width="19.7109375" customWidth="1"/>
    <col min="10" max="10" width="12" customWidth="1"/>
  </cols>
  <sheetData>
    <row r="1" spans="1:10" ht="23.1" customHeight="1" x14ac:dyDescent="0.25">
      <c r="A1" s="993" t="s">
        <v>450</v>
      </c>
      <c r="B1" s="993"/>
      <c r="C1" s="993"/>
      <c r="D1" s="993"/>
      <c r="E1" s="993"/>
      <c r="F1" s="993"/>
      <c r="G1" s="993"/>
      <c r="H1" s="993"/>
    </row>
    <row r="2" spans="1:10" ht="25.5" customHeight="1" x14ac:dyDescent="0.25">
      <c r="A2" s="507" t="s">
        <v>511</v>
      </c>
      <c r="B2" s="1"/>
      <c r="C2" s="1"/>
      <c r="D2" s="1"/>
      <c r="E2" s="1"/>
      <c r="F2" s="1"/>
      <c r="G2" s="1"/>
      <c r="H2" s="1"/>
    </row>
    <row r="3" spans="1:10" ht="18" x14ac:dyDescent="0.25">
      <c r="A3" s="1"/>
      <c r="B3" s="1"/>
      <c r="C3" s="1"/>
      <c r="D3" s="1"/>
      <c r="E3" s="1"/>
      <c r="F3" s="1"/>
      <c r="G3" s="1"/>
      <c r="H3" s="1"/>
      <c r="I3" s="35"/>
    </row>
    <row r="4" spans="1:10" ht="30" customHeight="1" x14ac:dyDescent="0.25">
      <c r="A4" s="1004" t="s">
        <v>500</v>
      </c>
      <c r="B4" s="1004"/>
      <c r="C4" s="1004"/>
      <c r="D4" s="1004"/>
      <c r="E4" s="1004"/>
      <c r="F4" s="1004"/>
      <c r="G4" s="1004"/>
      <c r="H4" s="1004"/>
      <c r="I4" s="1004"/>
    </row>
    <row r="5" spans="1:10" ht="15" customHeight="1" x14ac:dyDescent="0.25">
      <c r="A5" t="s">
        <v>328</v>
      </c>
      <c r="B5" t="s">
        <v>649</v>
      </c>
      <c r="C5" s="232"/>
      <c r="D5" s="232"/>
      <c r="E5" s="232"/>
      <c r="F5" s="232"/>
      <c r="G5" s="232"/>
      <c r="H5" s="232"/>
      <c r="I5" s="232"/>
    </row>
    <row r="6" spans="1:10" ht="15" customHeight="1" x14ac:dyDescent="0.25">
      <c r="A6" t="s">
        <v>329</v>
      </c>
      <c r="B6" t="s">
        <v>331</v>
      </c>
      <c r="C6" s="232"/>
      <c r="D6" s="232"/>
      <c r="E6" s="232"/>
      <c r="F6" s="232"/>
      <c r="G6" s="232"/>
      <c r="H6" s="232"/>
      <c r="I6" s="232"/>
    </row>
    <row r="7" spans="1:10" ht="15" customHeight="1" x14ac:dyDescent="0.25">
      <c r="A7" t="s">
        <v>330</v>
      </c>
      <c r="B7" t="s">
        <v>332</v>
      </c>
      <c r="C7" s="232"/>
      <c r="D7" s="232"/>
      <c r="E7" s="232"/>
      <c r="F7" s="232"/>
      <c r="G7" s="232"/>
      <c r="H7" s="232"/>
      <c r="I7" s="232"/>
    </row>
    <row r="8" spans="1:10" ht="39.75" customHeight="1" x14ac:dyDescent="0.25">
      <c r="A8" s="36" t="s">
        <v>1</v>
      </c>
      <c r="B8" s="36"/>
      <c r="C8" s="37" t="s">
        <v>27</v>
      </c>
      <c r="D8" s="37" t="s">
        <v>28</v>
      </c>
      <c r="E8" s="37" t="s">
        <v>831</v>
      </c>
      <c r="F8" s="37" t="s">
        <v>2</v>
      </c>
      <c r="G8" s="37" t="s">
        <v>3</v>
      </c>
      <c r="H8" s="37" t="s">
        <v>29</v>
      </c>
      <c r="I8" s="4" t="s">
        <v>10</v>
      </c>
      <c r="J8" s="4" t="s">
        <v>98</v>
      </c>
    </row>
    <row r="9" spans="1:10" ht="22.5" customHeight="1" thickBot="1" x14ac:dyDescent="0.3">
      <c r="A9" s="38" t="str">
        <f>smallareapivot!B1</f>
        <v>2023-24</v>
      </c>
      <c r="B9" s="38" t="s">
        <v>75</v>
      </c>
      <c r="C9" s="291">
        <f t="shared" ref="C9:I9" si="0">C44+C64+C70+C73</f>
        <v>3422</v>
      </c>
      <c r="D9" s="291">
        <f t="shared" si="0"/>
        <v>2708</v>
      </c>
      <c r="E9" s="291">
        <f t="shared" si="0"/>
        <v>55</v>
      </c>
      <c r="F9" s="291">
        <f t="shared" si="0"/>
        <v>171</v>
      </c>
      <c r="G9" s="291">
        <f t="shared" si="0"/>
        <v>887</v>
      </c>
      <c r="H9" s="291">
        <f t="shared" si="0"/>
        <v>269</v>
      </c>
      <c r="I9" s="291">
        <f t="shared" si="0"/>
        <v>7512</v>
      </c>
      <c r="J9" s="291">
        <f t="shared" ref="J9" si="1">J44+J64+J70+J73</f>
        <v>7243</v>
      </c>
    </row>
    <row r="10" spans="1:10" ht="15.75" customHeight="1" x14ac:dyDescent="0.25">
      <c r="B10" s="39"/>
      <c r="C10" s="40"/>
      <c r="D10" s="40"/>
      <c r="E10" s="40"/>
      <c r="F10" s="40"/>
      <c r="G10" s="40"/>
      <c r="H10" s="40"/>
      <c r="I10" s="41"/>
      <c r="J10" s="41"/>
    </row>
    <row r="11" spans="1:10" ht="40.5" customHeight="1" x14ac:dyDescent="0.25">
      <c r="A11" s="42" t="s">
        <v>458</v>
      </c>
      <c r="B11" s="42" t="s">
        <v>30</v>
      </c>
      <c r="C11" s="79" t="s">
        <v>27</v>
      </c>
      <c r="D11" s="79" t="s">
        <v>28</v>
      </c>
      <c r="E11" s="79" t="s">
        <v>831</v>
      </c>
      <c r="F11" s="79" t="s">
        <v>2</v>
      </c>
      <c r="G11" s="79" t="s">
        <v>3</v>
      </c>
      <c r="H11" s="79" t="s">
        <v>29</v>
      </c>
      <c r="I11" s="3" t="s">
        <v>10</v>
      </c>
      <c r="J11" s="3" t="s">
        <v>98</v>
      </c>
    </row>
    <row r="12" spans="1:10" ht="19.5" customHeight="1" x14ac:dyDescent="0.25">
      <c r="A12" s="398" t="s">
        <v>285</v>
      </c>
      <c r="B12" s="45" t="s">
        <v>31</v>
      </c>
      <c r="C12" s="49">
        <f>GETPIVOTDATA("Sum of Wholetime Operational",smallareapivot!$A$3,"ReportingLevel","1:LA","lvl","Aberdeen City")</f>
        <v>162</v>
      </c>
      <c r="D12" s="49">
        <f>GETPIVOTDATA("Sum of Retained Duty System",smallareapivot!$A$3,"ReportingLevel","1:LA","lvl","Aberdeen City")</f>
        <v>10</v>
      </c>
      <c r="E12" s="440">
        <v>0</v>
      </c>
      <c r="F12" s="440">
        <v>0</v>
      </c>
      <c r="G12" s="440">
        <v>0</v>
      </c>
      <c r="H12" s="49">
        <f>GETPIVOTDATA("Sum of Volunteer",smallareapivot!$A$3,"ReportingLevel","1:LA","lvl","Aberdeen City")</f>
        <v>0</v>
      </c>
      <c r="I12" s="47">
        <f>SUM(C12:H12)</f>
        <v>172</v>
      </c>
      <c r="J12" s="47">
        <f t="shared" ref="J12:J43" si="2">I12-H12</f>
        <v>172</v>
      </c>
    </row>
    <row r="13" spans="1:10" ht="15" customHeight="1" x14ac:dyDescent="0.25">
      <c r="A13" s="89" t="s">
        <v>286</v>
      </c>
      <c r="B13" s="48" t="s">
        <v>32</v>
      </c>
      <c r="C13" s="49">
        <f>GETPIVOTDATA("Sum of Wholetime Operational",smallareapivot!$A$3,"ReportingLevel","1:LA","lvl","Aberdeenshire")</f>
        <v>28</v>
      </c>
      <c r="D13" s="49">
        <f>GETPIVOTDATA("Sum of Retained Duty System",smallareapivot!$A$3,"ReportingLevel","1:LA","lvl","Aberdeenshire")</f>
        <v>266</v>
      </c>
      <c r="E13" s="440">
        <v>0</v>
      </c>
      <c r="F13" s="440">
        <v>0</v>
      </c>
      <c r="G13" s="440">
        <v>0</v>
      </c>
      <c r="H13" s="49">
        <f>GETPIVOTDATA("Sum of Volunteer",smallareapivot!$A$3,"ReportingLevel","1:LA","lvl","Aberdeenshire")</f>
        <v>0</v>
      </c>
      <c r="I13" s="47">
        <f t="shared" ref="I13:I43" si="3">SUM(C13:H13)</f>
        <v>294</v>
      </c>
      <c r="J13" s="47">
        <f t="shared" si="2"/>
        <v>294</v>
      </c>
    </row>
    <row r="14" spans="1:10" ht="15" customHeight="1" x14ac:dyDescent="0.25">
      <c r="A14" s="89" t="s">
        <v>292</v>
      </c>
      <c r="B14" s="48" t="s">
        <v>33</v>
      </c>
      <c r="C14" s="49">
        <f>GETPIVOTDATA("Sum of Wholetime Operational",smallareapivot!$A$3,"ReportingLevel","1:LA","lvl","Angus")</f>
        <v>27</v>
      </c>
      <c r="D14" s="49">
        <f>GETPIVOTDATA("Sum of Retained Duty System",smallareapivot!$A$3,"ReportingLevel","1:LA","lvl","Angus")</f>
        <v>100</v>
      </c>
      <c r="E14" s="440">
        <v>0</v>
      </c>
      <c r="F14" s="440">
        <v>0</v>
      </c>
      <c r="G14" s="440">
        <v>0</v>
      </c>
      <c r="H14" s="49">
        <f>GETPIVOTDATA("Sum of Volunteer",smallareapivot!$A$3,"ReportingLevel","1:LA","lvl","Angus")</f>
        <v>0</v>
      </c>
      <c r="I14" s="47">
        <f t="shared" si="3"/>
        <v>127</v>
      </c>
      <c r="J14" s="47">
        <f t="shared" si="2"/>
        <v>127</v>
      </c>
    </row>
    <row r="15" spans="1:10" ht="15" customHeight="1" x14ac:dyDescent="0.25">
      <c r="A15" s="89" t="s">
        <v>287</v>
      </c>
      <c r="B15" s="48" t="s">
        <v>34</v>
      </c>
      <c r="C15" s="49">
        <f>GETPIVOTDATA("Sum of Wholetime Operational",smallareapivot!$A$3,"ReportingLevel","1:LA","lvl","Argyll and Bute")</f>
        <v>55</v>
      </c>
      <c r="D15" s="49">
        <f>GETPIVOTDATA("Sum of Retained Duty System",smallareapivot!$A$3,"ReportingLevel","1:LA","lvl","Argyll and Bute")</f>
        <v>173</v>
      </c>
      <c r="E15" s="440">
        <v>0</v>
      </c>
      <c r="F15" s="440">
        <v>0</v>
      </c>
      <c r="G15" s="440">
        <v>0</v>
      </c>
      <c r="H15" s="49">
        <f>GETPIVOTDATA("Sum of Volunteer",smallareapivot!$A$3,"ReportingLevel","1:LA","lvl","Argyll and Bute")</f>
        <v>172</v>
      </c>
      <c r="I15" s="47">
        <f t="shared" si="3"/>
        <v>400</v>
      </c>
      <c r="J15" s="47">
        <f t="shared" si="2"/>
        <v>228</v>
      </c>
    </row>
    <row r="16" spans="1:10" ht="15" customHeight="1" x14ac:dyDescent="0.25">
      <c r="A16" s="89" t="s">
        <v>288</v>
      </c>
      <c r="B16" s="48" t="s">
        <v>243</v>
      </c>
      <c r="C16" s="49">
        <f>GETPIVOTDATA("Sum of Wholetime Operational",smallareapivot!$A$3,"ReportingLevel","1:LA","lvl","City of Edinburgh")</f>
        <v>293</v>
      </c>
      <c r="D16" s="49">
        <f>GETPIVOTDATA("Sum of Retained Duty System",smallareapivot!$A$3,"ReportingLevel","1:LA","lvl","City of Edinburgh")</f>
        <v>9</v>
      </c>
      <c r="E16" s="440">
        <v>0</v>
      </c>
      <c r="F16" s="440">
        <v>0</v>
      </c>
      <c r="G16" s="440">
        <v>0</v>
      </c>
      <c r="H16" s="49">
        <f>GETPIVOTDATA("Sum of Volunteer",smallareapivot!$A$3,"ReportingLevel","1:LA","lvl","City of Edinburgh")</f>
        <v>0</v>
      </c>
      <c r="I16" s="47">
        <f t="shared" si="3"/>
        <v>302</v>
      </c>
      <c r="J16" s="47">
        <f t="shared" si="2"/>
        <v>302</v>
      </c>
    </row>
    <row r="17" spans="1:10" ht="15" customHeight="1" x14ac:dyDescent="0.25">
      <c r="A17" s="89" t="s">
        <v>266</v>
      </c>
      <c r="B17" s="48" t="s">
        <v>35</v>
      </c>
      <c r="C17" s="49">
        <f>GETPIVOTDATA("Sum of Wholetime Operational",smallareapivot!$A$3,"ReportingLevel","1:LA","lvl","Clackmannanshire")</f>
        <v>27</v>
      </c>
      <c r="D17" s="49">
        <f>GETPIVOTDATA("Sum of Retained Duty System",smallareapivot!$A$3,"ReportingLevel","1:LA","lvl","Clackmannanshire")</f>
        <v>23</v>
      </c>
      <c r="E17" s="440">
        <v>0</v>
      </c>
      <c r="F17" s="440">
        <v>0</v>
      </c>
      <c r="G17" s="440">
        <v>0</v>
      </c>
      <c r="H17" s="49">
        <f>GETPIVOTDATA("Sum of Volunteer",smallareapivot!$A$3,"ReportingLevel","1:LA","lvl","Clackmannanshire")</f>
        <v>0</v>
      </c>
      <c r="I17" s="47">
        <f t="shared" si="3"/>
        <v>50</v>
      </c>
      <c r="J17" s="47">
        <f t="shared" si="2"/>
        <v>50</v>
      </c>
    </row>
    <row r="18" spans="1:10" ht="15" customHeight="1" x14ac:dyDescent="0.25">
      <c r="A18" s="89" t="s">
        <v>267</v>
      </c>
      <c r="B18" s="48" t="s">
        <v>36</v>
      </c>
      <c r="C18" s="49">
        <f>GETPIVOTDATA("Sum of Wholetime Operational",smallareapivot!$A$3,"ReportingLevel","1:LA","lvl","Dumfries and Galloway")</f>
        <v>53</v>
      </c>
      <c r="D18" s="49">
        <f>GETPIVOTDATA("Sum of Retained Duty System",smallareapivot!$A$3,"ReportingLevel","1:LA","lvl","Dumfries and Galloway")</f>
        <v>179</v>
      </c>
      <c r="E18" s="440">
        <v>0</v>
      </c>
      <c r="F18" s="440">
        <v>0</v>
      </c>
      <c r="G18" s="440">
        <v>0</v>
      </c>
      <c r="H18" s="49">
        <f>GETPIVOTDATA("Sum of Volunteer",smallareapivot!$A$3,"ReportingLevel","1:LA","lvl","Dumfries and Galloway")</f>
        <v>7</v>
      </c>
      <c r="I18" s="47">
        <f t="shared" si="3"/>
        <v>239</v>
      </c>
      <c r="J18" s="47">
        <f t="shared" si="2"/>
        <v>232</v>
      </c>
    </row>
    <row r="19" spans="1:10" ht="15" customHeight="1" x14ac:dyDescent="0.25">
      <c r="A19" s="89" t="s">
        <v>293</v>
      </c>
      <c r="B19" s="48" t="s">
        <v>37</v>
      </c>
      <c r="C19" s="49">
        <f>GETPIVOTDATA("Sum of Wholetime Operational",smallareapivot!$A$3,"ReportingLevel","1:LA","lvl","Dundee City")</f>
        <v>168</v>
      </c>
      <c r="D19" s="49">
        <f>GETPIVOTDATA("Sum of Retained Duty System",smallareapivot!$A$3,"ReportingLevel","1:LA","lvl","Dundee City")</f>
        <v>14</v>
      </c>
      <c r="E19" s="440">
        <v>0</v>
      </c>
      <c r="F19" s="440">
        <v>0</v>
      </c>
      <c r="G19" s="440">
        <v>0</v>
      </c>
      <c r="H19" s="49">
        <f>GETPIVOTDATA("Sum of Volunteer",smallareapivot!$A$3,"ReportingLevel","1:LA","lvl","Dundee City")</f>
        <v>0</v>
      </c>
      <c r="I19" s="47">
        <f t="shared" si="3"/>
        <v>182</v>
      </c>
      <c r="J19" s="47">
        <f t="shared" si="2"/>
        <v>182</v>
      </c>
    </row>
    <row r="20" spans="1:10" ht="15" customHeight="1" x14ac:dyDescent="0.25">
      <c r="A20" s="89" t="s">
        <v>268</v>
      </c>
      <c r="B20" s="48" t="s">
        <v>38</v>
      </c>
      <c r="C20" s="49">
        <f>GETPIVOTDATA("Sum of Wholetime Operational",smallareapivot!$A$3,"ReportingLevel","1:LA","lvl","East Ayrshire")</f>
        <v>48</v>
      </c>
      <c r="D20" s="49">
        <f>GETPIVOTDATA("Sum of Retained Duty System",smallareapivot!$A$3,"ReportingLevel","1:LA","lvl","East Ayrshire")</f>
        <v>71</v>
      </c>
      <c r="E20" s="440">
        <v>0</v>
      </c>
      <c r="F20" s="440">
        <v>0</v>
      </c>
      <c r="G20" s="440">
        <v>0</v>
      </c>
      <c r="H20" s="49">
        <f>GETPIVOTDATA("Sum of Volunteer",smallareapivot!$A$3,"ReportingLevel","1:LA","lvl","East Ayrshire")</f>
        <v>0</v>
      </c>
      <c r="I20" s="47">
        <f t="shared" si="3"/>
        <v>119</v>
      </c>
      <c r="J20" s="47">
        <f t="shared" si="2"/>
        <v>119</v>
      </c>
    </row>
    <row r="21" spans="1:10" ht="15" customHeight="1" x14ac:dyDescent="0.25">
      <c r="A21" s="89" t="s">
        <v>295</v>
      </c>
      <c r="B21" s="48" t="s">
        <v>39</v>
      </c>
      <c r="C21" s="49">
        <f>GETPIVOTDATA("Sum of Wholetime Operational",smallareapivot!$A$3,"ReportingLevel","1:LA","lvl","East Dunbartonshire")</f>
        <v>76</v>
      </c>
      <c r="D21" s="49">
        <f>GETPIVOTDATA("Sum of Retained Duty System",smallareapivot!$A$3,"ReportingLevel","1:LA","lvl","East Dunbartonshire")</f>
        <v>0</v>
      </c>
      <c r="E21" s="440">
        <v>0</v>
      </c>
      <c r="F21" s="440">
        <v>0</v>
      </c>
      <c r="G21" s="440">
        <v>0</v>
      </c>
      <c r="H21" s="49">
        <f>GETPIVOTDATA("Sum of Volunteer",smallareapivot!$A$3,"ReportingLevel","1:LA","lvl","East Dunbartonshire")</f>
        <v>0</v>
      </c>
      <c r="I21" s="47">
        <f t="shared" si="3"/>
        <v>76</v>
      </c>
      <c r="J21" s="47">
        <f t="shared" si="2"/>
        <v>76</v>
      </c>
    </row>
    <row r="22" spans="1:10" ht="15" customHeight="1" x14ac:dyDescent="0.25">
      <c r="A22" s="89" t="s">
        <v>269</v>
      </c>
      <c r="B22" s="48" t="s">
        <v>40</v>
      </c>
      <c r="C22" s="49">
        <f>GETPIVOTDATA("Sum of Wholetime Operational",smallareapivot!$A$3,"ReportingLevel","1:LA","lvl","East Lothian")</f>
        <v>25</v>
      </c>
      <c r="D22" s="49">
        <f>GETPIVOTDATA("Sum of Retained Duty System",smallareapivot!$A$3,"ReportingLevel","1:LA","lvl","East Lothian")</f>
        <v>56</v>
      </c>
      <c r="E22" s="440">
        <v>0</v>
      </c>
      <c r="F22" s="440">
        <v>0</v>
      </c>
      <c r="G22" s="440">
        <v>0</v>
      </c>
      <c r="H22" s="49">
        <f>GETPIVOTDATA("Sum of Volunteer",smallareapivot!$A$3,"ReportingLevel","1:LA","lvl","East Lothian")</f>
        <v>0</v>
      </c>
      <c r="I22" s="47">
        <f t="shared" si="3"/>
        <v>81</v>
      </c>
      <c r="J22" s="47">
        <f t="shared" si="2"/>
        <v>81</v>
      </c>
    </row>
    <row r="23" spans="1:10" ht="15" customHeight="1" x14ac:dyDescent="0.25">
      <c r="A23" s="89" t="s">
        <v>270</v>
      </c>
      <c r="B23" s="48" t="s">
        <v>41</v>
      </c>
      <c r="C23" s="49">
        <f>GETPIVOTDATA("Sum of Wholetime Operational",smallareapivot!$A$3,"ReportingLevel","1:LA","lvl","East Renfrewshire")</f>
        <v>53</v>
      </c>
      <c r="D23" s="49">
        <f>GETPIVOTDATA("Sum of Retained Duty System",smallareapivot!$A$3,"ReportingLevel","1:LA","lvl","East Renfrewshire")</f>
        <v>0</v>
      </c>
      <c r="E23" s="440">
        <v>0</v>
      </c>
      <c r="F23" s="440">
        <v>0</v>
      </c>
      <c r="G23" s="440">
        <v>0</v>
      </c>
      <c r="H23" s="49">
        <f>GETPIVOTDATA("Sum of Volunteer",smallareapivot!$A$3,"ReportingLevel","1:LA","lvl","East Renfrewshire")</f>
        <v>0</v>
      </c>
      <c r="I23" s="47">
        <f t="shared" si="3"/>
        <v>53</v>
      </c>
      <c r="J23" s="47">
        <f t="shared" si="2"/>
        <v>53</v>
      </c>
    </row>
    <row r="24" spans="1:10" ht="15" customHeight="1" x14ac:dyDescent="0.25">
      <c r="A24" s="89" t="s">
        <v>272</v>
      </c>
      <c r="B24" s="48" t="s">
        <v>42</v>
      </c>
      <c r="C24" s="49">
        <f>GETPIVOTDATA("Sum of Wholetime Operational",smallareapivot!$A$3,"ReportingLevel","1:LA","lvl","Falkirk")</f>
        <v>91</v>
      </c>
      <c r="D24" s="49">
        <f>GETPIVOTDATA("Sum of Retained Duty System",smallareapivot!$A$3,"ReportingLevel","1:LA","lvl","Falkirk")</f>
        <v>61</v>
      </c>
      <c r="E24" s="440">
        <v>0</v>
      </c>
      <c r="F24" s="440">
        <v>0</v>
      </c>
      <c r="G24" s="440">
        <v>0</v>
      </c>
      <c r="H24" s="49">
        <f>GETPIVOTDATA("Sum of Volunteer",smallareapivot!$A$3,"ReportingLevel","1:LA","lvl","Falkirk")</f>
        <v>0</v>
      </c>
      <c r="I24" s="47">
        <f t="shared" si="3"/>
        <v>152</v>
      </c>
      <c r="J24" s="47">
        <f t="shared" si="2"/>
        <v>152</v>
      </c>
    </row>
    <row r="25" spans="1:10" ht="15" customHeight="1" x14ac:dyDescent="0.25">
      <c r="A25" s="89" t="s">
        <v>297</v>
      </c>
      <c r="B25" s="48" t="s">
        <v>43</v>
      </c>
      <c r="C25" s="49">
        <f>GETPIVOTDATA("Sum of Wholetime Operational",smallareapivot!$A$3,"ReportingLevel","1:LA","lvl","Fife")</f>
        <v>216</v>
      </c>
      <c r="D25" s="49">
        <f>GETPIVOTDATA("Sum of Retained Duty System",smallareapivot!$A$3,"ReportingLevel","1:LA","lvl","Fife")</f>
        <v>104</v>
      </c>
      <c r="E25" s="440">
        <v>0</v>
      </c>
      <c r="F25" s="440">
        <v>0</v>
      </c>
      <c r="G25" s="440">
        <v>0</v>
      </c>
      <c r="H25" s="49">
        <f>GETPIVOTDATA("Sum of Volunteer",smallareapivot!$A$3,"ReportingLevel","1:LA","lvl","Fife")</f>
        <v>0</v>
      </c>
      <c r="I25" s="47">
        <f t="shared" si="3"/>
        <v>320</v>
      </c>
      <c r="J25" s="47">
        <f t="shared" si="2"/>
        <v>320</v>
      </c>
    </row>
    <row r="26" spans="1:10" ht="15" customHeight="1" x14ac:dyDescent="0.25">
      <c r="A26" s="89" t="str">
        <f>IF(A9 = "2019-20","S12000049","S12000046")</f>
        <v>S12000046</v>
      </c>
      <c r="B26" s="48" t="s">
        <v>117</v>
      </c>
      <c r="C26" s="49">
        <f>GETPIVOTDATA("Sum of Wholetime Operational",smallareapivot!$A$3,"ReportingLevel","1:LA","lvl","Glasgow City")</f>
        <v>463</v>
      </c>
      <c r="D26" s="49">
        <f>GETPIVOTDATA("Sum of Retained Duty System",smallareapivot!$A$3,"ReportingLevel","1:LA","lvl","Glasgow City")</f>
        <v>0</v>
      </c>
      <c r="E26" s="440">
        <v>0</v>
      </c>
      <c r="F26" s="440">
        <v>0</v>
      </c>
      <c r="G26" s="440">
        <v>0</v>
      </c>
      <c r="H26" s="49">
        <f>GETPIVOTDATA("Sum of Volunteer",smallareapivot!$A$3,"ReportingLevel","1:LA","lvl","Glasgow City")</f>
        <v>0</v>
      </c>
      <c r="I26" s="47">
        <f t="shared" si="3"/>
        <v>463</v>
      </c>
      <c r="J26" s="47">
        <f t="shared" si="2"/>
        <v>463</v>
      </c>
    </row>
    <row r="27" spans="1:10" ht="15" customHeight="1" x14ac:dyDescent="0.25">
      <c r="A27" s="89" t="s">
        <v>273</v>
      </c>
      <c r="B27" s="48" t="s">
        <v>44</v>
      </c>
      <c r="C27" s="49">
        <f>GETPIVOTDATA("Sum of Wholetime Operational",smallareapivot!$A$3,"ReportingLevel","1:LA","lvl","Highlands")</f>
        <v>80</v>
      </c>
      <c r="D27" s="49">
        <f>GETPIVOTDATA("Sum of Retained Duty System",smallareapivot!$A$3,"ReportingLevel","1:LA","lvl","Highlands")</f>
        <v>464</v>
      </c>
      <c r="E27" s="440">
        <v>0</v>
      </c>
      <c r="F27" s="440">
        <v>0</v>
      </c>
      <c r="G27" s="440">
        <v>0</v>
      </c>
      <c r="H27" s="49">
        <f>GETPIVOTDATA("Sum of Volunteer",smallareapivot!$A$3,"ReportingLevel","1:LA","lvl","Highlands")</f>
        <v>47</v>
      </c>
      <c r="I27" s="47">
        <f>SUM(C27:H27)</f>
        <v>591</v>
      </c>
      <c r="J27" s="62">
        <f>IFERROR(I27-H27, "-")</f>
        <v>544</v>
      </c>
    </row>
    <row r="28" spans="1:10" ht="15" customHeight="1" x14ac:dyDescent="0.25">
      <c r="A28" s="89" t="s">
        <v>274</v>
      </c>
      <c r="B28" s="48" t="s">
        <v>45</v>
      </c>
      <c r="C28" s="49">
        <f>GETPIVOTDATA("Sum of Wholetime Operational",smallareapivot!$A$3,"ReportingLevel","1:LA","lvl","Inverclyde")</f>
        <v>63</v>
      </c>
      <c r="D28" s="49">
        <f>GETPIVOTDATA("Sum of Retained Duty System",smallareapivot!$A$3,"ReportingLevel","1:LA","lvl","Inverclyde")</f>
        <v>35</v>
      </c>
      <c r="E28" s="440">
        <v>0</v>
      </c>
      <c r="F28" s="440">
        <v>0</v>
      </c>
      <c r="G28" s="440">
        <v>0</v>
      </c>
      <c r="H28" s="49">
        <f>GETPIVOTDATA("Sum of Volunteer",smallareapivot!$A$3,"ReportingLevel","1:LA","lvl","Inverclyde")</f>
        <v>0</v>
      </c>
      <c r="I28" s="47">
        <f t="shared" si="3"/>
        <v>98</v>
      </c>
      <c r="J28" s="47">
        <f t="shared" si="2"/>
        <v>98</v>
      </c>
    </row>
    <row r="29" spans="1:10" ht="15" customHeight="1" x14ac:dyDescent="0.25">
      <c r="A29" s="89" t="s">
        <v>275</v>
      </c>
      <c r="B29" s="48" t="s">
        <v>46</v>
      </c>
      <c r="C29" s="49">
        <f>GETPIVOTDATA("Sum of Wholetime Operational",smallareapivot!$A$3,"ReportingLevel","1:LA","lvl","Midlothian")</f>
        <v>29</v>
      </c>
      <c r="D29" s="49">
        <f>GETPIVOTDATA("Sum of Retained Duty System",smallareapivot!$A$3,"ReportingLevel","1:LA","lvl","Midlothian")</f>
        <v>13</v>
      </c>
      <c r="E29" s="440">
        <v>0</v>
      </c>
      <c r="F29" s="440">
        <v>0</v>
      </c>
      <c r="G29" s="440">
        <v>0</v>
      </c>
      <c r="H29" s="49">
        <f>GETPIVOTDATA("Sum of Volunteer",smallareapivot!$A$3,"ReportingLevel","1:LA","lvl","Midlothian")</f>
        <v>0</v>
      </c>
      <c r="I29" s="47">
        <f>SUM(C29:H29)</f>
        <v>42</v>
      </c>
      <c r="J29" s="47">
        <f t="shared" si="2"/>
        <v>42</v>
      </c>
    </row>
    <row r="30" spans="1:10" ht="15" customHeight="1" x14ac:dyDescent="0.25">
      <c r="A30" s="89" t="s">
        <v>276</v>
      </c>
      <c r="B30" s="48" t="s">
        <v>47</v>
      </c>
      <c r="C30" s="49">
        <f>GETPIVOTDATA("Sum of Wholetime Operational",smallareapivot!$A$3,"ReportingLevel","1:LA","lvl","Moray")</f>
        <v>30</v>
      </c>
      <c r="D30" s="49">
        <f>GETPIVOTDATA("Sum of Retained Duty System",smallareapivot!$A$3,"ReportingLevel","1:LA","lvl","Moray")</f>
        <v>116</v>
      </c>
      <c r="E30" s="440">
        <v>0</v>
      </c>
      <c r="F30" s="440">
        <v>0</v>
      </c>
      <c r="G30" s="440">
        <v>0</v>
      </c>
      <c r="H30" s="49">
        <f>GETPIVOTDATA("Sum of Volunteer",smallareapivot!$A$3,"ReportingLevel","1:LA","lvl","Moray")</f>
        <v>3</v>
      </c>
      <c r="I30" s="47">
        <f t="shared" si="3"/>
        <v>149</v>
      </c>
      <c r="J30" s="47">
        <f t="shared" si="2"/>
        <v>146</v>
      </c>
    </row>
    <row r="31" spans="1:10" ht="15" customHeight="1" x14ac:dyDescent="0.25">
      <c r="A31" s="89" t="s">
        <v>271</v>
      </c>
      <c r="B31" s="48" t="s">
        <v>48</v>
      </c>
      <c r="C31" s="49">
        <f>GETPIVOTDATA("Sum of Wholetime Operational",smallareapivot!$A$3,"ReportingLevel","1:LA","lvl","Na h-Eileanan Siar")</f>
        <v>3</v>
      </c>
      <c r="D31" s="49">
        <f>GETPIVOTDATA("Sum of Retained Duty System",smallareapivot!$A$3,"ReportingLevel","1:LA","lvl","Na h-Eileanan Siar")</f>
        <v>132</v>
      </c>
      <c r="E31" s="440">
        <v>0</v>
      </c>
      <c r="F31" s="440">
        <v>0</v>
      </c>
      <c r="G31" s="440">
        <v>0</v>
      </c>
      <c r="H31" s="49">
        <f>GETPIVOTDATA("Sum of Volunteer",smallareapivot!$A$3,"ReportingLevel","1:LA","lvl","Na h-Eileanan Siar")</f>
        <v>0</v>
      </c>
      <c r="I31" s="47">
        <f t="shared" si="3"/>
        <v>135</v>
      </c>
      <c r="J31" s="47">
        <f t="shared" si="2"/>
        <v>135</v>
      </c>
    </row>
    <row r="32" spans="1:10" ht="15" customHeight="1" x14ac:dyDescent="0.25">
      <c r="A32" s="89" t="s">
        <v>277</v>
      </c>
      <c r="B32" s="48" t="s">
        <v>49</v>
      </c>
      <c r="C32" s="49">
        <f>GETPIVOTDATA("Sum of Wholetime Operational",smallareapivot!$A$3,"ReportingLevel","1:LA","lvl","North Ayrshire")</f>
        <v>85</v>
      </c>
      <c r="D32" s="49">
        <f>GETPIVOTDATA("Sum of Retained Duty System",smallareapivot!$A$3,"ReportingLevel","1:LA","lvl","North Ayrshire")</f>
        <v>98</v>
      </c>
      <c r="E32" s="440">
        <v>0</v>
      </c>
      <c r="F32" s="440">
        <v>0</v>
      </c>
      <c r="G32" s="440">
        <v>0</v>
      </c>
      <c r="H32" s="49">
        <f>GETPIVOTDATA("Sum of Volunteer",smallareapivot!$A$3,"ReportingLevel","1:LA","lvl","North Ayrshire")</f>
        <v>19</v>
      </c>
      <c r="I32" s="47">
        <f t="shared" si="3"/>
        <v>202</v>
      </c>
      <c r="J32" s="47">
        <f t="shared" si="2"/>
        <v>183</v>
      </c>
    </row>
    <row r="33" spans="1:10" ht="15" customHeight="1" x14ac:dyDescent="0.25">
      <c r="A33" s="89" t="str">
        <f>IF(A9="2019-20","S12000050","S12000044")</f>
        <v>S12000044</v>
      </c>
      <c r="B33" s="48" t="s">
        <v>50</v>
      </c>
      <c r="C33" s="49">
        <f>GETPIVOTDATA("Sum of Wholetime Operational",smallareapivot!$A$3,"ReportingLevel","1:LA","lvl","North Lanarkshire")</f>
        <v>169</v>
      </c>
      <c r="D33" s="49">
        <f>GETPIVOTDATA("Sum of Retained Duty System",smallareapivot!$A$3,"ReportingLevel","1:LA","lvl","North Lanarkshire")</f>
        <v>29</v>
      </c>
      <c r="E33" s="440">
        <v>0</v>
      </c>
      <c r="F33" s="440">
        <v>0</v>
      </c>
      <c r="G33" s="440">
        <v>0</v>
      </c>
      <c r="H33" s="49">
        <f>GETPIVOTDATA("Sum of Volunteer",smallareapivot!$A$3,"ReportingLevel","1:LA","lvl","North Lanarkshire")</f>
        <v>0</v>
      </c>
      <c r="I33" s="47">
        <f t="shared" si="3"/>
        <v>198</v>
      </c>
      <c r="J33" s="47">
        <f t="shared" si="2"/>
        <v>198</v>
      </c>
    </row>
    <row r="34" spans="1:10" ht="15" customHeight="1" x14ac:dyDescent="0.25">
      <c r="A34" s="89" t="s">
        <v>278</v>
      </c>
      <c r="B34" s="48" t="s">
        <v>51</v>
      </c>
      <c r="C34" s="49">
        <f>GETPIVOTDATA("Sum of Wholetime Operational",smallareapivot!$A$3,"ReportingLevel","1:LA","lvl","Orkney Islands")</f>
        <v>0</v>
      </c>
      <c r="D34" s="49">
        <f>GETPIVOTDATA("Sum of Retained Duty System",smallareapivot!$A$3,"ReportingLevel","1:LA","lvl","Orkney Islands")</f>
        <v>112</v>
      </c>
      <c r="E34" s="440">
        <v>0</v>
      </c>
      <c r="F34" s="440">
        <v>0</v>
      </c>
      <c r="G34" s="440">
        <v>0</v>
      </c>
      <c r="H34" s="49">
        <f>GETPIVOTDATA("Sum of Volunteer",smallareapivot!$A$3,"ReportingLevel","1:LA","lvl","Orkney Islands")</f>
        <v>0</v>
      </c>
      <c r="I34" s="47">
        <f t="shared" si="3"/>
        <v>112</v>
      </c>
      <c r="J34" s="47">
        <f t="shared" si="2"/>
        <v>112</v>
      </c>
    </row>
    <row r="35" spans="1:10" ht="15" customHeight="1" x14ac:dyDescent="0.25">
      <c r="A35" s="89" t="s">
        <v>279</v>
      </c>
      <c r="B35" s="48" t="s">
        <v>52</v>
      </c>
      <c r="C35" s="49">
        <f>GETPIVOTDATA("Sum of Wholetime Operational",smallareapivot!$A$3,"ReportingLevel","1:LA","lvl","Perth and Kinross")</f>
        <v>66</v>
      </c>
      <c r="D35" s="49">
        <f>GETPIVOTDATA("Sum of Retained Duty System",smallareapivot!$A$3,"ReportingLevel","1:LA","lvl","Perth and Kinross")</f>
        <v>117</v>
      </c>
      <c r="E35" s="440">
        <v>0</v>
      </c>
      <c r="F35" s="440">
        <v>0</v>
      </c>
      <c r="G35" s="440">
        <v>0</v>
      </c>
      <c r="H35" s="49">
        <f>GETPIVOTDATA("Sum of Volunteer",smallareapivot!$A$3,"ReportingLevel","1:LA","lvl","Perth and Kinross")</f>
        <v>21</v>
      </c>
      <c r="I35" s="47">
        <f t="shared" si="3"/>
        <v>204</v>
      </c>
      <c r="J35" s="47">
        <f t="shared" si="2"/>
        <v>183</v>
      </c>
    </row>
    <row r="36" spans="1:10" ht="15" customHeight="1" x14ac:dyDescent="0.25">
      <c r="A36" s="89" t="s">
        <v>289</v>
      </c>
      <c r="B36" s="48" t="s">
        <v>53</v>
      </c>
      <c r="C36" s="49">
        <f>GETPIVOTDATA("Sum of Wholetime Operational",smallareapivot!$A$3,"ReportingLevel","1:LA","lvl","Renfrewshire")</f>
        <v>102</v>
      </c>
      <c r="D36" s="49">
        <f>GETPIVOTDATA("Sum of Retained Duty System",smallareapivot!$A$3,"ReportingLevel","1:LA","lvl","Renfrewshire")</f>
        <v>11</v>
      </c>
      <c r="E36" s="440">
        <v>0</v>
      </c>
      <c r="F36" s="440">
        <v>0</v>
      </c>
      <c r="G36" s="440">
        <v>0</v>
      </c>
      <c r="H36" s="49">
        <f>GETPIVOTDATA("Sum of Volunteer",smallareapivot!$A$3,"ReportingLevel","1:LA","lvl","Renfrewshire")</f>
        <v>0</v>
      </c>
      <c r="I36" s="47">
        <f t="shared" si="3"/>
        <v>113</v>
      </c>
      <c r="J36" s="47">
        <f t="shared" si="2"/>
        <v>113</v>
      </c>
    </row>
    <row r="37" spans="1:10" ht="15" customHeight="1" x14ac:dyDescent="0.25">
      <c r="A37" s="89" t="s">
        <v>280</v>
      </c>
      <c r="B37" s="48" t="s">
        <v>54</v>
      </c>
      <c r="C37" s="49">
        <f>GETPIVOTDATA("Sum of Wholetime Operational",smallareapivot!$A$3,"ReportingLevel","1:LA","lvl","Scottish Borders")</f>
        <v>57</v>
      </c>
      <c r="D37" s="49">
        <f>GETPIVOTDATA("Sum of Retained Duty System",smallareapivot!$A$3,"ReportingLevel","1:LA","lvl","Scottish Borders")</f>
        <v>137</v>
      </c>
      <c r="E37" s="440">
        <v>0</v>
      </c>
      <c r="F37" s="440">
        <v>0</v>
      </c>
      <c r="G37" s="440">
        <v>0</v>
      </c>
      <c r="H37" s="49">
        <f>GETPIVOTDATA("Sum of Volunteer",smallareapivot!$A$3,"ReportingLevel","1:LA","lvl","Scottish Borders")</f>
        <v>0</v>
      </c>
      <c r="I37" s="47">
        <f t="shared" si="3"/>
        <v>194</v>
      </c>
      <c r="J37" s="47">
        <f t="shared" si="2"/>
        <v>194</v>
      </c>
    </row>
    <row r="38" spans="1:10" ht="15" customHeight="1" x14ac:dyDescent="0.25">
      <c r="A38" s="89" t="s">
        <v>281</v>
      </c>
      <c r="B38" s="48" t="s">
        <v>55</v>
      </c>
      <c r="C38" s="49">
        <f>GETPIVOTDATA("Sum of Wholetime Operational",smallareapivot!$A$3,"ReportingLevel","1:LA","lvl","Shetland Islands")</f>
        <v>1</v>
      </c>
      <c r="D38" s="49">
        <f>GETPIVOTDATA("Sum of Retained Duty System",smallareapivot!$A$3,"ReportingLevel","1:LA","lvl","Shetland Islands")</f>
        <v>114</v>
      </c>
      <c r="E38" s="440">
        <v>0</v>
      </c>
      <c r="F38" s="440">
        <v>0</v>
      </c>
      <c r="G38" s="440">
        <v>0</v>
      </c>
      <c r="H38" s="49">
        <f>GETPIVOTDATA("Sum of Volunteer",smallareapivot!$A$3,"ReportingLevel","1:LA","lvl","Shetland Islands")</f>
        <v>0</v>
      </c>
      <c r="I38" s="47">
        <f t="shared" si="3"/>
        <v>115</v>
      </c>
      <c r="J38" s="47">
        <f t="shared" si="2"/>
        <v>115</v>
      </c>
    </row>
    <row r="39" spans="1:10" ht="15" customHeight="1" x14ac:dyDescent="0.25">
      <c r="A39" s="89" t="s">
        <v>282</v>
      </c>
      <c r="B39" s="48" t="s">
        <v>56</v>
      </c>
      <c r="C39" s="49">
        <f>GETPIVOTDATA("Sum of Wholetime Operational",smallareapivot!$A$3,"ReportingLevel","1:LA","lvl","South Ayrshire")</f>
        <v>52</v>
      </c>
      <c r="D39" s="49">
        <f>GETPIVOTDATA("Sum of Retained Duty System",smallareapivot!$A$3,"ReportingLevel","1:LA","lvl","South Ayrshire")</f>
        <v>46</v>
      </c>
      <c r="E39" s="440">
        <v>0</v>
      </c>
      <c r="F39" s="440">
        <v>0</v>
      </c>
      <c r="G39" s="440">
        <v>0</v>
      </c>
      <c r="H39" s="49">
        <f>GETPIVOTDATA("Sum of Volunteer",smallareapivot!$A$3,"ReportingLevel","1:LA","lvl","South Ayrshire")</f>
        <v>0</v>
      </c>
      <c r="I39" s="47">
        <f t="shared" si="3"/>
        <v>98</v>
      </c>
      <c r="J39" s="47">
        <f t="shared" si="2"/>
        <v>98</v>
      </c>
    </row>
    <row r="40" spans="1:10" ht="15" customHeight="1" x14ac:dyDescent="0.25">
      <c r="A40" s="89" t="s">
        <v>283</v>
      </c>
      <c r="B40" s="48" t="s">
        <v>57</v>
      </c>
      <c r="C40" s="49">
        <f>GETPIVOTDATA("Sum of Wholetime Operational",smallareapivot!$A$3,"ReportingLevel","1:LA","lvl","South Lanarkshire")</f>
        <v>161</v>
      </c>
      <c r="D40" s="49">
        <f>GETPIVOTDATA("Sum of Retained Duty System",smallareapivot!$A$3,"ReportingLevel","1:LA","lvl","South Lanarkshire")</f>
        <v>73</v>
      </c>
      <c r="E40" s="440">
        <v>0</v>
      </c>
      <c r="F40" s="440">
        <v>0</v>
      </c>
      <c r="G40" s="440">
        <v>0</v>
      </c>
      <c r="H40" s="49">
        <f>GETPIVOTDATA("Sum of Volunteer",smallareapivot!$A$3,"ReportingLevel","1:LA","lvl","South Lanarkshire")</f>
        <v>0</v>
      </c>
      <c r="I40" s="47">
        <f t="shared" si="3"/>
        <v>234</v>
      </c>
      <c r="J40" s="47">
        <f t="shared" si="2"/>
        <v>234</v>
      </c>
    </row>
    <row r="41" spans="1:10" ht="15" customHeight="1" x14ac:dyDescent="0.25">
      <c r="A41" s="89" t="s">
        <v>284</v>
      </c>
      <c r="B41" s="48" t="s">
        <v>58</v>
      </c>
      <c r="C41" s="49">
        <f>GETPIVOTDATA("Sum of Wholetime Operational",smallareapivot!$A$3,"ReportingLevel","1:LA","lvl","Stirling")</f>
        <v>49</v>
      </c>
      <c r="D41" s="49">
        <f>GETPIVOTDATA("Sum of Retained Duty System",smallareapivot!$A$3,"ReportingLevel","1:LA","lvl","Stirling")</f>
        <v>68</v>
      </c>
      <c r="E41" s="440">
        <v>0</v>
      </c>
      <c r="F41" s="440">
        <v>0</v>
      </c>
      <c r="G41" s="440">
        <v>0</v>
      </c>
      <c r="H41" s="49">
        <f>GETPIVOTDATA("Sum of Volunteer",smallareapivot!$A$3,"ReportingLevel","1:LA","lvl","Stirling")</f>
        <v>0</v>
      </c>
      <c r="I41" s="47">
        <f t="shared" si="3"/>
        <v>117</v>
      </c>
      <c r="J41" s="47">
        <f t="shared" si="2"/>
        <v>117</v>
      </c>
    </row>
    <row r="42" spans="1:10" ht="15" customHeight="1" x14ac:dyDescent="0.25">
      <c r="A42" s="89" t="s">
        <v>290</v>
      </c>
      <c r="B42" s="48" t="s">
        <v>59</v>
      </c>
      <c r="C42" s="49">
        <f>GETPIVOTDATA("Sum of Wholetime Operational",smallareapivot!$A$3,"ReportingLevel","1:LA","lvl","West Dunbartonshire")</f>
        <v>75</v>
      </c>
      <c r="D42" s="49">
        <f>GETPIVOTDATA("Sum of Retained Duty System",smallareapivot!$A$3,"ReportingLevel","1:LA","lvl","West Dunbartonshire")</f>
        <v>21</v>
      </c>
      <c r="E42" s="440">
        <v>0</v>
      </c>
      <c r="F42" s="440">
        <v>0</v>
      </c>
      <c r="G42" s="440">
        <v>0</v>
      </c>
      <c r="H42" s="49">
        <f>GETPIVOTDATA("Sum of Volunteer",smallareapivot!$A$3,"ReportingLevel","1:LA","lvl","West Dunbartonshire")</f>
        <v>0</v>
      </c>
      <c r="I42" s="47">
        <f t="shared" si="3"/>
        <v>96</v>
      </c>
      <c r="J42" s="47">
        <f t="shared" si="2"/>
        <v>96</v>
      </c>
    </row>
    <row r="43" spans="1:10" ht="15" customHeight="1" x14ac:dyDescent="0.25">
      <c r="A43" s="89" t="s">
        <v>291</v>
      </c>
      <c r="B43" s="48" t="s">
        <v>60</v>
      </c>
      <c r="C43" s="49">
        <f>GETPIVOTDATA("Sum of Wholetime Operational",smallareapivot!$A$3,"ReportingLevel","1:LA","lvl","West Lothian")</f>
        <v>63</v>
      </c>
      <c r="D43" s="49">
        <f>GETPIVOTDATA("Sum of Retained Duty System",smallareapivot!$A$3,"ReportingLevel","1:LA","lvl","West Lothian")</f>
        <v>56</v>
      </c>
      <c r="E43" s="440">
        <v>0</v>
      </c>
      <c r="F43" s="440">
        <v>0</v>
      </c>
      <c r="G43" s="440">
        <v>0</v>
      </c>
      <c r="H43" s="49">
        <f>GETPIVOTDATA("Sum of Volunteer",smallareapivot!$A$3,"ReportingLevel","1:LA","lvl","West Lothian")</f>
        <v>0</v>
      </c>
      <c r="I43" s="47">
        <f t="shared" si="3"/>
        <v>119</v>
      </c>
      <c r="J43" s="47">
        <f t="shared" si="2"/>
        <v>119</v>
      </c>
    </row>
    <row r="44" spans="1:10" ht="30" customHeight="1" thickBot="1" x14ac:dyDescent="0.3">
      <c r="A44" s="52"/>
      <c r="B44" s="52" t="s">
        <v>61</v>
      </c>
      <c r="C44" s="53">
        <f>GETPIVOTDATA("Sum of Wholetime Operational",smallareapivot!$A$3,"ReportingLevel","1:LA")</f>
        <v>2870</v>
      </c>
      <c r="D44" s="53">
        <f>GETPIVOTDATA("Sum of Retained Duty System",smallareapivot!$A$3,"ReportingLevel","1:LA")</f>
        <v>2708</v>
      </c>
      <c r="E44" s="439">
        <v>0</v>
      </c>
      <c r="F44" s="439">
        <v>0</v>
      </c>
      <c r="G44" s="439">
        <v>0</v>
      </c>
      <c r="H44" s="53">
        <f>GETPIVOTDATA("Sum of Volunteer",smallareapivot!$A$3,"ReportingLevel","1:LA")</f>
        <v>269</v>
      </c>
      <c r="I44" s="53">
        <f>SUM(I12:I43)</f>
        <v>5847</v>
      </c>
      <c r="J44" s="53">
        <f t="shared" ref="J44" si="4">SUM(J12:J43)</f>
        <v>5578</v>
      </c>
    </row>
    <row r="45" spans="1:10" ht="19.5" customHeight="1" x14ac:dyDescent="0.25">
      <c r="A45" s="48"/>
      <c r="B45" s="48"/>
      <c r="C45" s="46"/>
      <c r="D45" s="46"/>
      <c r="E45" s="46"/>
      <c r="F45" s="46"/>
      <c r="G45" s="46"/>
      <c r="H45" s="46"/>
      <c r="I45" s="47"/>
      <c r="J45" s="47"/>
    </row>
    <row r="46" spans="1:10" ht="37.5" customHeight="1" x14ac:dyDescent="0.25">
      <c r="A46" s="448" t="s">
        <v>459</v>
      </c>
      <c r="B46" s="448" t="s">
        <v>62</v>
      </c>
      <c r="C46" s="37" t="s">
        <v>27</v>
      </c>
      <c r="D46" s="37" t="s">
        <v>28</v>
      </c>
      <c r="E46" s="37" t="s">
        <v>831</v>
      </c>
      <c r="F46" s="37" t="s">
        <v>2</v>
      </c>
      <c r="G46" s="37" t="s">
        <v>3</v>
      </c>
      <c r="H46" s="37" t="s">
        <v>29</v>
      </c>
      <c r="I46" s="4" t="s">
        <v>10</v>
      </c>
      <c r="J46" s="4" t="s">
        <v>98</v>
      </c>
    </row>
    <row r="47" spans="1:10" ht="22.5" customHeight="1" x14ac:dyDescent="0.25">
      <c r="A47" s="399" t="str">
        <f>IF(OR(A9="2021-22", A9 = "2022-23"), "S39000023", "S39000001")</f>
        <v>S39000001</v>
      </c>
      <c r="B47" s="684" t="str">
        <f>IF(OR(A9 ="2021-22", A9 = "2022-23", A9 = "2023-24"), "Abderdeen City, Aberdeenshire and Moray", "Aberdeen City")</f>
        <v>Abderdeen City, Aberdeenshire and Moray</v>
      </c>
      <c r="C47" s="56">
        <f>IF(OR(A9="2021-22", A9 = "2022-23", A9 = "2023-24"), GETPIVOTDATA("Sum of Wholetime Operational",smallareapivot!$A$3,"ReportingLevel","2:LSO","lvl","Aberdeen City, Aberdeenshire and Moray"), GETPIVOTDATA("Sum of Wholetime Operational",smallareapivot!$A$3,"ReportingLevel","2:LSO","lvl","Aberdeen City"))</f>
        <v>22</v>
      </c>
      <c r="D47" s="442" t="s">
        <v>564</v>
      </c>
      <c r="E47" s="687">
        <f>IF(OR(A9="2021-22", A9 = "2022-23", A9 = "2023-24"), GETPIVOTDATA("Sum of RDS Fulltime",smallareapivot!$A$3,"ReportingLevel","2:LSO","lvl","Aberdeen City, Aberdeenshire and Moray"),GETPIVOTDATA("Sum of RDS Fulltime",smallareapivot!$A$3,"ReportingLevel","2:LSO","lvl","Aberdeen City"))</f>
        <v>9</v>
      </c>
      <c r="F47" s="442">
        <v>0</v>
      </c>
      <c r="G47" s="442">
        <v>0</v>
      </c>
      <c r="H47" s="442">
        <v>0</v>
      </c>
      <c r="I47" s="61">
        <f>SUM(C47:H47)</f>
        <v>31</v>
      </c>
      <c r="J47" s="32">
        <f>I47-H47</f>
        <v>31</v>
      </c>
    </row>
    <row r="48" spans="1:10" ht="15" customHeight="1" x14ac:dyDescent="0.25">
      <c r="A48" s="686" t="str">
        <f>IF(OR(A9 = "2021-22", A9 = "2022-23"),"", "S39000002")</f>
        <v>S39000002</v>
      </c>
      <c r="B48" s="681" t="str">
        <f>IF(OR(A9 = "2021-22", A9 = "2022-23", A9 = "2023-24"), "", "Aberdeenshire and Moray")</f>
        <v/>
      </c>
      <c r="C48" s="685" t="str">
        <f>IF(OR(A9="2021-22", A9 = "2022-23", A9 = "2023-24"), "", GETPIVOTDATA("Sum of Wholetime Operational",smallareapivot!$A$3,"ReportingLevel","2:LSO","lvl","Aberdeenshire and Moray"))</f>
        <v/>
      </c>
      <c r="D48" s="441" t="s">
        <v>564</v>
      </c>
      <c r="E48" s="685" t="str">
        <f>IF(OR(A9="2021-22", A9 = "2022-23", A9 = "2023-24"), "", GETPIVOTDATA("Sum of RDS Fulltime",smallareapivot!$A$3,"ReportingLevel","2:LSO","lvl","Aberdeenshire and Moray"))</f>
        <v/>
      </c>
      <c r="F48" s="441">
        <v>0</v>
      </c>
      <c r="G48" s="441">
        <v>0</v>
      </c>
      <c r="H48" s="441">
        <v>0</v>
      </c>
      <c r="I48" s="47">
        <f t="shared" ref="I48:I63" si="5">SUM(C48:H48)</f>
        <v>0</v>
      </c>
      <c r="J48" s="47">
        <f t="shared" ref="J48:J63" si="6">I48-H48</f>
        <v>0</v>
      </c>
    </row>
    <row r="49" spans="1:10" ht="15" customHeight="1" x14ac:dyDescent="0.25">
      <c r="A49" s="400" t="s">
        <v>337</v>
      </c>
      <c r="B49" s="681" t="s">
        <v>64</v>
      </c>
      <c r="C49" s="49">
        <f>GETPIVOTDATA("Sum of Wholetime Operational",smallareapivot!$A$3,"ReportingLevel","2:LSO","lvl","Argyll and Bute, East Dunbartonshire and West Dunbartonshire")</f>
        <v>28</v>
      </c>
      <c r="D49" s="441" t="s">
        <v>564</v>
      </c>
      <c r="E49" s="685">
        <f>IFERROR(GETPIVOTDATA("Sum of RDS Fulltime",smallareapivot!$A$3,"ReportingLevel","2:LSO","lvl","Argyll and Bute, East Dunbartonshire and West Dunbartonshire"),0)</f>
        <v>6</v>
      </c>
      <c r="F49" s="441">
        <v>0</v>
      </c>
      <c r="G49" s="441">
        <v>0</v>
      </c>
      <c r="H49" s="441">
        <v>0</v>
      </c>
      <c r="I49" s="47">
        <f t="shared" si="5"/>
        <v>34</v>
      </c>
      <c r="J49" s="47">
        <f t="shared" si="6"/>
        <v>34</v>
      </c>
    </row>
    <row r="50" spans="1:10" ht="15" customHeight="1" x14ac:dyDescent="0.25">
      <c r="A50" s="400" t="s">
        <v>338</v>
      </c>
      <c r="B50" s="681" t="s">
        <v>36</v>
      </c>
      <c r="C50" s="49">
        <f>IFERROR(GETPIVOTDATA("Sum of Wholetime Operational",smallareapivot!$A$3,"ReportingLevel","2:LSO","lvl","Dumfries and Galloway"),0)</f>
        <v>22</v>
      </c>
      <c r="D50" s="441" t="s">
        <v>564</v>
      </c>
      <c r="E50" s="685">
        <f>IFERROR(GETPIVOTDATA("Sum of RDS Fulltime",smallareapivot!$A$3,"ReportingLevel","2:LSO","lvl","Dumfries and Galloway"),0)</f>
        <v>4</v>
      </c>
      <c r="F50" s="441">
        <v>0</v>
      </c>
      <c r="G50" s="441">
        <v>0</v>
      </c>
      <c r="H50" s="441">
        <v>0</v>
      </c>
      <c r="I50" s="47">
        <f t="shared" si="5"/>
        <v>26</v>
      </c>
      <c r="J50" s="47">
        <f t="shared" si="6"/>
        <v>26</v>
      </c>
    </row>
    <row r="51" spans="1:10" ht="15" customHeight="1" x14ac:dyDescent="0.25">
      <c r="A51" s="400" t="s">
        <v>336</v>
      </c>
      <c r="B51" s="681" t="s">
        <v>65</v>
      </c>
      <c r="C51" s="49">
        <f>GETPIVOTDATA("Sum of Wholetime Operational",smallareapivot!$A$3,"ReportingLevel","2:LSO","lvl","Dundee, Angus, Perth and Kinross")</f>
        <v>23</v>
      </c>
      <c r="D51" s="441" t="s">
        <v>564</v>
      </c>
      <c r="E51" s="685">
        <f>IFERROR(GETPIVOTDATA("Sum of RDS Fulltime",smallareapivot!$A$3,"ReportingLevel","2:LSO","lvl","Dundee, Angus, Perth and Kinross"),0)</f>
        <v>3</v>
      </c>
      <c r="F51" s="441">
        <v>0</v>
      </c>
      <c r="G51" s="441">
        <v>0</v>
      </c>
      <c r="H51" s="441">
        <v>0</v>
      </c>
      <c r="I51" s="47">
        <f t="shared" si="5"/>
        <v>26</v>
      </c>
      <c r="J51" s="47">
        <f t="shared" si="6"/>
        <v>26</v>
      </c>
    </row>
    <row r="52" spans="1:10" ht="15" customHeight="1" x14ac:dyDescent="0.25">
      <c r="A52" s="400" t="s">
        <v>339</v>
      </c>
      <c r="B52" s="681" t="s">
        <v>66</v>
      </c>
      <c r="C52" s="49">
        <f>IFERROR(GETPIVOTDATA("Sum of Wholetime Operational",smallareapivot!$A$3,"ReportingLevel","2:LSO","lvl","East Ayrshire, North Ayrshire and South Ayrshire"),0)</f>
        <v>25</v>
      </c>
      <c r="D52" s="441" t="s">
        <v>564</v>
      </c>
      <c r="E52" s="685">
        <f>IFERROR(GETPIVOTDATA("Sum of RDS Fulltime",smallareapivot!$A$3,"ReportingLevel","2:LSO","lvl","East Ayrshire, North Ayrshire and South Ayrshire"),0)</f>
        <v>4</v>
      </c>
      <c r="F52" s="441">
        <v>0</v>
      </c>
      <c r="G52" s="441">
        <v>0</v>
      </c>
      <c r="H52" s="441">
        <v>0</v>
      </c>
      <c r="I52" s="47">
        <f t="shared" si="5"/>
        <v>29</v>
      </c>
      <c r="J52" s="47">
        <f t="shared" si="6"/>
        <v>29</v>
      </c>
    </row>
    <row r="53" spans="1:10" ht="15" customHeight="1" x14ac:dyDescent="0.25">
      <c r="A53" s="400" t="s">
        <v>340</v>
      </c>
      <c r="B53" s="681" t="s">
        <v>67</v>
      </c>
      <c r="C53" s="49">
        <f>IFERROR(GETPIVOTDATA("Sum of Wholetime Operational",smallareapivot!$A$3,"ReportingLevel","2:LSO","lvl","East Lothian, Midlothian and the Scottish Borders"),0)</f>
        <v>26</v>
      </c>
      <c r="D53" s="441" t="s">
        <v>564</v>
      </c>
      <c r="E53" s="685">
        <f>IFERROR(GETPIVOTDATA("Sum of RDS Fulltime",smallareapivot!$A$3,"ReportingLevel","2:LSO","lvl","East Lothian, Midlothian and the Scottish Borders"),0)</f>
        <v>3</v>
      </c>
      <c r="F53" s="441">
        <v>0</v>
      </c>
      <c r="G53" s="441">
        <v>0</v>
      </c>
      <c r="H53" s="441">
        <v>0</v>
      </c>
      <c r="I53" s="47">
        <f t="shared" si="5"/>
        <v>29</v>
      </c>
      <c r="J53" s="47">
        <f t="shared" si="6"/>
        <v>29</v>
      </c>
    </row>
    <row r="54" spans="1:10" ht="15" customHeight="1" x14ac:dyDescent="0.25">
      <c r="A54" s="343" t="s">
        <v>341</v>
      </c>
      <c r="B54" s="681" t="s">
        <v>68</v>
      </c>
      <c r="C54" s="49">
        <f>IFERROR(GETPIVOTDATA("Sum of Wholetime Operational",smallareapivot!$A$3,"ReportingLevel","2:LSO","lvl","East Renfrewshire, Renfrewshire and Inverclyde"),0)</f>
        <v>18</v>
      </c>
      <c r="D54" s="441" t="s">
        <v>564</v>
      </c>
      <c r="E54" s="685">
        <f>IFERROR(GETPIVOTDATA("Sum of RDS Fulltime",smallareapivot!$A$3,"ReportingLevel","2:LSO","lvl","East Renfrewshire, Renfrewshire and Inverclyde"),0)</f>
        <v>0</v>
      </c>
      <c r="F54" s="441">
        <v>0</v>
      </c>
      <c r="G54" s="441">
        <v>0</v>
      </c>
      <c r="H54" s="441">
        <v>0</v>
      </c>
      <c r="I54" s="47">
        <f t="shared" si="5"/>
        <v>18</v>
      </c>
      <c r="J54" s="47">
        <f t="shared" si="6"/>
        <v>18</v>
      </c>
    </row>
    <row r="55" spans="1:10" ht="15" customHeight="1" x14ac:dyDescent="0.25">
      <c r="A55" s="400" t="s">
        <v>342</v>
      </c>
      <c r="B55" s="681" t="s">
        <v>243</v>
      </c>
      <c r="C55" s="49">
        <f>IFERROR(GETPIVOTDATA("Sum of Wholetime Operational",smallareapivot!$A$3,"ReportingLevel","2:LSO","lvl","Edinburgh City"),0)</f>
        <v>27</v>
      </c>
      <c r="D55" s="441" t="s">
        <v>564</v>
      </c>
      <c r="E55" s="685">
        <f>IFERROR(GETPIVOTDATA("Sum of RDS Fulltime",smallareapivot!$A$3,"ReportingLevel","2:LSO","lvl","Edinburgh City"),0)</f>
        <v>0</v>
      </c>
      <c r="F55" s="441">
        <v>0</v>
      </c>
      <c r="G55" s="441">
        <v>0</v>
      </c>
      <c r="H55" s="441">
        <v>0</v>
      </c>
      <c r="I55" s="47">
        <f t="shared" si="5"/>
        <v>27</v>
      </c>
      <c r="J55" s="47">
        <f t="shared" si="6"/>
        <v>27</v>
      </c>
    </row>
    <row r="56" spans="1:10" ht="15" customHeight="1" x14ac:dyDescent="0.25">
      <c r="A56" s="400" t="s">
        <v>343</v>
      </c>
      <c r="B56" s="681" t="s">
        <v>69</v>
      </c>
      <c r="C56" s="49">
        <f>IFERROR(GETPIVOTDATA("Sum of Wholetime Operational",smallareapivot!$A$3,"ReportingLevel","2:LSO","lvl","Falkirk and West Lothian"),0)</f>
        <v>19</v>
      </c>
      <c r="D56" s="441" t="s">
        <v>564</v>
      </c>
      <c r="E56" s="685">
        <f>IFERROR(GETPIVOTDATA("Sum of RDS Fulltime",smallareapivot!$A$3,"ReportingLevel","2:LSO","lvl","Falkirk and West Lothian"),0)</f>
        <v>2</v>
      </c>
      <c r="F56" s="441">
        <v>0</v>
      </c>
      <c r="G56" s="441">
        <v>0</v>
      </c>
      <c r="H56" s="441">
        <v>0</v>
      </c>
      <c r="I56" s="47">
        <f t="shared" si="5"/>
        <v>21</v>
      </c>
      <c r="J56" s="47">
        <f t="shared" si="6"/>
        <v>21</v>
      </c>
    </row>
    <row r="57" spans="1:10" ht="15" customHeight="1" x14ac:dyDescent="0.25">
      <c r="A57" s="400" t="str">
        <f>IF(OR(A9 = "2018-19", A9 = "2017-18", A9 = "2016-17", A9 = "2015-16", A9 = "2014-15", A9 = "2013-14"),"S39000019","")</f>
        <v/>
      </c>
      <c r="B57" s="317" t="str">
        <f>IF(OR(A9 = "2018-19", A9 = "2017-18", A9 = "2016-17", A9 = "2015-16", A9 = "2014-15", A9 = "2013-14"), "Fife", "")</f>
        <v/>
      </c>
      <c r="C57" s="49" t="str">
        <f>IF(OR(A9 = "2018-19", A9 = "2017-18", A9 = "2016-17", A9 = "2015-16", A9 = "2014-15", A9 = "2013-14"), GETPIVOTDATA("Sum of Wholetime Operational",smallareapivot!$A$3,"ReportingLevel","2:LSO","lvl","Fife"),"")</f>
        <v/>
      </c>
      <c r="D57" s="441" t="s">
        <v>564</v>
      </c>
      <c r="E57" s="685" t="str">
        <f>IFERROR(IF(OR(A9 = "2018-19", C9 = "2017-18", C9 = "2016-17", C9 = "2015-16", C9 = "2014-15", C9 = "2013-14"), GETPIVOTDATA("Sum of RDS Fulltime",smallareapivot!$A$3,"ReportingLevel","2:LSO","lvl","Fife"),""), "-")</f>
        <v/>
      </c>
      <c r="F57" s="441">
        <v>0</v>
      </c>
      <c r="G57" s="441">
        <v>0</v>
      </c>
      <c r="H57" s="441">
        <v>0</v>
      </c>
      <c r="I57" s="47">
        <f t="shared" si="5"/>
        <v>0</v>
      </c>
      <c r="J57" s="47">
        <f t="shared" si="6"/>
        <v>0</v>
      </c>
    </row>
    <row r="58" spans="1:10" ht="15" customHeight="1" x14ac:dyDescent="0.25">
      <c r="A58" s="400" t="str">
        <f>IF(A9="2018-19","S39000012","S39000020")</f>
        <v>S39000020</v>
      </c>
      <c r="B58" s="681" t="s">
        <v>117</v>
      </c>
      <c r="C58" s="49">
        <f>IFERROR(GETPIVOTDATA("Sum of Wholetime Operational",smallareapivot!$A$3,"ReportingLevel","2:LSO","lvl","Glasgow City"),0)</f>
        <v>23</v>
      </c>
      <c r="D58" s="441" t="s">
        <v>564</v>
      </c>
      <c r="E58" s="685">
        <f>IFERROR(GETPIVOTDATA("Sum of RDS Fulltime",smallareapivot!$A$3,"ReportingLevel","2:LSO","lvl","Glasgow City"),0)</f>
        <v>0</v>
      </c>
      <c r="F58" s="441">
        <v>0</v>
      </c>
      <c r="G58" s="441">
        <v>0</v>
      </c>
      <c r="H58" s="441">
        <v>0</v>
      </c>
      <c r="I58" s="47">
        <f t="shared" si="5"/>
        <v>23</v>
      </c>
      <c r="J58" s="47">
        <f t="shared" si="6"/>
        <v>23</v>
      </c>
    </row>
    <row r="59" spans="1:10" ht="15" customHeight="1" x14ac:dyDescent="0.25">
      <c r="A59" s="400" t="s">
        <v>344</v>
      </c>
      <c r="B59" s="681" t="s">
        <v>70</v>
      </c>
      <c r="C59" s="49">
        <f>GETPIVOTDATA("Sum of Wholetime Operational",smallareapivot!$A$3,"ReportingLevel","2:LSO","lvl","Highlands")</f>
        <v>23</v>
      </c>
      <c r="D59" s="441" t="s">
        <v>564</v>
      </c>
      <c r="E59" s="685">
        <f>IFERROR(GETPIVOTDATA("Sum of RDS Fulltime",smallareapivot!$A$3,"ReportingLevel","2:LSO","lvl","Highlands"),0)</f>
        <v>11</v>
      </c>
      <c r="F59" s="441">
        <v>0</v>
      </c>
      <c r="G59" s="441">
        <v>0</v>
      </c>
      <c r="H59" s="441">
        <v>0</v>
      </c>
      <c r="I59" s="47">
        <f t="shared" si="5"/>
        <v>34</v>
      </c>
      <c r="J59" s="47">
        <f t="shared" si="6"/>
        <v>34</v>
      </c>
    </row>
    <row r="60" spans="1:10" ht="15" customHeight="1" x14ac:dyDescent="0.25">
      <c r="A60" s="400" t="str">
        <f>IF(A9="2018-19","S39000014","S39000021")</f>
        <v>S39000021</v>
      </c>
      <c r="B60" s="681" t="str">
        <f>IF(OR(A9 = "2021-22", A9 = "2022-23", A9 = "2023-24"), "Lanarkshire", "North Lanarkshire")</f>
        <v>Lanarkshire</v>
      </c>
      <c r="C60" s="49">
        <f>IF(OR(A9 = "2021-22", A9 = "2022-23", A9 = "2023-24"),GETPIVOTDATA("Sum of Wholetime Operational",smallareapivot!$A$3,"ReportingLevel","2:LSO","lvl","Lanarkshire"),GETPIVOTDATA("Sum of Wholetime Operational",smallareapivot!$A$3,"ReportingLevel","2:LSO","lvl","North Lanarkshire"))</f>
        <v>27</v>
      </c>
      <c r="D60" s="441" t="s">
        <v>564</v>
      </c>
      <c r="E60" s="685">
        <f>IF(OR(A9 = "2021-22", A9 = "2022-23", A9 = "2023-24"),GETPIVOTDATA("Sum of RDS Fulltime",smallareapivot!$A$3,"ReportingLevel","2:LSO","lvl","Lanarkshire"),GETPIVOTDATA("Sum of RDS Fulltime",smallareapivot!$A$3,"ReportingLevel","2:LSO","lvl","North Lanarkshire"))</f>
        <v>2</v>
      </c>
      <c r="F60" s="441">
        <v>0</v>
      </c>
      <c r="G60" s="441">
        <v>0</v>
      </c>
      <c r="H60" s="441">
        <v>0</v>
      </c>
      <c r="I60" s="47">
        <f t="shared" si="5"/>
        <v>29</v>
      </c>
      <c r="J60" s="47">
        <f t="shared" si="6"/>
        <v>29</v>
      </c>
    </row>
    <row r="61" spans="1:10" ht="15" customHeight="1" x14ac:dyDescent="0.25">
      <c r="A61" s="400" t="str">
        <f>IF(OR(A9 = "2021-22", A9 = "2022-23"), "", "S39000015")</f>
        <v>S39000015</v>
      </c>
      <c r="B61" s="681" t="str">
        <f>IF(OR(A9 = "2021-22", A9 = "2022-23", A9 = "2023-24"),"","South Lanarkshire")</f>
        <v/>
      </c>
      <c r="C61" s="49" t="str">
        <f>IF(OR(A9 = "2021-22", A9 = "2022-23", A9 = "2023-24"),"",GETPIVOTDATA("Sum of Wholetime Operational",smallareapivot!$A$3,"ReportingLevel","2:LSO","lvl","South Lanarkshire"))</f>
        <v/>
      </c>
      <c r="D61" s="441" t="s">
        <v>564</v>
      </c>
      <c r="E61" s="685" t="str">
        <f>IF(OR(A9 = "2021-22", A9 = "2022-23", A9 = "2023-24"),"",GETPIVOTDATA("Sum of RDS Fulltime",smallareapivot!$A$3,"ReportingLevel","2:LSO","lvl","South Lanarkshire"))</f>
        <v/>
      </c>
      <c r="F61" s="441">
        <v>0</v>
      </c>
      <c r="G61" s="441">
        <v>0</v>
      </c>
      <c r="H61" s="441">
        <v>0</v>
      </c>
      <c r="I61" s="47">
        <f t="shared" si="5"/>
        <v>0</v>
      </c>
      <c r="J61" s="47">
        <f t="shared" si="6"/>
        <v>0</v>
      </c>
    </row>
    <row r="62" spans="1:10" ht="15" customHeight="1" x14ac:dyDescent="0.25">
      <c r="A62" s="400" t="str">
        <f>IF(OR(A9 = "2018-19", A9 = "2017-18", A9 = "2016-17", A9 = "2015-16", A9 = "2014-15", A9 = "2013-14"),"S39000016","S39000022")</f>
        <v>S39000022</v>
      </c>
      <c r="B62" s="593" t="str">
        <f>IF(OR(A9 = "2018-19", A9 = "2017-18", A9 = "2016-17", A9 = "2015-16", A9 = "2014-15", A9 = "2013-14"), "Stirling and Clackmannanshire", "Clackmannanshire, Fife and Stirling")</f>
        <v>Clackmannanshire, Fife and Stirling</v>
      </c>
      <c r="C62" s="49">
        <f>IF(OR(A9 = "2018-19", A9 = "2017-18", A9 = "2016-17", A9 = "2015-16", A9 = "2014-15", A9 = "2013-14"), GETPIVOTDATA("Sum of Wholetime Operational",smallareapivot!$A$3,"ReportingLevel","2:LSO","lvl","Stirling and Clackmannanshire"),GETPIVOTDATA("Sum of Wholetime Operational",smallareapivot!$A$3,"ReportingLevel","2:LSO","lvl","Stirling, Clackmannanshire and Fife"))</f>
        <v>33</v>
      </c>
      <c r="D62" s="441" t="s">
        <v>564</v>
      </c>
      <c r="E62" s="685">
        <f>IFERROR(IF(OR(A9 = "2018-19", C9 = "2017-18", C9 = "2016-17", C9 = "2015-16", C9 = "2014-15", C9 = "2013-14"), GETPIVOTDATA("Sum of RDS Fulltime",smallareapivot!$A$3,"ReportingLevel","2:LSO","lvl","Stirling and Clackmannanshire"),GETPIVOTDATA("Sum of RDS Fulltime",smallareapivot!$A$3,"ReportingLevel","2:LSO","lvl","Stirling, Clackmannanshire and Fife")), "-")</f>
        <v>4</v>
      </c>
      <c r="F62" s="441">
        <v>0</v>
      </c>
      <c r="G62" s="441">
        <v>0</v>
      </c>
      <c r="H62" s="441">
        <v>0</v>
      </c>
      <c r="I62" s="47">
        <f>SUM(C62:H62)</f>
        <v>37</v>
      </c>
      <c r="J62" s="47">
        <f t="shared" si="6"/>
        <v>37</v>
      </c>
    </row>
    <row r="63" spans="1:10" ht="15" customHeight="1" x14ac:dyDescent="0.25">
      <c r="A63" s="400" t="s">
        <v>346</v>
      </c>
      <c r="B63" s="681" t="s">
        <v>71</v>
      </c>
      <c r="C63" s="49">
        <f>GETPIVOTDATA("Sum of Wholetime Operational",smallareapivot!$A$3,"ReportingLevel","2:LSO","lvl","Western Isles, Orkney and Shetland Islands")</f>
        <v>11</v>
      </c>
      <c r="D63" s="441" t="s">
        <v>564</v>
      </c>
      <c r="E63" s="685">
        <f>IFERROR(GETPIVOTDATA("Sum of RDS Fulltime",smallareapivot!$A$3,"ReportingLevel","2:LSO","lvl","Western Isles, Orkney and Shetland Islands"),0)</f>
        <v>7</v>
      </c>
      <c r="F63" s="441">
        <v>0</v>
      </c>
      <c r="G63" s="441">
        <v>0</v>
      </c>
      <c r="H63" s="441">
        <v>0</v>
      </c>
      <c r="I63" s="47">
        <f t="shared" si="5"/>
        <v>18</v>
      </c>
      <c r="J63" s="47">
        <f t="shared" si="6"/>
        <v>18</v>
      </c>
    </row>
    <row r="64" spans="1:10" ht="30" customHeight="1" thickBot="1" x14ac:dyDescent="0.3">
      <c r="A64" s="58"/>
      <c r="B64" s="58" t="s">
        <v>72</v>
      </c>
      <c r="C64" s="59">
        <f>SUM(C47:C63)</f>
        <v>327</v>
      </c>
      <c r="D64" s="439">
        <f t="shared" ref="D64:E64" si="7">SUM(D47:D63)</f>
        <v>0</v>
      </c>
      <c r="E64" s="59">
        <f t="shared" si="7"/>
        <v>55</v>
      </c>
      <c r="F64" s="439">
        <f t="shared" ref="F64:J64" si="8">SUM(F47:F63)</f>
        <v>0</v>
      </c>
      <c r="G64" s="439">
        <f t="shared" si="8"/>
        <v>0</v>
      </c>
      <c r="H64" s="439">
        <f t="shared" si="8"/>
        <v>0</v>
      </c>
      <c r="I64" s="59">
        <f>SUM(I47:I63)</f>
        <v>382</v>
      </c>
      <c r="J64" s="59">
        <f t="shared" si="8"/>
        <v>382</v>
      </c>
    </row>
    <row r="65" spans="1:10" ht="12.75" customHeight="1" x14ac:dyDescent="0.25">
      <c r="A65" s="48"/>
      <c r="B65" s="48"/>
      <c r="C65" s="46"/>
      <c r="D65" s="46"/>
      <c r="E65" s="46"/>
      <c r="F65" s="46"/>
      <c r="G65" s="46"/>
      <c r="H65" s="46"/>
      <c r="I65" s="47"/>
      <c r="J65" s="47"/>
    </row>
    <row r="66" spans="1:10" ht="41.45" customHeight="1" x14ac:dyDescent="0.25">
      <c r="A66" s="36" t="s">
        <v>333</v>
      </c>
      <c r="B66" s="78" t="s">
        <v>15</v>
      </c>
      <c r="C66" s="79" t="s">
        <v>27</v>
      </c>
      <c r="D66" s="79" t="s">
        <v>28</v>
      </c>
      <c r="E66" s="79" t="s">
        <v>831</v>
      </c>
      <c r="F66" s="79" t="s">
        <v>2</v>
      </c>
      <c r="G66" s="79" t="s">
        <v>3</v>
      </c>
      <c r="H66" s="79" t="s">
        <v>29</v>
      </c>
      <c r="I66" s="3" t="s">
        <v>10</v>
      </c>
      <c r="J66" s="3" t="s">
        <v>98</v>
      </c>
    </row>
    <row r="67" spans="1:10" ht="22.5" customHeight="1" x14ac:dyDescent="0.25">
      <c r="A67" s="509" t="s">
        <v>361</v>
      </c>
      <c r="B67" s="48" t="s">
        <v>164</v>
      </c>
      <c r="C67" s="49">
        <f>GETPIVOTDATA("Sum of Wholetime Operational",smallareapivot!$A$3,"ReportingLevel","3:SDA","lvl","East")</f>
        <v>29</v>
      </c>
      <c r="D67" s="441">
        <f>GETPIVOTDATA("Sum of Retained Duty System",smallareapivot!$A$3,"ReportingLevel","3:SDA","lvl","East")</f>
        <v>0</v>
      </c>
      <c r="E67" s="441">
        <f>GETPIVOTDATA("Sum of RDS Fulltime",smallareapivot!$A$3,"ReportingLevel","3:SDA","lvl","East")</f>
        <v>0</v>
      </c>
      <c r="F67" s="441">
        <f>GETPIVOTDATA("Sum of Control",smallareapivot!$A$3,"ReportingLevel","3:SDA","lvl","East")</f>
        <v>0</v>
      </c>
      <c r="G67" s="688">
        <f>GETPIVOTDATA("Sum of Support",smallareapivot!$A$3,"ReportingLevel","3:SDA","lvl","East")</f>
        <v>0</v>
      </c>
      <c r="H67" s="689">
        <f>GETPIVOTDATA("Sum of Volunteer",smallareapivot!$A$3,"ReportingLevel","3:SDA","lvl","East")</f>
        <v>0</v>
      </c>
      <c r="I67" s="47">
        <f>SUM(C67:H67)</f>
        <v>29</v>
      </c>
      <c r="J67" s="47">
        <f>I67-H67</f>
        <v>29</v>
      </c>
    </row>
    <row r="68" spans="1:10" ht="15" customHeight="1" x14ac:dyDescent="0.25">
      <c r="A68" s="89" t="s">
        <v>363</v>
      </c>
      <c r="B68" s="48" t="s">
        <v>162</v>
      </c>
      <c r="C68" s="49">
        <f>GETPIVOTDATA("Sum of Wholetime Operational",smallareapivot!$A$3,"ReportingLevel","3:SDA","lvl","North")</f>
        <v>52</v>
      </c>
      <c r="D68" s="441">
        <f>GETPIVOTDATA("Sum of Retained Duty System",smallareapivot!$A$3,"ReportingLevel","3:SDA","lvl","North")</f>
        <v>0</v>
      </c>
      <c r="E68" s="441">
        <f>GETPIVOTDATA("Sum of RDS Fulltime",smallareapivot!$A$3,"ReportingLevel","3:SDA","lvl","North")</f>
        <v>0</v>
      </c>
      <c r="F68" s="441">
        <f>GETPIVOTDATA("Sum of Control",smallareapivot!$A$3,"ReportingLevel","3:SDA","lvl","North")</f>
        <v>0</v>
      </c>
      <c r="G68" s="688">
        <f>GETPIVOTDATA("Sum of Support",smallareapivot!$A$3,"ReportingLevel","3:SDA","lvl","North")</f>
        <v>0</v>
      </c>
      <c r="H68" s="689">
        <f>GETPIVOTDATA("Sum of Volunteer",smallareapivot!$A$3,"ReportingLevel","3:SDA","lvl","North")</f>
        <v>0</v>
      </c>
      <c r="I68" s="47">
        <f t="shared" ref="I68:I69" si="9">SUM(C68:H68)</f>
        <v>52</v>
      </c>
      <c r="J68" s="47">
        <f>I68-H68</f>
        <v>52</v>
      </c>
    </row>
    <row r="69" spans="1:10" ht="15" customHeight="1" x14ac:dyDescent="0.25">
      <c r="A69" s="89" t="s">
        <v>362</v>
      </c>
      <c r="B69" s="48" t="s">
        <v>163</v>
      </c>
      <c r="C69" s="49">
        <f>GETPIVOTDATA("Sum of Wholetime Operational",smallareapivot!$A$3,"ReportingLevel","3:SDA","lvl","West")</f>
        <v>60</v>
      </c>
      <c r="D69" s="441">
        <f>GETPIVOTDATA("Sum of Retained Duty System",smallareapivot!$A$3,"ReportingLevel","3:SDA","lvl","West")</f>
        <v>0</v>
      </c>
      <c r="E69" s="441">
        <f>GETPIVOTDATA("Sum of RDS Fulltime",smallareapivot!$A$3,"ReportingLevel","3:SDA","lvl","West")</f>
        <v>0</v>
      </c>
      <c r="F69" s="441">
        <f>GETPIVOTDATA("Sum of Control",smallareapivot!$A$3,"ReportingLevel","3:SDA","lvl","West")</f>
        <v>0</v>
      </c>
      <c r="G69" s="688">
        <f>GETPIVOTDATA("Sum of Support",smallareapivot!$A$3,"ReportingLevel","3:SDA","lvl","West")</f>
        <v>0</v>
      </c>
      <c r="H69" s="689">
        <f>GETPIVOTDATA("Sum of Volunteer",smallareapivot!$A$3,"ReportingLevel","3:SDA","lvl","West")</f>
        <v>0</v>
      </c>
      <c r="I69" s="47">
        <f t="shared" si="9"/>
        <v>60</v>
      </c>
      <c r="J69" s="47">
        <f>I69-H69</f>
        <v>60</v>
      </c>
    </row>
    <row r="70" spans="1:10" ht="30" customHeight="1" thickBot="1" x14ac:dyDescent="0.3">
      <c r="A70" s="52"/>
      <c r="B70" s="52" t="s">
        <v>73</v>
      </c>
      <c r="C70" s="59">
        <f>SUM(C67:C69)</f>
        <v>141</v>
      </c>
      <c r="D70" s="439">
        <f t="shared" ref="D70:E70" si="10">SUM(D67:D69)</f>
        <v>0</v>
      </c>
      <c r="E70" s="439">
        <f t="shared" si="10"/>
        <v>0</v>
      </c>
      <c r="F70" s="439">
        <f t="shared" ref="F70:J70" si="11">SUM(F67:F69)</f>
        <v>0</v>
      </c>
      <c r="G70" s="59">
        <f t="shared" si="11"/>
        <v>0</v>
      </c>
      <c r="H70" s="439">
        <f t="shared" si="11"/>
        <v>0</v>
      </c>
      <c r="I70" s="59">
        <f>SUM(I67:I69)</f>
        <v>141</v>
      </c>
      <c r="J70" s="59">
        <f t="shared" si="11"/>
        <v>141</v>
      </c>
    </row>
    <row r="71" spans="1:10" x14ac:dyDescent="0.25">
      <c r="A71" s="48"/>
      <c r="B71" s="48"/>
      <c r="C71" s="46"/>
      <c r="D71" s="46"/>
      <c r="E71" s="46"/>
      <c r="F71" s="46"/>
      <c r="G71" s="46"/>
      <c r="H71" s="46"/>
      <c r="I71" s="62"/>
      <c r="J71" s="62"/>
    </row>
    <row r="72" spans="1:10" ht="12" customHeight="1" x14ac:dyDescent="0.25">
      <c r="A72" s="36" t="s">
        <v>456</v>
      </c>
      <c r="B72" s="78"/>
      <c r="C72" s="46"/>
      <c r="D72" s="46"/>
      <c r="E72" s="46"/>
      <c r="F72" s="46"/>
      <c r="G72" s="46"/>
      <c r="H72" s="46"/>
      <c r="I72" s="62"/>
      <c r="J72" s="62"/>
    </row>
    <row r="73" spans="1:10" ht="18.75" customHeight="1" thickBot="1" x14ac:dyDescent="0.3">
      <c r="A73" s="52" t="s">
        <v>347</v>
      </c>
      <c r="B73" s="63" t="s">
        <v>74</v>
      </c>
      <c r="C73" s="59">
        <f>GETPIVOTDATA("Sum of Wholetime Operational",smallareapivot!$A$3,"ReportingLevel","4:National","lvl","Scotland")</f>
        <v>84</v>
      </c>
      <c r="D73" s="59">
        <f>GETPIVOTDATA("Sum of Retained Duty System",smallareapivot!$A$3,"ReportingLevel","4:National","lvl","Scotland")</f>
        <v>0</v>
      </c>
      <c r="E73" s="59">
        <f>GETPIVOTDATA("Sum of RDS Fulltime",smallareapivot!$A$3,"ReportingLevel","4:National","lvl","Scotland")</f>
        <v>0</v>
      </c>
      <c r="F73" s="59">
        <f>GETPIVOTDATA("Sum of Control",smallareapivot!$A$3,"ReportingLevel","4:National","lvl","Scotland")</f>
        <v>171</v>
      </c>
      <c r="G73" s="59">
        <f>GETPIVOTDATA("Sum of Support",smallareapivot!$A$3,"ReportingLevel","4:National","lvl","Scotland")</f>
        <v>887</v>
      </c>
      <c r="H73" s="59">
        <f>GETPIVOTDATA("Sum of Volunteer",smallareapivot!$A$3,"ReportingLevel","4:National","lvl","Scotland")</f>
        <v>0</v>
      </c>
      <c r="I73" s="59">
        <f>SUM(C73:H73)</f>
        <v>1142</v>
      </c>
      <c r="J73" s="59">
        <f>I73-H73</f>
        <v>1142</v>
      </c>
    </row>
    <row r="74" spans="1:10" ht="13.5" customHeight="1" x14ac:dyDescent="0.25">
      <c r="A74" s="12"/>
      <c r="B74" s="12"/>
      <c r="C74" s="62"/>
      <c r="D74" s="62"/>
      <c r="E74" s="62"/>
      <c r="F74" s="62"/>
      <c r="G74" s="62"/>
      <c r="H74" s="62"/>
      <c r="I74" s="47"/>
      <c r="J74" s="47"/>
    </row>
    <row r="75" spans="1:10" ht="13.5" customHeight="1" x14ac:dyDescent="0.25">
      <c r="A75" s="341"/>
      <c r="B75" s="341"/>
      <c r="C75" s="62"/>
      <c r="D75" s="62"/>
      <c r="E75" s="62"/>
      <c r="F75" s="62"/>
      <c r="G75" s="62"/>
      <c r="H75" s="62"/>
      <c r="I75" s="47"/>
      <c r="J75" s="47"/>
    </row>
    <row r="76" spans="1:10" x14ac:dyDescent="0.25">
      <c r="A76" s="353" t="s">
        <v>8</v>
      </c>
      <c r="C76" s="19"/>
      <c r="D76" s="19"/>
      <c r="E76" s="19"/>
      <c r="F76" s="19"/>
      <c r="G76" s="19"/>
      <c r="H76" s="19"/>
      <c r="I76" s="19"/>
      <c r="J76" s="19"/>
    </row>
    <row r="77" spans="1:10" ht="15.75" x14ac:dyDescent="0.25">
      <c r="A77" s="350" t="s">
        <v>217</v>
      </c>
      <c r="D77" s="77"/>
      <c r="E77" s="245"/>
      <c r="F77" s="245"/>
      <c r="G77" s="245"/>
      <c r="H77" s="245"/>
      <c r="I77" s="245"/>
      <c r="J77" s="245"/>
    </row>
    <row r="78" spans="1:10" ht="18" x14ac:dyDescent="0.25">
      <c r="A78" s="357"/>
      <c r="B78" s="357"/>
      <c r="D78" s="266"/>
      <c r="E78" s="15"/>
      <c r="F78" s="15"/>
      <c r="G78" s="15"/>
      <c r="H78" s="15"/>
      <c r="I78" s="15"/>
      <c r="J78" s="15"/>
    </row>
  </sheetData>
  <sheetProtection algorithmName="SHA-512" hashValue="Yzjp8tbsrAfg0Flr41Vxn4g1Fh9YPbH1wGlCSStDpUmPBt0gwB822YN2L5f+Oa++NMxHVC/tPTezRLbYE2ZeKg==" saltValue="co/bvAkX/hzMdM0kfS85NA==" spinCount="100000" sheet="1" scenarios="1" formatCells="0" sort="0" autoFilter="0" pivotTables="0"/>
  <mergeCells count="2">
    <mergeCell ref="A4:I4"/>
    <mergeCell ref="A1:H1"/>
  </mergeCells>
  <hyperlinks>
    <hyperlink ref="A2" location="'Table of Contents'!A1" display="Back to Table of Contents" xr:uid="{00000000-0004-0000-2700-000000000000}"/>
  </hyperlinks>
  <pageMargins left="0.70866141732283472" right="0.70866141732283472" top="0.74803149606299213" bottom="0.74803149606299213" header="0.31496062992125984" footer="0.31496062992125984"/>
  <pageSetup scale="56" orientation="portrait" r:id="rId1"/>
  <ignoredErrors>
    <ignoredError sqref="C13 F47:F49 G47:G48" calculatedColumn="1"/>
  </ignoredErrors>
  <drawing r:id="rId2"/>
  <tableParts count="3">
    <tablePart r:id="rId3"/>
    <tablePart r:id="rId4"/>
    <tablePart r:id="rId5"/>
  </tableParts>
  <extLst>
    <ext xmlns:x14="http://schemas.microsoft.com/office/spreadsheetml/2009/9/main" uri="{A8765BA9-456A-4dab-B4F3-ACF838C121DE}">
      <x14:slicerList>
        <x14:slicer r:id="rId6"/>
      </x14:slicerList>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39997558519241921"/>
  </sheetPr>
  <dimension ref="A1:J57"/>
  <sheetViews>
    <sheetView topLeftCell="A11" workbookViewId="0">
      <selection activeCell="D24" sqref="D24"/>
    </sheetView>
  </sheetViews>
  <sheetFormatPr defaultRowHeight="15" x14ac:dyDescent="0.25"/>
  <cols>
    <col min="1" max="1" width="7.42578125" bestFit="1" customWidth="1"/>
    <col min="2" max="2" width="11.7109375" bestFit="1" customWidth="1"/>
    <col min="3" max="3" width="7.42578125" bestFit="1" customWidth="1"/>
    <col min="4" max="4" width="17.7109375" bestFit="1" customWidth="1"/>
    <col min="5" max="5" width="15.28515625" bestFit="1" customWidth="1"/>
    <col min="6" max="6" width="16.5703125" bestFit="1" customWidth="1"/>
    <col min="7" max="7" width="17.28515625" bestFit="1" customWidth="1"/>
    <col min="8" max="8" width="16.7109375" bestFit="1" customWidth="1"/>
    <col min="9" max="9" width="15.5703125" bestFit="1" customWidth="1"/>
    <col min="10" max="10" width="12.28515625" bestFit="1" customWidth="1"/>
  </cols>
  <sheetData>
    <row r="1" spans="1:10" x14ac:dyDescent="0.25">
      <c r="A1" t="s">
        <v>1</v>
      </c>
      <c r="B1" t="s">
        <v>961</v>
      </c>
      <c r="C1" t="s">
        <v>26</v>
      </c>
      <c r="D1" t="s">
        <v>196</v>
      </c>
      <c r="E1" t="s">
        <v>18</v>
      </c>
      <c r="F1" t="s">
        <v>19</v>
      </c>
      <c r="G1" t="s">
        <v>20</v>
      </c>
      <c r="H1" t="s">
        <v>21</v>
      </c>
      <c r="I1" t="s">
        <v>22</v>
      </c>
      <c r="J1" t="s">
        <v>23</v>
      </c>
    </row>
    <row r="2" spans="1:10" x14ac:dyDescent="0.25">
      <c r="A2" t="s">
        <v>190</v>
      </c>
      <c r="B2" t="s">
        <v>9</v>
      </c>
      <c r="C2">
        <v>2870</v>
      </c>
      <c r="H2">
        <v>262</v>
      </c>
      <c r="I2">
        <v>543</v>
      </c>
      <c r="J2">
        <v>2065</v>
      </c>
    </row>
    <row r="3" spans="1:10" x14ac:dyDescent="0.25">
      <c r="A3" t="s">
        <v>760</v>
      </c>
      <c r="B3" t="s">
        <v>761</v>
      </c>
      <c r="C3">
        <v>36</v>
      </c>
      <c r="H3">
        <v>36</v>
      </c>
    </row>
    <row r="4" spans="1:10" x14ac:dyDescent="0.25">
      <c r="A4" t="s">
        <v>1061</v>
      </c>
      <c r="B4" t="s">
        <v>761</v>
      </c>
      <c r="C4">
        <v>55</v>
      </c>
      <c r="H4">
        <v>54</v>
      </c>
      <c r="I4">
        <v>1</v>
      </c>
    </row>
    <row r="5" spans="1:10" x14ac:dyDescent="0.25">
      <c r="A5" t="s">
        <v>190</v>
      </c>
      <c r="B5" t="s">
        <v>299</v>
      </c>
      <c r="C5">
        <v>342</v>
      </c>
      <c r="H5">
        <v>36</v>
      </c>
      <c r="I5">
        <v>46</v>
      </c>
      <c r="J5">
        <v>260</v>
      </c>
    </row>
    <row r="6" spans="1:10" x14ac:dyDescent="0.25">
      <c r="A6" t="s">
        <v>190</v>
      </c>
      <c r="B6" t="s">
        <v>300</v>
      </c>
      <c r="C6">
        <v>3690</v>
      </c>
      <c r="D6">
        <v>4</v>
      </c>
      <c r="E6">
        <v>35</v>
      </c>
      <c r="F6">
        <v>90</v>
      </c>
      <c r="G6">
        <v>126</v>
      </c>
      <c r="H6">
        <v>577</v>
      </c>
      <c r="I6">
        <v>600</v>
      </c>
      <c r="J6">
        <v>2258</v>
      </c>
    </row>
    <row r="7" spans="1:10" x14ac:dyDescent="0.25">
      <c r="A7" t="s">
        <v>917</v>
      </c>
      <c r="B7" t="s">
        <v>9</v>
      </c>
      <c r="C7">
        <v>2872</v>
      </c>
      <c r="H7">
        <v>267</v>
      </c>
      <c r="I7">
        <v>522</v>
      </c>
      <c r="J7">
        <v>2083</v>
      </c>
    </row>
    <row r="8" spans="1:10" x14ac:dyDescent="0.25">
      <c r="A8" t="s">
        <v>190</v>
      </c>
      <c r="B8" t="s">
        <v>2</v>
      </c>
      <c r="C8">
        <v>203</v>
      </c>
      <c r="F8">
        <v>6</v>
      </c>
      <c r="G8">
        <v>7</v>
      </c>
      <c r="H8">
        <v>51</v>
      </c>
      <c r="I8">
        <v>44</v>
      </c>
      <c r="J8">
        <v>95</v>
      </c>
    </row>
    <row r="9" spans="1:10" x14ac:dyDescent="0.25">
      <c r="A9" t="s">
        <v>257</v>
      </c>
      <c r="B9" t="s">
        <v>2</v>
      </c>
      <c r="C9">
        <v>165</v>
      </c>
      <c r="F9">
        <v>5</v>
      </c>
      <c r="G9">
        <v>8</v>
      </c>
      <c r="H9">
        <v>41</v>
      </c>
      <c r="I9">
        <v>31</v>
      </c>
      <c r="J9">
        <v>80</v>
      </c>
    </row>
    <row r="10" spans="1:10" x14ac:dyDescent="0.25">
      <c r="A10" t="s">
        <v>257</v>
      </c>
      <c r="B10" t="s">
        <v>299</v>
      </c>
      <c r="C10">
        <v>320</v>
      </c>
      <c r="H10">
        <v>36</v>
      </c>
      <c r="I10">
        <v>43</v>
      </c>
      <c r="J10">
        <v>241</v>
      </c>
    </row>
    <row r="11" spans="1:10" x14ac:dyDescent="0.25">
      <c r="A11" t="s">
        <v>917</v>
      </c>
      <c r="B11" t="s">
        <v>761</v>
      </c>
      <c r="C11">
        <v>54</v>
      </c>
      <c r="H11">
        <v>54</v>
      </c>
    </row>
    <row r="12" spans="1:10" x14ac:dyDescent="0.25">
      <c r="A12" t="s">
        <v>1108</v>
      </c>
      <c r="B12" t="s">
        <v>9</v>
      </c>
      <c r="C12">
        <v>2708</v>
      </c>
      <c r="H12">
        <v>251</v>
      </c>
      <c r="I12">
        <v>525</v>
      </c>
      <c r="J12">
        <v>1932</v>
      </c>
    </row>
    <row r="13" spans="1:10" x14ac:dyDescent="0.25">
      <c r="A13" t="s">
        <v>1108</v>
      </c>
      <c r="B13" t="s">
        <v>3</v>
      </c>
      <c r="C13">
        <v>0</v>
      </c>
    </row>
    <row r="14" spans="1:10" x14ac:dyDescent="0.25">
      <c r="A14" t="s">
        <v>192</v>
      </c>
      <c r="B14" t="s">
        <v>9</v>
      </c>
      <c r="C14">
        <v>2940</v>
      </c>
      <c r="H14">
        <v>278</v>
      </c>
      <c r="I14">
        <v>535</v>
      </c>
      <c r="J14">
        <v>2127</v>
      </c>
    </row>
    <row r="15" spans="1:10" x14ac:dyDescent="0.25">
      <c r="A15" t="s">
        <v>191</v>
      </c>
      <c r="B15" t="s">
        <v>2</v>
      </c>
      <c r="C15">
        <v>230</v>
      </c>
      <c r="F15">
        <v>5</v>
      </c>
      <c r="G15">
        <v>13</v>
      </c>
      <c r="H15">
        <v>50</v>
      </c>
      <c r="I15">
        <v>52</v>
      </c>
      <c r="J15">
        <v>110</v>
      </c>
    </row>
    <row r="16" spans="1:10" x14ac:dyDescent="0.25">
      <c r="A16" t="s">
        <v>240</v>
      </c>
      <c r="B16" t="s">
        <v>9</v>
      </c>
      <c r="C16">
        <v>2863</v>
      </c>
      <c r="H16">
        <v>261</v>
      </c>
      <c r="I16">
        <v>525</v>
      </c>
      <c r="J16">
        <v>2077</v>
      </c>
    </row>
    <row r="17" spans="1:10" x14ac:dyDescent="0.25">
      <c r="A17" t="s">
        <v>760</v>
      </c>
      <c r="B17" t="s">
        <v>3</v>
      </c>
      <c r="C17">
        <v>0</v>
      </c>
    </row>
    <row r="18" spans="1:10" x14ac:dyDescent="0.25">
      <c r="A18" t="s">
        <v>917</v>
      </c>
      <c r="B18" t="s">
        <v>299</v>
      </c>
      <c r="C18">
        <v>303</v>
      </c>
      <c r="H18">
        <v>37</v>
      </c>
      <c r="I18">
        <v>43</v>
      </c>
      <c r="J18">
        <v>223</v>
      </c>
    </row>
    <row r="19" spans="1:10" x14ac:dyDescent="0.25">
      <c r="A19" t="s">
        <v>1010</v>
      </c>
      <c r="B19" t="s">
        <v>2</v>
      </c>
      <c r="C19">
        <v>174</v>
      </c>
      <c r="E19">
        <v>1</v>
      </c>
      <c r="F19">
        <v>4</v>
      </c>
      <c r="G19">
        <v>10</v>
      </c>
      <c r="H19">
        <v>42</v>
      </c>
      <c r="I19">
        <v>27</v>
      </c>
      <c r="J19">
        <v>90</v>
      </c>
    </row>
    <row r="20" spans="1:10" x14ac:dyDescent="0.25">
      <c r="A20" t="s">
        <v>1108</v>
      </c>
      <c r="B20" t="s">
        <v>2</v>
      </c>
      <c r="C20">
        <v>171</v>
      </c>
      <c r="E20">
        <v>1</v>
      </c>
      <c r="F20">
        <v>4</v>
      </c>
      <c r="G20">
        <v>9</v>
      </c>
      <c r="H20">
        <v>40</v>
      </c>
      <c r="I20">
        <v>26</v>
      </c>
      <c r="J20">
        <v>91</v>
      </c>
    </row>
    <row r="21" spans="1:10" x14ac:dyDescent="0.25">
      <c r="A21" t="s">
        <v>1108</v>
      </c>
      <c r="B21" t="s">
        <v>299</v>
      </c>
      <c r="C21">
        <v>269</v>
      </c>
      <c r="H21">
        <v>35</v>
      </c>
      <c r="I21">
        <v>41</v>
      </c>
      <c r="J21">
        <v>193</v>
      </c>
    </row>
    <row r="22" spans="1:10" x14ac:dyDescent="0.25">
      <c r="A22" t="s">
        <v>191</v>
      </c>
      <c r="B22" t="s">
        <v>299</v>
      </c>
      <c r="C22">
        <v>378</v>
      </c>
      <c r="H22">
        <v>38</v>
      </c>
      <c r="I22">
        <v>44</v>
      </c>
      <c r="J22">
        <v>296</v>
      </c>
    </row>
    <row r="23" spans="1:10" x14ac:dyDescent="0.25">
      <c r="A23" t="s">
        <v>191</v>
      </c>
      <c r="B23" t="s">
        <v>300</v>
      </c>
      <c r="C23">
        <v>3856</v>
      </c>
      <c r="D23">
        <v>7</v>
      </c>
      <c r="E23">
        <v>33</v>
      </c>
      <c r="F23">
        <v>103</v>
      </c>
      <c r="G23">
        <v>130</v>
      </c>
      <c r="H23">
        <v>664</v>
      </c>
      <c r="I23">
        <v>634</v>
      </c>
      <c r="J23">
        <v>2285</v>
      </c>
    </row>
    <row r="24" spans="1:10" x14ac:dyDescent="0.25">
      <c r="A24" t="s">
        <v>257</v>
      </c>
      <c r="B24" t="s">
        <v>9</v>
      </c>
      <c r="C24">
        <v>2870</v>
      </c>
      <c r="H24">
        <v>260</v>
      </c>
      <c r="I24">
        <v>549</v>
      </c>
      <c r="J24">
        <v>2061</v>
      </c>
    </row>
    <row r="25" spans="1:10" x14ac:dyDescent="0.25">
      <c r="A25" t="s">
        <v>917</v>
      </c>
      <c r="B25" t="s">
        <v>300</v>
      </c>
      <c r="C25">
        <v>3581</v>
      </c>
      <c r="D25">
        <v>5</v>
      </c>
      <c r="E25">
        <v>35</v>
      </c>
      <c r="F25">
        <v>79</v>
      </c>
      <c r="G25">
        <v>152</v>
      </c>
      <c r="H25">
        <v>603</v>
      </c>
      <c r="I25">
        <v>687</v>
      </c>
      <c r="J25">
        <v>2020</v>
      </c>
    </row>
    <row r="26" spans="1:10" x14ac:dyDescent="0.25">
      <c r="A26" t="s">
        <v>1010</v>
      </c>
      <c r="B26" t="s">
        <v>761</v>
      </c>
      <c r="C26">
        <v>53</v>
      </c>
      <c r="H26">
        <v>53</v>
      </c>
    </row>
    <row r="27" spans="1:10" x14ac:dyDescent="0.25">
      <c r="A27" t="s">
        <v>1010</v>
      </c>
      <c r="B27" t="s">
        <v>300</v>
      </c>
      <c r="C27">
        <v>3530</v>
      </c>
      <c r="D27">
        <v>5</v>
      </c>
      <c r="E27">
        <v>35</v>
      </c>
      <c r="F27">
        <v>76</v>
      </c>
      <c r="G27">
        <v>157</v>
      </c>
      <c r="H27">
        <v>607</v>
      </c>
      <c r="I27">
        <v>660</v>
      </c>
      <c r="J27">
        <v>1990</v>
      </c>
    </row>
    <row r="28" spans="1:10" x14ac:dyDescent="0.25">
      <c r="A28" t="s">
        <v>1108</v>
      </c>
      <c r="B28" t="s">
        <v>761</v>
      </c>
      <c r="C28">
        <v>55</v>
      </c>
      <c r="H28">
        <v>53</v>
      </c>
      <c r="I28">
        <v>2</v>
      </c>
    </row>
    <row r="29" spans="1:10" x14ac:dyDescent="0.25">
      <c r="A29" t="s">
        <v>1108</v>
      </c>
      <c r="B29" t="s">
        <v>300</v>
      </c>
      <c r="C29">
        <v>3422</v>
      </c>
      <c r="D29">
        <v>5</v>
      </c>
      <c r="E29">
        <v>31</v>
      </c>
      <c r="F29">
        <v>71</v>
      </c>
      <c r="G29">
        <v>156</v>
      </c>
      <c r="H29">
        <v>607</v>
      </c>
      <c r="I29">
        <v>640</v>
      </c>
      <c r="J29">
        <v>1912</v>
      </c>
    </row>
    <row r="30" spans="1:10" x14ac:dyDescent="0.25">
      <c r="A30" t="s">
        <v>191</v>
      </c>
      <c r="B30" t="s">
        <v>9</v>
      </c>
      <c r="C30">
        <v>2950</v>
      </c>
      <c r="H30">
        <v>280</v>
      </c>
      <c r="I30">
        <v>546</v>
      </c>
      <c r="J30">
        <v>2124</v>
      </c>
    </row>
    <row r="31" spans="1:10" x14ac:dyDescent="0.25">
      <c r="A31" t="s">
        <v>257</v>
      </c>
      <c r="B31" t="s">
        <v>300</v>
      </c>
      <c r="C31">
        <v>3645</v>
      </c>
      <c r="D31">
        <v>4</v>
      </c>
      <c r="E31">
        <v>34</v>
      </c>
      <c r="F31">
        <v>70</v>
      </c>
      <c r="G31">
        <v>151</v>
      </c>
      <c r="H31">
        <v>590</v>
      </c>
      <c r="I31">
        <v>635</v>
      </c>
      <c r="J31">
        <v>2161</v>
      </c>
    </row>
    <row r="32" spans="1:10" x14ac:dyDescent="0.25">
      <c r="A32" t="s">
        <v>240</v>
      </c>
      <c r="B32" t="s">
        <v>2</v>
      </c>
      <c r="C32">
        <v>189</v>
      </c>
      <c r="F32">
        <v>5</v>
      </c>
      <c r="G32">
        <v>8</v>
      </c>
      <c r="H32">
        <v>43</v>
      </c>
      <c r="I32">
        <v>27</v>
      </c>
      <c r="J32">
        <v>106</v>
      </c>
    </row>
    <row r="33" spans="1:10" x14ac:dyDescent="0.25">
      <c r="A33" t="s">
        <v>240</v>
      </c>
      <c r="B33" t="s">
        <v>300</v>
      </c>
      <c r="C33">
        <v>3546</v>
      </c>
      <c r="D33">
        <v>4</v>
      </c>
      <c r="E33">
        <v>34</v>
      </c>
      <c r="F33">
        <v>74</v>
      </c>
      <c r="G33">
        <v>153</v>
      </c>
      <c r="H33">
        <v>603</v>
      </c>
      <c r="I33">
        <v>689</v>
      </c>
      <c r="J33">
        <v>1989</v>
      </c>
    </row>
    <row r="34" spans="1:10" x14ac:dyDescent="0.25">
      <c r="A34" t="s">
        <v>239</v>
      </c>
      <c r="B34" t="s">
        <v>299</v>
      </c>
      <c r="C34">
        <v>321</v>
      </c>
      <c r="H34">
        <v>38</v>
      </c>
      <c r="I34">
        <v>42</v>
      </c>
      <c r="J34">
        <v>241</v>
      </c>
    </row>
    <row r="35" spans="1:10" x14ac:dyDescent="0.25">
      <c r="A35" t="s">
        <v>760</v>
      </c>
      <c r="B35" t="s">
        <v>9</v>
      </c>
      <c r="C35">
        <v>2937</v>
      </c>
      <c r="H35">
        <v>262</v>
      </c>
      <c r="I35">
        <v>520</v>
      </c>
      <c r="J35">
        <v>2155</v>
      </c>
    </row>
    <row r="36" spans="1:10" x14ac:dyDescent="0.25">
      <c r="A36" t="s">
        <v>1061</v>
      </c>
      <c r="B36" t="s">
        <v>2</v>
      </c>
      <c r="C36">
        <v>172</v>
      </c>
      <c r="E36">
        <v>1</v>
      </c>
      <c r="F36">
        <v>4</v>
      </c>
      <c r="G36">
        <v>10</v>
      </c>
      <c r="H36">
        <v>37</v>
      </c>
      <c r="I36">
        <v>29</v>
      </c>
      <c r="J36">
        <v>91</v>
      </c>
    </row>
    <row r="37" spans="1:10" x14ac:dyDescent="0.25">
      <c r="A37" t="s">
        <v>1061</v>
      </c>
      <c r="B37" t="s">
        <v>9</v>
      </c>
      <c r="C37">
        <v>2735</v>
      </c>
      <c r="H37">
        <v>262</v>
      </c>
      <c r="I37">
        <v>521</v>
      </c>
      <c r="J37">
        <v>1952</v>
      </c>
    </row>
    <row r="38" spans="1:10" x14ac:dyDescent="0.25">
      <c r="A38" t="s">
        <v>1061</v>
      </c>
      <c r="B38" t="s">
        <v>3</v>
      </c>
      <c r="C38">
        <v>0</v>
      </c>
    </row>
    <row r="39" spans="1:10" x14ac:dyDescent="0.25">
      <c r="A39" t="s">
        <v>1061</v>
      </c>
      <c r="B39" t="s">
        <v>300</v>
      </c>
      <c r="C39">
        <v>3490</v>
      </c>
      <c r="D39">
        <v>5</v>
      </c>
      <c r="E39">
        <v>31</v>
      </c>
      <c r="F39">
        <v>78</v>
      </c>
      <c r="G39">
        <v>148</v>
      </c>
      <c r="H39">
        <v>601</v>
      </c>
      <c r="I39">
        <v>655</v>
      </c>
      <c r="J39">
        <v>1972</v>
      </c>
    </row>
    <row r="40" spans="1:10" x14ac:dyDescent="0.25">
      <c r="A40" t="s">
        <v>239</v>
      </c>
      <c r="B40" t="s">
        <v>761</v>
      </c>
      <c r="C40">
        <v>18</v>
      </c>
    </row>
    <row r="41" spans="1:10" x14ac:dyDescent="0.25">
      <c r="A41" t="s">
        <v>239</v>
      </c>
      <c r="B41" t="s">
        <v>300</v>
      </c>
      <c r="C41">
        <v>3637</v>
      </c>
      <c r="D41">
        <v>4</v>
      </c>
      <c r="E41">
        <v>33</v>
      </c>
      <c r="F41">
        <v>80</v>
      </c>
      <c r="G41">
        <v>147</v>
      </c>
      <c r="H41">
        <v>611</v>
      </c>
      <c r="I41">
        <v>687</v>
      </c>
      <c r="J41">
        <v>2075</v>
      </c>
    </row>
    <row r="42" spans="1:10" x14ac:dyDescent="0.25">
      <c r="A42" t="s">
        <v>917</v>
      </c>
      <c r="B42" t="s">
        <v>3</v>
      </c>
      <c r="C42">
        <v>0</v>
      </c>
    </row>
    <row r="43" spans="1:10" x14ac:dyDescent="0.25">
      <c r="A43" t="s">
        <v>1010</v>
      </c>
      <c r="B43" t="s">
        <v>9</v>
      </c>
      <c r="C43">
        <v>2758</v>
      </c>
      <c r="H43">
        <v>265</v>
      </c>
      <c r="I43">
        <v>526</v>
      </c>
      <c r="J43">
        <v>1967</v>
      </c>
    </row>
    <row r="44" spans="1:10" x14ac:dyDescent="0.25">
      <c r="A44" t="s">
        <v>1061</v>
      </c>
      <c r="B44" t="s">
        <v>299</v>
      </c>
      <c r="C44">
        <v>266</v>
      </c>
      <c r="H44">
        <v>37</v>
      </c>
      <c r="I44">
        <v>40</v>
      </c>
      <c r="J44">
        <v>189</v>
      </c>
    </row>
    <row r="45" spans="1:10" x14ac:dyDescent="0.25">
      <c r="A45" t="s">
        <v>192</v>
      </c>
      <c r="B45" t="s">
        <v>2</v>
      </c>
      <c r="C45">
        <v>223</v>
      </c>
      <c r="F45">
        <v>5</v>
      </c>
      <c r="G45">
        <v>11</v>
      </c>
      <c r="H45">
        <v>52</v>
      </c>
      <c r="I45">
        <v>52</v>
      </c>
      <c r="J45">
        <v>103</v>
      </c>
    </row>
    <row r="46" spans="1:10" x14ac:dyDescent="0.25">
      <c r="A46" t="s">
        <v>192</v>
      </c>
      <c r="B46" t="s">
        <v>299</v>
      </c>
      <c r="C46">
        <v>359</v>
      </c>
      <c r="H46">
        <v>9</v>
      </c>
      <c r="I46">
        <v>73</v>
      </c>
      <c r="J46">
        <v>277</v>
      </c>
    </row>
    <row r="47" spans="1:10" x14ac:dyDescent="0.25">
      <c r="A47" t="s">
        <v>192</v>
      </c>
      <c r="B47" t="s">
        <v>300</v>
      </c>
      <c r="C47">
        <v>4001</v>
      </c>
      <c r="D47">
        <v>9</v>
      </c>
      <c r="E47">
        <v>28</v>
      </c>
      <c r="F47">
        <v>115</v>
      </c>
      <c r="G47">
        <v>136</v>
      </c>
      <c r="H47">
        <v>679</v>
      </c>
      <c r="I47">
        <v>660</v>
      </c>
      <c r="J47">
        <v>2374</v>
      </c>
    </row>
    <row r="48" spans="1:10" x14ac:dyDescent="0.25">
      <c r="A48" t="s">
        <v>240</v>
      </c>
      <c r="B48" t="s">
        <v>299</v>
      </c>
      <c r="C48">
        <v>332</v>
      </c>
      <c r="H48">
        <v>37</v>
      </c>
      <c r="I48">
        <v>39</v>
      </c>
      <c r="J48">
        <v>256</v>
      </c>
    </row>
    <row r="49" spans="1:10" x14ac:dyDescent="0.25">
      <c r="A49" t="s">
        <v>239</v>
      </c>
      <c r="B49" t="s">
        <v>2</v>
      </c>
      <c r="C49">
        <v>207</v>
      </c>
      <c r="E49">
        <v>1</v>
      </c>
      <c r="F49">
        <v>4</v>
      </c>
      <c r="G49">
        <v>9</v>
      </c>
      <c r="H49">
        <v>42</v>
      </c>
      <c r="I49">
        <v>27</v>
      </c>
      <c r="J49">
        <v>124</v>
      </c>
    </row>
    <row r="50" spans="1:10" x14ac:dyDescent="0.25">
      <c r="A50" t="s">
        <v>239</v>
      </c>
      <c r="B50" t="s">
        <v>9</v>
      </c>
      <c r="C50">
        <v>2935</v>
      </c>
      <c r="H50">
        <v>261</v>
      </c>
      <c r="I50">
        <v>533</v>
      </c>
      <c r="J50">
        <v>2141</v>
      </c>
    </row>
    <row r="51" spans="1:10" x14ac:dyDescent="0.25">
      <c r="A51" t="s">
        <v>239</v>
      </c>
      <c r="B51" t="s">
        <v>3</v>
      </c>
      <c r="C51">
        <v>0</v>
      </c>
    </row>
    <row r="52" spans="1:10" x14ac:dyDescent="0.25">
      <c r="A52" t="s">
        <v>760</v>
      </c>
      <c r="B52" t="s">
        <v>2</v>
      </c>
      <c r="C52">
        <v>188</v>
      </c>
      <c r="E52">
        <v>1</v>
      </c>
      <c r="F52">
        <v>4</v>
      </c>
      <c r="G52">
        <v>8</v>
      </c>
      <c r="H52">
        <v>45</v>
      </c>
      <c r="I52">
        <v>26</v>
      </c>
      <c r="J52">
        <v>104</v>
      </c>
    </row>
    <row r="53" spans="1:10" x14ac:dyDescent="0.25">
      <c r="A53" t="s">
        <v>760</v>
      </c>
      <c r="B53" t="s">
        <v>299</v>
      </c>
      <c r="C53">
        <v>315</v>
      </c>
      <c r="H53">
        <v>37</v>
      </c>
      <c r="I53">
        <v>41</v>
      </c>
      <c r="J53">
        <v>237</v>
      </c>
    </row>
    <row r="54" spans="1:10" x14ac:dyDescent="0.25">
      <c r="A54" t="s">
        <v>760</v>
      </c>
      <c r="B54" t="s">
        <v>300</v>
      </c>
      <c r="C54">
        <v>3636</v>
      </c>
      <c r="D54">
        <v>6</v>
      </c>
      <c r="E54">
        <v>31</v>
      </c>
      <c r="F54">
        <v>80</v>
      </c>
      <c r="G54">
        <v>153</v>
      </c>
      <c r="H54">
        <v>608</v>
      </c>
      <c r="I54">
        <v>688</v>
      </c>
      <c r="J54">
        <v>2070</v>
      </c>
    </row>
    <row r="55" spans="1:10" x14ac:dyDescent="0.25">
      <c r="A55" t="s">
        <v>917</v>
      </c>
      <c r="B55" t="s">
        <v>2</v>
      </c>
      <c r="C55">
        <v>182</v>
      </c>
      <c r="E55">
        <v>1</v>
      </c>
      <c r="F55">
        <v>4</v>
      </c>
      <c r="G55">
        <v>10</v>
      </c>
      <c r="H55">
        <v>41</v>
      </c>
      <c r="I55">
        <v>31</v>
      </c>
      <c r="J55">
        <v>95</v>
      </c>
    </row>
    <row r="56" spans="1:10" x14ac:dyDescent="0.25">
      <c r="A56" t="s">
        <v>1010</v>
      </c>
      <c r="B56" t="s">
        <v>3</v>
      </c>
      <c r="C56">
        <v>0</v>
      </c>
    </row>
    <row r="57" spans="1:10" x14ac:dyDescent="0.25">
      <c r="A57" t="s">
        <v>1010</v>
      </c>
      <c r="B57" t="s">
        <v>299</v>
      </c>
      <c r="C57">
        <v>277</v>
      </c>
      <c r="H57">
        <v>36</v>
      </c>
      <c r="I57">
        <v>40</v>
      </c>
      <c r="J57">
        <v>201</v>
      </c>
    </row>
  </sheetData>
  <phoneticPr fontId="53" type="noConversion"/>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39997558519241921"/>
  </sheetPr>
  <dimension ref="A1:H10"/>
  <sheetViews>
    <sheetView zoomScale="80" zoomScaleNormal="80" workbookViewId="0">
      <selection activeCell="G6" sqref="G6"/>
    </sheetView>
  </sheetViews>
  <sheetFormatPr defaultRowHeight="15" x14ac:dyDescent="0.25"/>
  <cols>
    <col min="1" max="1" width="13.5703125" bestFit="1" customWidth="1"/>
    <col min="2" max="2" width="22.5703125" bestFit="1" customWidth="1"/>
    <col min="3" max="3" width="19.85546875" bestFit="1" customWidth="1"/>
    <col min="4" max="4" width="21.140625" bestFit="1" customWidth="1"/>
    <col min="5" max="5" width="22.140625" bestFit="1" customWidth="1"/>
    <col min="6" max="6" width="21.42578125" bestFit="1" customWidth="1"/>
    <col min="7" max="7" width="20.28515625" bestFit="1" customWidth="1"/>
    <col min="8" max="8" width="16.5703125" bestFit="1" customWidth="1"/>
  </cols>
  <sheetData>
    <row r="1" spans="1:8" x14ac:dyDescent="0.25">
      <c r="A1" s="394" t="s">
        <v>1</v>
      </c>
      <c r="B1" t="s">
        <v>1108</v>
      </c>
    </row>
    <row r="3" spans="1:8" x14ac:dyDescent="0.25">
      <c r="A3" s="394" t="s">
        <v>231</v>
      </c>
      <c r="B3" t="s">
        <v>249</v>
      </c>
      <c r="C3" t="s">
        <v>250</v>
      </c>
      <c r="D3" t="s">
        <v>251</v>
      </c>
      <c r="E3" t="s">
        <v>252</v>
      </c>
      <c r="F3" t="s">
        <v>241</v>
      </c>
      <c r="G3" t="s">
        <v>253</v>
      </c>
      <c r="H3" t="s">
        <v>254</v>
      </c>
    </row>
    <row r="4" spans="1:8" x14ac:dyDescent="0.25">
      <c r="A4" s="395" t="s">
        <v>2</v>
      </c>
      <c r="C4">
        <v>1</v>
      </c>
      <c r="D4">
        <v>4</v>
      </c>
      <c r="E4">
        <v>9</v>
      </c>
      <c r="F4">
        <v>40</v>
      </c>
      <c r="G4">
        <v>26</v>
      </c>
      <c r="H4">
        <v>91</v>
      </c>
    </row>
    <row r="5" spans="1:8" x14ac:dyDescent="0.25">
      <c r="A5" s="395" t="s">
        <v>9</v>
      </c>
      <c r="F5">
        <v>251</v>
      </c>
      <c r="G5">
        <v>525</v>
      </c>
      <c r="H5">
        <v>1932</v>
      </c>
    </row>
    <row r="6" spans="1:8" x14ac:dyDescent="0.25">
      <c r="A6" s="395" t="s">
        <v>761</v>
      </c>
      <c r="F6">
        <v>53</v>
      </c>
      <c r="G6">
        <v>2</v>
      </c>
    </row>
    <row r="7" spans="1:8" x14ac:dyDescent="0.25">
      <c r="A7" s="395" t="s">
        <v>299</v>
      </c>
      <c r="F7">
        <v>35</v>
      </c>
      <c r="G7">
        <v>41</v>
      </c>
      <c r="H7">
        <v>193</v>
      </c>
    </row>
    <row r="8" spans="1:8" x14ac:dyDescent="0.25">
      <c r="A8" s="395" t="s">
        <v>300</v>
      </c>
      <c r="B8">
        <v>5</v>
      </c>
      <c r="C8">
        <v>31</v>
      </c>
      <c r="D8">
        <v>71</v>
      </c>
      <c r="E8">
        <v>156</v>
      </c>
      <c r="F8">
        <v>607</v>
      </c>
      <c r="G8">
        <v>640</v>
      </c>
      <c r="H8">
        <v>1912</v>
      </c>
    </row>
    <row r="9" spans="1:8" x14ac:dyDescent="0.25">
      <c r="A9" s="395" t="s">
        <v>3</v>
      </c>
    </row>
    <row r="10" spans="1:8" x14ac:dyDescent="0.25">
      <c r="A10" s="395" t="s">
        <v>236</v>
      </c>
      <c r="B10">
        <v>5</v>
      </c>
      <c r="C10">
        <v>32</v>
      </c>
      <c r="D10">
        <v>75</v>
      </c>
      <c r="E10">
        <v>165</v>
      </c>
      <c r="F10">
        <v>986</v>
      </c>
      <c r="G10">
        <v>1234</v>
      </c>
      <c r="H10">
        <v>4128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39997558519241921"/>
  </sheetPr>
  <dimension ref="A1:K24"/>
  <sheetViews>
    <sheetView showGridLines="0" zoomScaleNormal="100" workbookViewId="0">
      <pane ySplit="2" topLeftCell="A3" activePane="bottomLeft" state="frozen"/>
      <selection pane="bottomLeft" sqref="A1:H1"/>
    </sheetView>
  </sheetViews>
  <sheetFormatPr defaultRowHeight="15" x14ac:dyDescent="0.25"/>
  <cols>
    <col min="1" max="1" width="31.7109375" bestFit="1" customWidth="1"/>
    <col min="2" max="9" width="12" customWidth="1"/>
  </cols>
  <sheetData>
    <row r="1" spans="1:11" ht="15.75" x14ac:dyDescent="0.25">
      <c r="A1" s="993" t="s">
        <v>450</v>
      </c>
      <c r="B1" s="993"/>
      <c r="C1" s="993"/>
      <c r="D1" s="993"/>
      <c r="E1" s="993"/>
      <c r="F1" s="993"/>
      <c r="G1" s="993"/>
      <c r="H1" s="993"/>
    </row>
    <row r="2" spans="1:11" ht="18" x14ac:dyDescent="0.25">
      <c r="A2" s="507" t="s">
        <v>511</v>
      </c>
      <c r="B2" s="1"/>
      <c r="C2" s="1"/>
      <c r="D2" s="1"/>
      <c r="E2" s="1"/>
      <c r="F2" s="1"/>
      <c r="G2" s="1"/>
      <c r="H2" s="1"/>
    </row>
    <row r="3" spans="1:11" ht="18" x14ac:dyDescent="0.25">
      <c r="A3" s="1"/>
      <c r="B3" s="1"/>
      <c r="C3" s="1"/>
      <c r="D3" s="1"/>
      <c r="E3" s="1"/>
      <c r="F3" s="1"/>
      <c r="G3" s="1"/>
      <c r="H3" s="1"/>
    </row>
    <row r="4" spans="1:11" ht="30" customHeight="1" x14ac:dyDescent="0.25">
      <c r="A4" s="1004" t="s">
        <v>453</v>
      </c>
      <c r="B4" s="1004"/>
      <c r="C4" s="1004"/>
      <c r="D4" s="1004"/>
      <c r="E4" s="1004"/>
      <c r="F4" s="1004"/>
      <c r="G4" s="1004"/>
      <c r="H4" s="1004"/>
      <c r="I4" s="1004"/>
      <c r="J4" s="1004"/>
      <c r="K4" s="1004"/>
    </row>
    <row r="5" spans="1:11" ht="15" customHeight="1" x14ac:dyDescent="0.25">
      <c r="A5" t="s">
        <v>328</v>
      </c>
      <c r="B5" t="s">
        <v>650</v>
      </c>
      <c r="C5" s="233"/>
      <c r="E5" s="233"/>
      <c r="F5" s="233"/>
      <c r="G5" s="233"/>
      <c r="H5" s="233"/>
      <c r="I5" s="233"/>
      <c r="J5" s="233"/>
      <c r="K5" s="233"/>
    </row>
    <row r="6" spans="1:11" ht="15" customHeight="1" x14ac:dyDescent="0.25">
      <c r="A6" t="s">
        <v>329</v>
      </c>
      <c r="B6" t="s">
        <v>331</v>
      </c>
      <c r="C6" s="233"/>
      <c r="D6" s="233"/>
      <c r="E6" s="233"/>
      <c r="F6" s="233"/>
      <c r="G6" s="233"/>
      <c r="H6" s="233"/>
      <c r="I6" s="233"/>
      <c r="J6" s="233"/>
      <c r="K6" s="233"/>
    </row>
    <row r="7" spans="1:11" ht="15" customHeight="1" x14ac:dyDescent="0.25">
      <c r="A7" t="s">
        <v>330</v>
      </c>
      <c r="B7" t="s">
        <v>332</v>
      </c>
      <c r="C7" s="233"/>
      <c r="D7" s="233"/>
      <c r="E7" s="233"/>
      <c r="F7" s="233"/>
      <c r="G7" s="233"/>
      <c r="H7" s="233"/>
      <c r="I7" s="233"/>
      <c r="J7" s="233"/>
      <c r="K7" s="233"/>
    </row>
    <row r="8" spans="1:11" ht="15" customHeight="1" x14ac:dyDescent="0.25">
      <c r="C8" s="233"/>
      <c r="D8" s="233"/>
      <c r="E8" s="233"/>
      <c r="F8" s="233"/>
      <c r="G8" s="233"/>
      <c r="H8" s="233"/>
      <c r="I8" s="233"/>
      <c r="J8" s="233"/>
      <c r="K8" s="233"/>
    </row>
    <row r="9" spans="1:11" ht="39" x14ac:dyDescent="0.25">
      <c r="A9" s="20"/>
      <c r="B9" s="3" t="s">
        <v>837</v>
      </c>
      <c r="C9" s="3" t="s">
        <v>838</v>
      </c>
      <c r="D9" s="3" t="s">
        <v>839</v>
      </c>
      <c r="E9" s="3" t="s">
        <v>840</v>
      </c>
      <c r="F9" s="3" t="s">
        <v>841</v>
      </c>
      <c r="G9" s="3" t="s">
        <v>842</v>
      </c>
      <c r="H9" s="3" t="s">
        <v>23</v>
      </c>
      <c r="I9" s="235" t="s">
        <v>10</v>
      </c>
      <c r="K9" s="15"/>
    </row>
    <row r="10" spans="1:11" ht="16.5" customHeight="1" x14ac:dyDescent="0.25">
      <c r="A10" s="12" t="s">
        <v>166</v>
      </c>
      <c r="B10" s="283">
        <f>GETPIVOTDATA("Sum of Brigade Manager",rolepivot!$A$3,"Type","WT")</f>
        <v>5</v>
      </c>
      <c r="C10" s="283">
        <f>GETPIVOTDATA("Sum of Area Manager",rolepivot!$A$3,"Type","WT")</f>
        <v>31</v>
      </c>
      <c r="D10" s="283">
        <f>GETPIVOTDATA("Sum of Group Manager",rolepivot!$A$3,"Type","WT")</f>
        <v>71</v>
      </c>
      <c r="E10" s="283">
        <f>GETPIVOTDATA("Sum of Station Manager",rolepivot!$A$3,"Type","WT")</f>
        <v>156</v>
      </c>
      <c r="F10" s="283">
        <f>GETPIVOTDATA("Sum of Watch Manager",rolepivot!$A$3,"Type","WT")</f>
        <v>607</v>
      </c>
      <c r="G10" s="283">
        <f>GETPIVOTDATA("Sum of Crew Manager",rolepivot!$A$3,"Type","WT")</f>
        <v>640</v>
      </c>
      <c r="H10" s="283">
        <f>GETPIVOTDATA("Sum of Firefighter",rolepivot!$A$3,"Type","WT")</f>
        <v>1912</v>
      </c>
      <c r="I10" s="284">
        <f>SUM(B10:H10)</f>
        <v>3422</v>
      </c>
      <c r="J10" s="15"/>
      <c r="K10" s="15"/>
    </row>
    <row r="11" spans="1:11" ht="16.5" customHeight="1" x14ac:dyDescent="0.25">
      <c r="A11" s="2" t="s">
        <v>167</v>
      </c>
      <c r="B11" s="298">
        <f>B10/$I$10</f>
        <v>1.4611338398597311E-3</v>
      </c>
      <c r="C11" s="298">
        <f t="shared" ref="C11:G11" si="0">C10/$I$10</f>
        <v>9.0590298071303327E-3</v>
      </c>
      <c r="D11" s="298">
        <f t="shared" si="0"/>
        <v>2.0748100526008183E-2</v>
      </c>
      <c r="E11" s="298">
        <f t="shared" si="0"/>
        <v>4.5587375803623612E-2</v>
      </c>
      <c r="F11" s="298">
        <f t="shared" si="0"/>
        <v>0.17738164815897137</v>
      </c>
      <c r="G11" s="298">
        <f t="shared" si="0"/>
        <v>0.18702513150204558</v>
      </c>
      <c r="H11" s="298">
        <f>H10/$I$10</f>
        <v>0.55873758036236121</v>
      </c>
      <c r="I11" s="298">
        <f>I10/$I$10</f>
        <v>1</v>
      </c>
      <c r="J11" s="15"/>
      <c r="K11" s="15"/>
    </row>
    <row r="12" spans="1:11" ht="16.5" customHeight="1" x14ac:dyDescent="0.25">
      <c r="A12" s="12" t="s">
        <v>168</v>
      </c>
      <c r="B12" s="283">
        <f>GETPIVOTDATA("Sum of Brigade Manager",rolepivot!$A$3,"Type","RDS")</f>
        <v>0</v>
      </c>
      <c r="C12" s="283">
        <f>GETPIVOTDATA("Sum of Area Manager",rolepivot!$A$3,"Type","RDS")</f>
        <v>0</v>
      </c>
      <c r="D12" s="283">
        <f>GETPIVOTDATA("Sum of Group Manager",rolepivot!$A$3,"Type","RDS")</f>
        <v>0</v>
      </c>
      <c r="E12" s="283">
        <f>GETPIVOTDATA("Sum of Station Manager",rolepivot!$A$3,"Type","RDS")</f>
        <v>0</v>
      </c>
      <c r="F12" s="283">
        <f>GETPIVOTDATA("Sum of Watch Manager",rolepivot!$A$3,"Type","RDS")</f>
        <v>251</v>
      </c>
      <c r="G12" s="283">
        <f>GETPIVOTDATA("Sum of Crew Manager",rolepivot!$A$3,"Type","RDS")</f>
        <v>525</v>
      </c>
      <c r="H12" s="283">
        <f>GETPIVOTDATA("Sum of Firefighter",rolepivot!$A$3,"Type","RDS")</f>
        <v>1932</v>
      </c>
      <c r="I12" s="284">
        <f t="shared" ref="I12:I18" si="1">SUM(B12:H12)</f>
        <v>2708</v>
      </c>
      <c r="J12" s="15"/>
      <c r="K12" s="15"/>
    </row>
    <row r="13" spans="1:11" ht="16.5" customHeight="1" x14ac:dyDescent="0.25">
      <c r="A13" s="2" t="s">
        <v>169</v>
      </c>
      <c r="B13" s="299">
        <f>IF(ISBLANK(B12), "-", B12/$I$12)</f>
        <v>0</v>
      </c>
      <c r="C13" s="299">
        <f t="shared" ref="C13:G13" si="2">IF(ISBLANK(C12), "-", C12/$I$12)</f>
        <v>0</v>
      </c>
      <c r="D13" s="299">
        <f t="shared" si="2"/>
        <v>0</v>
      </c>
      <c r="E13" s="299">
        <f t="shared" si="2"/>
        <v>0</v>
      </c>
      <c r="F13" s="299">
        <f t="shared" si="2"/>
        <v>9.2688330871491878E-2</v>
      </c>
      <c r="G13" s="299">
        <f t="shared" si="2"/>
        <v>0.19387001477104873</v>
      </c>
      <c r="H13" s="299">
        <f>IF(ISBLANK(H12), "-", H12/$I$12)</f>
        <v>0.71344165435745943</v>
      </c>
      <c r="I13" s="299">
        <f>IF(ISBLANK(I12), "-", I12/$I$12)</f>
        <v>1</v>
      </c>
      <c r="J13" s="15"/>
      <c r="K13" s="15"/>
    </row>
    <row r="14" spans="1:11" ht="16.5" customHeight="1" x14ac:dyDescent="0.25">
      <c r="A14" s="12" t="s">
        <v>1252</v>
      </c>
      <c r="B14" s="974">
        <f>GETPIVOTDATA("Sum of Brigade Manager",rolepivot!$A$3,"Type","RDS Fulltime")</f>
        <v>0</v>
      </c>
      <c r="C14" s="974">
        <f>GETPIVOTDATA("Sum of Area Manager",rolepivot!$A$3,"Type","RDS Fulltime")</f>
        <v>0</v>
      </c>
      <c r="D14" s="974">
        <f>GETPIVOTDATA("Sum of Group Manager",rolepivot!$A$3,"Type","RDS Fulltime")</f>
        <v>0</v>
      </c>
      <c r="E14" s="974">
        <f>GETPIVOTDATA("Sum of Station Manager",rolepivot!$A$3,"Type","RDS Fulltime")</f>
        <v>0</v>
      </c>
      <c r="F14" s="974">
        <f>GETPIVOTDATA("Sum of Watch Manager",rolepivot!$A$3,"Type","RDS Fulltime")</f>
        <v>53</v>
      </c>
      <c r="G14" s="974">
        <f>GETPIVOTDATA("Sum of Crew Manager",rolepivot!$A$3,"Type","RDS Fulltime")</f>
        <v>2</v>
      </c>
      <c r="H14" s="974">
        <f>GETPIVOTDATA("Sum of Firefighter",rolepivot!$A$3,"Type","RDS Fulltime")</f>
        <v>0</v>
      </c>
      <c r="I14" s="975">
        <f>SUM(B14:H14)</f>
        <v>55</v>
      </c>
      <c r="J14" s="15"/>
      <c r="K14" s="15"/>
    </row>
    <row r="15" spans="1:11" ht="16.5" customHeight="1" x14ac:dyDescent="0.25">
      <c r="A15" s="2" t="s">
        <v>1253</v>
      </c>
      <c r="B15" s="299">
        <f>IF(ISBLANK(B14), "-", B14/$I$14)</f>
        <v>0</v>
      </c>
      <c r="C15" s="299">
        <f t="shared" ref="C15:I15" si="3">IF(ISBLANK(C14), "-", C14/$I$14)</f>
        <v>0</v>
      </c>
      <c r="D15" s="299">
        <f t="shared" si="3"/>
        <v>0</v>
      </c>
      <c r="E15" s="299">
        <f t="shared" si="3"/>
        <v>0</v>
      </c>
      <c r="F15" s="299">
        <f t="shared" si="3"/>
        <v>0.96363636363636362</v>
      </c>
      <c r="G15" s="299">
        <f t="shared" si="3"/>
        <v>3.6363636363636362E-2</v>
      </c>
      <c r="H15" s="299">
        <f t="shared" si="3"/>
        <v>0</v>
      </c>
      <c r="I15" s="299">
        <f t="shared" si="3"/>
        <v>1</v>
      </c>
      <c r="J15" s="15"/>
      <c r="K15" s="15"/>
    </row>
    <row r="16" spans="1:11" ht="16.5" customHeight="1" x14ac:dyDescent="0.25">
      <c r="A16" s="12" t="s">
        <v>170</v>
      </c>
      <c r="B16" s="283">
        <f>GETPIVOTDATA("Sum of Brigade Manager",rolepivot!$A$3,"Type","Control")</f>
        <v>0</v>
      </c>
      <c r="C16" s="283">
        <f>GETPIVOTDATA("Sum of Area Manager",rolepivot!$A$3,"Type","Control")</f>
        <v>1</v>
      </c>
      <c r="D16" s="283">
        <f>GETPIVOTDATA("Sum of Group Manager",rolepivot!$A$3,"Type","Control")</f>
        <v>4</v>
      </c>
      <c r="E16" s="283">
        <f>GETPIVOTDATA("Sum of Station Manager",rolepivot!$A$3,"Type","Control")</f>
        <v>9</v>
      </c>
      <c r="F16" s="283">
        <f>GETPIVOTDATA("Sum of Watch Manager",rolepivot!$A$3,"Type","Control")</f>
        <v>40</v>
      </c>
      <c r="G16" s="283">
        <f>GETPIVOTDATA("Sum of Crew Manager",rolepivot!$A$3,"Type","Control")</f>
        <v>26</v>
      </c>
      <c r="H16" s="283">
        <f>GETPIVOTDATA("Sum of Firefighter",rolepivot!$A$3,"Type","Control")</f>
        <v>91</v>
      </c>
      <c r="I16" s="284">
        <f t="shared" si="1"/>
        <v>171</v>
      </c>
      <c r="J16" s="15"/>
      <c r="K16" s="15"/>
    </row>
    <row r="17" spans="1:11" ht="16.5" customHeight="1" x14ac:dyDescent="0.25">
      <c r="A17" s="2" t="s">
        <v>171</v>
      </c>
      <c r="B17" s="299">
        <f>IF(ISBLANK(B16), "-", B16/$I$16)</f>
        <v>0</v>
      </c>
      <c r="C17" s="299">
        <f t="shared" ref="C17:I17" si="4">IF(ISBLANK(C16), "-", C16/$I$16)</f>
        <v>5.8479532163742687E-3</v>
      </c>
      <c r="D17" s="299">
        <f t="shared" si="4"/>
        <v>2.3391812865497075E-2</v>
      </c>
      <c r="E17" s="299">
        <f t="shared" si="4"/>
        <v>5.2631578947368418E-2</v>
      </c>
      <c r="F17" s="299">
        <f t="shared" si="4"/>
        <v>0.23391812865497075</v>
      </c>
      <c r="G17" s="299">
        <f t="shared" si="4"/>
        <v>0.15204678362573099</v>
      </c>
      <c r="H17" s="299">
        <f t="shared" si="4"/>
        <v>0.53216374269005851</v>
      </c>
      <c r="I17" s="299">
        <f t="shared" si="4"/>
        <v>1</v>
      </c>
      <c r="J17" s="15"/>
      <c r="K17" s="15"/>
    </row>
    <row r="18" spans="1:11" ht="16.5" customHeight="1" x14ac:dyDescent="0.25">
      <c r="A18" s="12" t="s">
        <v>454</v>
      </c>
      <c r="B18" s="283">
        <f>GETPIVOTDATA("Sum of Brigade Manager",rolepivot!$A$3,"Type","Vol")</f>
        <v>0</v>
      </c>
      <c r="C18" s="283">
        <f>GETPIVOTDATA("Sum of Area Manager",rolepivot!$A$3,"Type","Vol")</f>
        <v>0</v>
      </c>
      <c r="D18" s="283">
        <f>GETPIVOTDATA("Sum of Group Manager",rolepivot!$A$3,"Type","Vol")</f>
        <v>0</v>
      </c>
      <c r="E18" s="283">
        <f>GETPIVOTDATA("Sum of Station Manager",rolepivot!$A$3,"Type","Vol")</f>
        <v>0</v>
      </c>
      <c r="F18" s="283">
        <f>GETPIVOTDATA("Sum of Watch Manager",rolepivot!$A$3,"Type","Vol")</f>
        <v>35</v>
      </c>
      <c r="G18" s="283">
        <f>GETPIVOTDATA("Sum of Crew Manager",rolepivot!$A$3,"Type","Vol")</f>
        <v>41</v>
      </c>
      <c r="H18" s="283">
        <f>GETPIVOTDATA("Sum of Firefighter",rolepivot!$A$3,"Type","Vol")</f>
        <v>193</v>
      </c>
      <c r="I18" s="284">
        <f t="shared" si="1"/>
        <v>269</v>
      </c>
      <c r="J18" s="15"/>
      <c r="K18" s="15"/>
    </row>
    <row r="19" spans="1:11" ht="16.5" customHeight="1" thickBot="1" x14ac:dyDescent="0.3">
      <c r="A19" s="34" t="s">
        <v>455</v>
      </c>
      <c r="B19" s="300">
        <f>IF(ISBLANK(B18), "-", B18/$I$18)</f>
        <v>0</v>
      </c>
      <c r="C19" s="300">
        <f t="shared" ref="C19:I19" si="5">IF(ISBLANK(C18), "-", C18/$I$18)</f>
        <v>0</v>
      </c>
      <c r="D19" s="300">
        <f t="shared" si="5"/>
        <v>0</v>
      </c>
      <c r="E19" s="300">
        <f t="shared" si="5"/>
        <v>0</v>
      </c>
      <c r="F19" s="300">
        <f t="shared" si="5"/>
        <v>0.13011152416356878</v>
      </c>
      <c r="G19" s="300">
        <f t="shared" si="5"/>
        <v>0.15241635687732341</v>
      </c>
      <c r="H19" s="300">
        <f t="shared" si="5"/>
        <v>0.71747211895910779</v>
      </c>
      <c r="I19" s="300">
        <f t="shared" si="5"/>
        <v>1</v>
      </c>
      <c r="J19" s="15"/>
      <c r="K19" s="15"/>
    </row>
    <row r="20" spans="1:11" x14ac:dyDescent="0.25">
      <c r="A20" s="15"/>
      <c r="B20" s="375"/>
      <c r="C20" s="15"/>
      <c r="D20" s="15"/>
      <c r="E20" s="15"/>
      <c r="F20" s="15"/>
      <c r="G20" s="15"/>
      <c r="H20" s="15"/>
      <c r="I20" s="15"/>
      <c r="J20" s="15"/>
      <c r="K20" s="15"/>
    </row>
    <row r="21" spans="1:11" x14ac:dyDescent="0.25">
      <c r="A21" s="341" t="s">
        <v>8</v>
      </c>
      <c r="B21" s="343"/>
      <c r="C21" s="343"/>
      <c r="D21" s="343"/>
      <c r="E21" s="343"/>
      <c r="F21" s="343"/>
      <c r="G21" s="343"/>
      <c r="H21" s="343"/>
      <c r="I21" s="343"/>
      <c r="J21" s="343"/>
      <c r="K21" s="343"/>
    </row>
    <row r="22" spans="1:11" ht="45" customHeight="1" x14ac:dyDescent="0.25">
      <c r="A22" s="1003" t="s">
        <v>844</v>
      </c>
      <c r="B22" s="1003"/>
      <c r="C22" s="1003"/>
      <c r="D22" s="1003"/>
      <c r="E22" s="1003"/>
      <c r="F22" s="1003"/>
      <c r="G22" s="1003"/>
      <c r="H22" s="1003"/>
      <c r="I22" s="1003"/>
      <c r="J22" s="343"/>
      <c r="K22" s="343"/>
    </row>
    <row r="23" spans="1:11" ht="30" customHeight="1" x14ac:dyDescent="0.25">
      <c r="A23" s="1010" t="s">
        <v>843</v>
      </c>
      <c r="B23" s="1010"/>
      <c r="C23" s="1010"/>
      <c r="D23" s="1010"/>
      <c r="E23" s="1010"/>
      <c r="F23" s="1010"/>
      <c r="G23" s="1010"/>
      <c r="H23" s="1010"/>
      <c r="I23" s="1010"/>
      <c r="J23" s="342"/>
      <c r="K23" s="342"/>
    </row>
    <row r="24" spans="1:11" ht="30" customHeight="1" x14ac:dyDescent="0.25"/>
  </sheetData>
  <sheetProtection algorithmName="SHA-512" hashValue="OAnR+nR0lRlW5sHKVytqe5QN8BdFn/ZD/VQzvx4kWrOc4p0wfuwcVVdCUu2sejfSDVIdekUB8qDUS3Fvd4jWJw==" saltValue="sPcAX4H4Bq3l9sotQd3Yuw==" spinCount="100000" sheet="1" scenarios="1" formatCells="0" sort="0" autoFilter="0" pivotTables="0"/>
  <mergeCells count="4">
    <mergeCell ref="A4:K4"/>
    <mergeCell ref="A1:H1"/>
    <mergeCell ref="A23:I23"/>
    <mergeCell ref="A22:I22"/>
  </mergeCells>
  <hyperlinks>
    <hyperlink ref="A2" location="'Table of Contents'!A1" display="Back to Table of Contents" xr:uid="{00000000-0004-0000-2A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39997558519241921"/>
  </sheetPr>
  <dimension ref="A1:H8"/>
  <sheetViews>
    <sheetView workbookViewId="0">
      <selection activeCell="B6" sqref="B6"/>
    </sheetView>
  </sheetViews>
  <sheetFormatPr defaultRowHeight="15" x14ac:dyDescent="0.25"/>
  <cols>
    <col min="1" max="1" width="23.85546875" bestFit="1" customWidth="1"/>
    <col min="2" max="2" width="24.42578125" bestFit="1" customWidth="1"/>
    <col min="3" max="3" width="22.140625" bestFit="1" customWidth="1"/>
    <col min="4" max="4" width="23.42578125" bestFit="1" customWidth="1"/>
    <col min="5" max="5" width="24.140625" bestFit="1" customWidth="1"/>
    <col min="6" max="6" width="23.5703125" bestFit="1" customWidth="1"/>
    <col min="7" max="7" width="22.42578125" bestFit="1" customWidth="1"/>
    <col min="8" max="8" width="15.85546875" bestFit="1" customWidth="1"/>
  </cols>
  <sheetData>
    <row r="1" spans="1:8" x14ac:dyDescent="0.25">
      <c r="A1" s="394" t="s">
        <v>1</v>
      </c>
      <c r="B1" t="s">
        <v>1108</v>
      </c>
    </row>
    <row r="3" spans="1:8" x14ac:dyDescent="0.25">
      <c r="A3" s="394" t="s">
        <v>231</v>
      </c>
      <c r="B3" t="s">
        <v>846</v>
      </c>
      <c r="C3" t="s">
        <v>847</v>
      </c>
      <c r="D3" t="s">
        <v>848</v>
      </c>
      <c r="E3" t="s">
        <v>849</v>
      </c>
      <c r="F3" t="s">
        <v>850</v>
      </c>
      <c r="G3" t="s">
        <v>851</v>
      </c>
      <c r="H3" t="s">
        <v>254</v>
      </c>
    </row>
    <row r="4" spans="1:8" x14ac:dyDescent="0.25">
      <c r="A4" s="395" t="s">
        <v>768</v>
      </c>
      <c r="B4">
        <v>5</v>
      </c>
      <c r="C4">
        <v>31</v>
      </c>
      <c r="D4">
        <v>71</v>
      </c>
      <c r="E4">
        <v>156</v>
      </c>
      <c r="F4">
        <v>0</v>
      </c>
      <c r="G4">
        <v>0</v>
      </c>
      <c r="H4">
        <v>0</v>
      </c>
    </row>
    <row r="5" spans="1:8" x14ac:dyDescent="0.25">
      <c r="A5" s="395" t="s">
        <v>770</v>
      </c>
      <c r="B5">
        <v>0</v>
      </c>
      <c r="C5">
        <v>0</v>
      </c>
      <c r="D5">
        <v>0</v>
      </c>
      <c r="E5">
        <v>0</v>
      </c>
      <c r="F5">
        <v>232</v>
      </c>
      <c r="G5">
        <v>82</v>
      </c>
      <c r="H5">
        <v>21</v>
      </c>
    </row>
    <row r="6" spans="1:8" x14ac:dyDescent="0.25">
      <c r="A6" s="395" t="s">
        <v>845</v>
      </c>
      <c r="B6">
        <v>0</v>
      </c>
      <c r="C6">
        <v>0</v>
      </c>
      <c r="D6">
        <v>0</v>
      </c>
      <c r="E6">
        <v>0</v>
      </c>
      <c r="F6">
        <v>375</v>
      </c>
      <c r="G6">
        <v>558</v>
      </c>
      <c r="H6">
        <v>1890</v>
      </c>
    </row>
    <row r="7" spans="1:8" x14ac:dyDescent="0.25">
      <c r="A7" s="395" t="s">
        <v>771</v>
      </c>
      <c r="B7">
        <v>0</v>
      </c>
      <c r="C7">
        <v>0</v>
      </c>
      <c r="D7">
        <v>0</v>
      </c>
      <c r="E7">
        <v>0</v>
      </c>
      <c r="F7">
        <v>0</v>
      </c>
      <c r="G7">
        <v>0</v>
      </c>
      <c r="H7">
        <v>1</v>
      </c>
    </row>
    <row r="8" spans="1:8" x14ac:dyDescent="0.25">
      <c r="A8" s="395" t="s">
        <v>236</v>
      </c>
      <c r="B8">
        <v>5</v>
      </c>
      <c r="C8">
        <v>31</v>
      </c>
      <c r="D8">
        <v>71</v>
      </c>
      <c r="E8">
        <v>156</v>
      </c>
      <c r="F8">
        <v>607</v>
      </c>
      <c r="G8">
        <v>640</v>
      </c>
      <c r="H8">
        <v>1912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39997558519241921"/>
  </sheetPr>
  <dimension ref="A1:I25"/>
  <sheetViews>
    <sheetView workbookViewId="0">
      <selection activeCell="C9" sqref="C9"/>
    </sheetView>
  </sheetViews>
  <sheetFormatPr defaultRowHeight="15" x14ac:dyDescent="0.25"/>
  <cols>
    <col min="1" max="1" width="7.42578125" bestFit="1" customWidth="1"/>
    <col min="2" max="2" width="24.5703125" bestFit="1" customWidth="1"/>
    <col min="3" max="3" width="20.7109375" bestFit="1" customWidth="1"/>
    <col min="4" max="4" width="18.140625" bestFit="1" customWidth="1"/>
    <col min="5" max="5" width="19.5703125" bestFit="1" customWidth="1"/>
    <col min="6" max="6" width="20.28515625" bestFit="1" customWidth="1"/>
    <col min="7" max="7" width="19.7109375" bestFit="1" customWidth="1"/>
    <col min="8" max="8" width="18.5703125" bestFit="1" customWidth="1"/>
    <col min="9" max="9" width="12.28515625" bestFit="1" customWidth="1"/>
  </cols>
  <sheetData>
    <row r="1" spans="1:9" x14ac:dyDescent="0.25">
      <c r="A1" t="s">
        <v>1</v>
      </c>
      <c r="B1" t="s">
        <v>990</v>
      </c>
      <c r="C1" t="s">
        <v>837</v>
      </c>
      <c r="D1" t="s">
        <v>838</v>
      </c>
      <c r="E1" t="s">
        <v>839</v>
      </c>
      <c r="F1" t="s">
        <v>840</v>
      </c>
      <c r="G1" t="s">
        <v>841</v>
      </c>
      <c r="H1" t="s">
        <v>842</v>
      </c>
      <c r="I1" t="s">
        <v>23</v>
      </c>
    </row>
    <row r="2" spans="1:9" x14ac:dyDescent="0.25">
      <c r="A2" t="s">
        <v>239</v>
      </c>
      <c r="B2" t="s">
        <v>768</v>
      </c>
      <c r="C2">
        <v>4</v>
      </c>
      <c r="D2">
        <v>33</v>
      </c>
      <c r="E2">
        <v>80</v>
      </c>
      <c r="F2">
        <v>147</v>
      </c>
      <c r="G2">
        <v>0</v>
      </c>
      <c r="H2">
        <v>0</v>
      </c>
      <c r="I2">
        <v>0</v>
      </c>
    </row>
    <row r="3" spans="1:9" x14ac:dyDescent="0.25">
      <c r="A3" t="s">
        <v>760</v>
      </c>
      <c r="B3" t="s">
        <v>768</v>
      </c>
      <c r="C3">
        <v>6</v>
      </c>
      <c r="D3">
        <v>31</v>
      </c>
      <c r="E3">
        <v>80</v>
      </c>
      <c r="F3">
        <v>153</v>
      </c>
      <c r="G3">
        <v>0</v>
      </c>
      <c r="H3">
        <v>0</v>
      </c>
      <c r="I3">
        <v>0</v>
      </c>
    </row>
    <row r="4" spans="1:9" x14ac:dyDescent="0.25">
      <c r="A4" t="s">
        <v>917</v>
      </c>
      <c r="B4" t="s">
        <v>768</v>
      </c>
      <c r="C4">
        <v>5</v>
      </c>
      <c r="D4">
        <v>35</v>
      </c>
      <c r="E4">
        <v>79</v>
      </c>
      <c r="F4">
        <v>152</v>
      </c>
      <c r="G4">
        <v>0</v>
      </c>
      <c r="H4">
        <v>0</v>
      </c>
      <c r="I4">
        <v>0</v>
      </c>
    </row>
    <row r="5" spans="1:9" x14ac:dyDescent="0.25">
      <c r="A5" t="s">
        <v>1010</v>
      </c>
      <c r="B5" t="s">
        <v>768</v>
      </c>
      <c r="C5">
        <v>5</v>
      </c>
      <c r="D5">
        <v>35</v>
      </c>
      <c r="E5">
        <v>76</v>
      </c>
      <c r="F5">
        <v>157</v>
      </c>
      <c r="G5">
        <v>0</v>
      </c>
      <c r="H5">
        <v>0</v>
      </c>
      <c r="I5">
        <v>0</v>
      </c>
    </row>
    <row r="6" spans="1:9" x14ac:dyDescent="0.25">
      <c r="A6" t="s">
        <v>1061</v>
      </c>
      <c r="B6" t="s">
        <v>768</v>
      </c>
      <c r="C6">
        <v>5</v>
      </c>
      <c r="D6">
        <v>31</v>
      </c>
      <c r="E6">
        <v>78</v>
      </c>
      <c r="F6">
        <v>148</v>
      </c>
      <c r="G6">
        <v>0</v>
      </c>
      <c r="H6">
        <v>0</v>
      </c>
      <c r="I6">
        <v>0</v>
      </c>
    </row>
    <row r="7" spans="1:9" x14ac:dyDescent="0.25">
      <c r="A7" t="s">
        <v>1108</v>
      </c>
      <c r="B7" t="s">
        <v>768</v>
      </c>
      <c r="C7">
        <v>5</v>
      </c>
      <c r="D7">
        <v>31</v>
      </c>
      <c r="E7">
        <v>71</v>
      </c>
      <c r="F7">
        <v>156</v>
      </c>
      <c r="G7">
        <v>0</v>
      </c>
      <c r="H7">
        <v>0</v>
      </c>
      <c r="I7">
        <v>0</v>
      </c>
    </row>
    <row r="8" spans="1:9" x14ac:dyDescent="0.25">
      <c r="A8" t="s">
        <v>239</v>
      </c>
      <c r="B8" t="s">
        <v>770</v>
      </c>
      <c r="C8">
        <v>0</v>
      </c>
      <c r="D8">
        <v>0</v>
      </c>
      <c r="E8">
        <v>0</v>
      </c>
      <c r="F8">
        <v>0</v>
      </c>
      <c r="G8">
        <v>234</v>
      </c>
      <c r="H8">
        <v>95</v>
      </c>
      <c r="I8">
        <v>29</v>
      </c>
    </row>
    <row r="9" spans="1:9" x14ac:dyDescent="0.25">
      <c r="A9" t="s">
        <v>760</v>
      </c>
      <c r="B9" t="s">
        <v>770</v>
      </c>
      <c r="C9">
        <v>0</v>
      </c>
      <c r="D9">
        <v>0</v>
      </c>
      <c r="E9">
        <v>0</v>
      </c>
      <c r="F9">
        <v>0</v>
      </c>
      <c r="G9">
        <v>232</v>
      </c>
      <c r="H9">
        <v>91</v>
      </c>
      <c r="I9">
        <v>28</v>
      </c>
    </row>
    <row r="10" spans="1:9" x14ac:dyDescent="0.25">
      <c r="A10" t="s">
        <v>917</v>
      </c>
      <c r="B10" t="s">
        <v>770</v>
      </c>
      <c r="C10">
        <v>0</v>
      </c>
      <c r="D10">
        <v>0</v>
      </c>
      <c r="E10">
        <v>0</v>
      </c>
      <c r="F10">
        <v>0</v>
      </c>
      <c r="G10">
        <v>231</v>
      </c>
      <c r="H10">
        <v>91</v>
      </c>
      <c r="I10">
        <v>26</v>
      </c>
    </row>
    <row r="11" spans="1:9" x14ac:dyDescent="0.25">
      <c r="A11" t="s">
        <v>1010</v>
      </c>
      <c r="B11" t="s">
        <v>770</v>
      </c>
      <c r="C11">
        <v>0</v>
      </c>
      <c r="D11">
        <v>0</v>
      </c>
      <c r="E11">
        <v>0</v>
      </c>
      <c r="F11">
        <v>0</v>
      </c>
      <c r="G11">
        <v>234</v>
      </c>
      <c r="H11">
        <v>88</v>
      </c>
      <c r="I11">
        <v>27</v>
      </c>
    </row>
    <row r="12" spans="1:9" x14ac:dyDescent="0.25">
      <c r="A12" t="s">
        <v>1061</v>
      </c>
      <c r="B12" t="s">
        <v>770</v>
      </c>
      <c r="C12">
        <v>0</v>
      </c>
      <c r="D12">
        <v>0</v>
      </c>
      <c r="E12">
        <v>0</v>
      </c>
      <c r="F12">
        <v>0</v>
      </c>
      <c r="G12">
        <v>225</v>
      </c>
      <c r="H12">
        <v>81</v>
      </c>
      <c r="I12">
        <v>21</v>
      </c>
    </row>
    <row r="13" spans="1:9" x14ac:dyDescent="0.25">
      <c r="A13" t="s">
        <v>1108</v>
      </c>
      <c r="B13" t="s">
        <v>770</v>
      </c>
      <c r="C13">
        <v>0</v>
      </c>
      <c r="D13">
        <v>0</v>
      </c>
      <c r="E13">
        <v>0</v>
      </c>
      <c r="F13">
        <v>0</v>
      </c>
      <c r="G13">
        <v>232</v>
      </c>
      <c r="H13">
        <v>82</v>
      </c>
      <c r="I13">
        <v>21</v>
      </c>
    </row>
    <row r="14" spans="1:9" x14ac:dyDescent="0.25">
      <c r="A14" t="s">
        <v>239</v>
      </c>
      <c r="B14" t="s">
        <v>845</v>
      </c>
      <c r="C14">
        <v>0</v>
      </c>
      <c r="D14">
        <v>0</v>
      </c>
      <c r="E14">
        <v>0</v>
      </c>
      <c r="F14">
        <v>0</v>
      </c>
      <c r="G14">
        <v>377</v>
      </c>
      <c r="H14">
        <v>592</v>
      </c>
      <c r="I14">
        <v>1986</v>
      </c>
    </row>
    <row r="15" spans="1:9" x14ac:dyDescent="0.25">
      <c r="A15" t="s">
        <v>760</v>
      </c>
      <c r="B15" t="s">
        <v>845</v>
      </c>
      <c r="C15">
        <v>0</v>
      </c>
      <c r="D15">
        <v>0</v>
      </c>
      <c r="E15">
        <v>0</v>
      </c>
      <c r="F15">
        <v>0</v>
      </c>
      <c r="G15">
        <v>376</v>
      </c>
      <c r="H15">
        <v>597</v>
      </c>
      <c r="I15">
        <v>1993</v>
      </c>
    </row>
    <row r="16" spans="1:9" x14ac:dyDescent="0.25">
      <c r="A16" t="s">
        <v>917</v>
      </c>
      <c r="B16" t="s">
        <v>845</v>
      </c>
      <c r="C16">
        <v>0</v>
      </c>
      <c r="D16">
        <v>0</v>
      </c>
      <c r="E16">
        <v>0</v>
      </c>
      <c r="F16">
        <v>0</v>
      </c>
      <c r="G16">
        <v>372</v>
      </c>
      <c r="H16">
        <v>596</v>
      </c>
      <c r="I16">
        <v>1935</v>
      </c>
    </row>
    <row r="17" spans="1:9" x14ac:dyDescent="0.25">
      <c r="A17" t="s">
        <v>1010</v>
      </c>
      <c r="B17" t="s">
        <v>845</v>
      </c>
      <c r="C17">
        <v>0</v>
      </c>
      <c r="D17">
        <v>0</v>
      </c>
      <c r="E17">
        <v>0</v>
      </c>
      <c r="F17">
        <v>0</v>
      </c>
      <c r="G17">
        <v>373</v>
      </c>
      <c r="H17">
        <v>572</v>
      </c>
      <c r="I17">
        <v>1898</v>
      </c>
    </row>
    <row r="18" spans="1:9" x14ac:dyDescent="0.25">
      <c r="A18" t="s">
        <v>1061</v>
      </c>
      <c r="B18" t="s">
        <v>845</v>
      </c>
      <c r="C18">
        <v>0</v>
      </c>
      <c r="D18">
        <v>0</v>
      </c>
      <c r="E18">
        <v>0</v>
      </c>
      <c r="F18">
        <v>0</v>
      </c>
      <c r="G18">
        <v>376</v>
      </c>
      <c r="H18">
        <v>574</v>
      </c>
      <c r="I18">
        <v>1848</v>
      </c>
    </row>
    <row r="19" spans="1:9" x14ac:dyDescent="0.25">
      <c r="A19" t="s">
        <v>1108</v>
      </c>
      <c r="B19" t="s">
        <v>845</v>
      </c>
      <c r="C19">
        <v>0</v>
      </c>
      <c r="D19">
        <v>0</v>
      </c>
      <c r="E19">
        <v>0</v>
      </c>
      <c r="F19">
        <v>0</v>
      </c>
      <c r="G19">
        <v>375</v>
      </c>
      <c r="H19">
        <v>558</v>
      </c>
      <c r="I19">
        <v>1890</v>
      </c>
    </row>
    <row r="20" spans="1:9" x14ac:dyDescent="0.25">
      <c r="A20" t="s">
        <v>239</v>
      </c>
      <c r="B20" t="s">
        <v>771</v>
      </c>
      <c r="C20">
        <v>0</v>
      </c>
      <c r="D20">
        <v>0</v>
      </c>
      <c r="E20">
        <v>0</v>
      </c>
      <c r="F20">
        <v>0</v>
      </c>
      <c r="G20">
        <v>0</v>
      </c>
      <c r="H20">
        <v>0</v>
      </c>
      <c r="I20">
        <v>60</v>
      </c>
    </row>
    <row r="21" spans="1:9" x14ac:dyDescent="0.25">
      <c r="A21" t="s">
        <v>760</v>
      </c>
      <c r="B21" t="s">
        <v>771</v>
      </c>
      <c r="C21">
        <v>0</v>
      </c>
      <c r="D21">
        <v>0</v>
      </c>
      <c r="E21">
        <v>0</v>
      </c>
      <c r="F21">
        <v>0</v>
      </c>
      <c r="G21">
        <v>0</v>
      </c>
      <c r="H21">
        <v>0</v>
      </c>
      <c r="I21">
        <v>49</v>
      </c>
    </row>
    <row r="22" spans="1:9" x14ac:dyDescent="0.25">
      <c r="A22" t="s">
        <v>917</v>
      </c>
      <c r="B22" t="s">
        <v>771</v>
      </c>
      <c r="C22">
        <v>0</v>
      </c>
      <c r="D22">
        <v>0</v>
      </c>
      <c r="E22">
        <v>0</v>
      </c>
      <c r="F22">
        <v>0</v>
      </c>
      <c r="G22">
        <v>0</v>
      </c>
      <c r="H22">
        <v>0</v>
      </c>
      <c r="I22">
        <v>59</v>
      </c>
    </row>
    <row r="23" spans="1:9" x14ac:dyDescent="0.25">
      <c r="A23" t="s">
        <v>1010</v>
      </c>
      <c r="B23" t="s">
        <v>771</v>
      </c>
      <c r="C23">
        <v>0</v>
      </c>
      <c r="D23">
        <v>0</v>
      </c>
      <c r="E23">
        <v>0</v>
      </c>
      <c r="F23">
        <v>0</v>
      </c>
      <c r="G23">
        <v>0</v>
      </c>
      <c r="H23">
        <v>0</v>
      </c>
      <c r="I23">
        <v>65</v>
      </c>
    </row>
    <row r="24" spans="1:9" x14ac:dyDescent="0.25">
      <c r="A24" t="s">
        <v>1061</v>
      </c>
      <c r="B24" t="s">
        <v>771</v>
      </c>
      <c r="C24">
        <v>0</v>
      </c>
      <c r="D24">
        <v>0</v>
      </c>
      <c r="E24">
        <v>0</v>
      </c>
      <c r="F24">
        <v>0</v>
      </c>
      <c r="G24">
        <v>0</v>
      </c>
      <c r="H24">
        <v>0</v>
      </c>
      <c r="I24">
        <v>103</v>
      </c>
    </row>
    <row r="25" spans="1:9" x14ac:dyDescent="0.25">
      <c r="A25" t="s">
        <v>1108</v>
      </c>
      <c r="B25" t="s">
        <v>771</v>
      </c>
      <c r="C25">
        <v>0</v>
      </c>
      <c r="D25">
        <v>0</v>
      </c>
      <c r="E25">
        <v>0</v>
      </c>
      <c r="F25">
        <v>0</v>
      </c>
      <c r="G25">
        <v>0</v>
      </c>
      <c r="H25">
        <v>0</v>
      </c>
      <c r="I25">
        <v>1</v>
      </c>
    </row>
  </sheetData>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39997558519241921"/>
  </sheetPr>
  <dimension ref="A1:I20"/>
  <sheetViews>
    <sheetView showGridLines="0" zoomScaleNormal="100" workbookViewId="0">
      <pane ySplit="2" topLeftCell="A3" activePane="bottomLeft" state="frozen"/>
      <selection pane="bottomLeft"/>
    </sheetView>
  </sheetViews>
  <sheetFormatPr defaultRowHeight="15" x14ac:dyDescent="0.25"/>
  <cols>
    <col min="1" max="1" width="27" customWidth="1"/>
    <col min="2" max="9" width="12.42578125" customWidth="1"/>
    <col min="10" max="10" width="15.5703125" bestFit="1" customWidth="1"/>
    <col min="11" max="11" width="14.85546875" bestFit="1" customWidth="1"/>
  </cols>
  <sheetData>
    <row r="1" spans="1:9" ht="15.75" x14ac:dyDescent="0.25">
      <c r="A1" s="522" t="s">
        <v>450</v>
      </c>
    </row>
    <row r="2" spans="1:9" x14ac:dyDescent="0.25">
      <c r="A2" s="507" t="s">
        <v>511</v>
      </c>
    </row>
    <row r="3" spans="1:9" ht="18" x14ac:dyDescent="0.25">
      <c r="A3" s="1"/>
      <c r="B3" s="1"/>
      <c r="C3" s="1"/>
      <c r="D3" s="1"/>
      <c r="E3" s="1"/>
      <c r="F3" s="1"/>
    </row>
    <row r="4" spans="1:9" ht="15.75" x14ac:dyDescent="0.25">
      <c r="A4" s="447" t="s">
        <v>1254</v>
      </c>
      <c r="B4" s="447"/>
      <c r="C4" s="447"/>
      <c r="D4" s="447"/>
      <c r="E4" s="447"/>
      <c r="F4" s="447"/>
    </row>
    <row r="5" spans="1:9" x14ac:dyDescent="0.25">
      <c r="A5" t="s">
        <v>328</v>
      </c>
      <c r="B5" t="s">
        <v>869</v>
      </c>
    </row>
    <row r="6" spans="1:9" x14ac:dyDescent="0.25">
      <c r="A6" t="s">
        <v>329</v>
      </c>
      <c r="B6" t="s">
        <v>331</v>
      </c>
    </row>
    <row r="7" spans="1:9" x14ac:dyDescent="0.25">
      <c r="A7" t="s">
        <v>330</v>
      </c>
      <c r="B7" t="s">
        <v>332</v>
      </c>
    </row>
    <row r="9" spans="1:9" x14ac:dyDescent="0.25">
      <c r="A9" s="36" t="s">
        <v>1</v>
      </c>
    </row>
    <row r="10" spans="1:9" x14ac:dyDescent="0.25">
      <c r="A10" s="39" t="str">
        <f>roledutysystempivot!B1</f>
        <v>2023-24</v>
      </c>
    </row>
    <row r="11" spans="1:9" ht="26.25" x14ac:dyDescent="0.25">
      <c r="A11" s="2" t="s">
        <v>463</v>
      </c>
      <c r="B11" s="3" t="s">
        <v>837</v>
      </c>
      <c r="C11" s="3" t="s">
        <v>838</v>
      </c>
      <c r="D11" s="3" t="s">
        <v>839</v>
      </c>
      <c r="E11" s="3" t="s">
        <v>840</v>
      </c>
      <c r="F11" s="3" t="s">
        <v>841</v>
      </c>
      <c r="G11" s="3" t="s">
        <v>842</v>
      </c>
      <c r="H11" s="3" t="s">
        <v>23</v>
      </c>
      <c r="I11" s="235" t="s">
        <v>10</v>
      </c>
    </row>
    <row r="12" spans="1:9" x14ac:dyDescent="0.25">
      <c r="A12" s="5" t="s">
        <v>768</v>
      </c>
      <c r="B12" s="267">
        <f>GETPIVOTDATA("Sum of Brigade Commander",roledutysystempivot!$A$3,"EmployeeGroup",A12)</f>
        <v>5</v>
      </c>
      <c r="C12" s="267">
        <f>GETPIVOTDATA("Sum of Area Commander",roledutysystempivot!$A$3,"EmployeeGroup",A12)</f>
        <v>31</v>
      </c>
      <c r="D12" s="267">
        <f>GETPIVOTDATA("Sum of Group Commander",roledutysystempivot!$A$3,"EmployeeGroup",A12)</f>
        <v>71</v>
      </c>
      <c r="E12" s="267">
        <f>GETPIVOTDATA("Sum of Station Commander",roledutysystempivot!$A$3,"EmployeeGroup",A12)</f>
        <v>156</v>
      </c>
      <c r="F12" s="267">
        <f>GETPIVOTDATA("Sum of Watch Commander",roledutysystempivot!$A$3,"EmployeeGroup",A12)</f>
        <v>0</v>
      </c>
      <c r="G12" s="267">
        <f>GETPIVOTDATA("Sum of Crew Commander",roledutysystempivot!$A$3,"EmployeeGroup",A12)</f>
        <v>0</v>
      </c>
      <c r="H12" s="267">
        <f>GETPIVOTDATA("Sum of Firefighter",roledutysystempivot!$A$3,"EmployeeGroup",A12)</f>
        <v>0</v>
      </c>
      <c r="I12" s="623">
        <f>SUM(B12:H12)</f>
        <v>263</v>
      </c>
    </row>
    <row r="13" spans="1:9" x14ac:dyDescent="0.25">
      <c r="A13" s="5" t="s">
        <v>845</v>
      </c>
      <c r="B13" s="267">
        <f>roledutysystempivot!B6</f>
        <v>0</v>
      </c>
      <c r="C13" s="267">
        <f>roledutysystempivot!C6</f>
        <v>0</v>
      </c>
      <c r="D13" s="267">
        <f>roledutysystempivot!D6</f>
        <v>0</v>
      </c>
      <c r="E13" s="267">
        <f>roledutysystempivot!E6</f>
        <v>0</v>
      </c>
      <c r="F13" s="267">
        <f>roledutysystempivot!F6</f>
        <v>375</v>
      </c>
      <c r="G13" s="267">
        <f>roledutysystempivot!G6</f>
        <v>558</v>
      </c>
      <c r="H13" s="267">
        <f>roledutysystempivot!H6</f>
        <v>1890</v>
      </c>
      <c r="I13" s="623">
        <f t="shared" ref="I13:I16" si="0">SUM(B13:H13)</f>
        <v>2823</v>
      </c>
    </row>
    <row r="14" spans="1:9" x14ac:dyDescent="0.25">
      <c r="A14" s="5" t="s">
        <v>1214</v>
      </c>
      <c r="B14" s="267">
        <f>roledutysystempivot!B5</f>
        <v>0</v>
      </c>
      <c r="C14" s="267">
        <f>roledutysystempivot!C5</f>
        <v>0</v>
      </c>
      <c r="D14" s="267">
        <f>roledutysystempivot!D5</f>
        <v>0</v>
      </c>
      <c r="E14" s="267">
        <f>roledutysystempivot!E5</f>
        <v>0</v>
      </c>
      <c r="F14" s="267">
        <f>roledutysystempivot!F5</f>
        <v>232</v>
      </c>
      <c r="G14" s="267">
        <f>roledutysystempivot!G5</f>
        <v>82</v>
      </c>
      <c r="H14" s="267">
        <f>roledutysystempivot!H5</f>
        <v>21</v>
      </c>
      <c r="I14" s="623">
        <f>SUM(B14:H14)</f>
        <v>335</v>
      </c>
    </row>
    <row r="15" spans="1:9" x14ac:dyDescent="0.25">
      <c r="A15" s="5" t="s">
        <v>771</v>
      </c>
      <c r="B15" s="267">
        <f>roledutysystempivot!B7</f>
        <v>0</v>
      </c>
      <c r="C15" s="267">
        <f>roledutysystempivot!C7</f>
        <v>0</v>
      </c>
      <c r="D15" s="267">
        <f>roledutysystempivot!D7</f>
        <v>0</v>
      </c>
      <c r="E15" s="267">
        <f>roledutysystempivot!E7</f>
        <v>0</v>
      </c>
      <c r="F15" s="267">
        <f>roledutysystempivot!F7</f>
        <v>0</v>
      </c>
      <c r="G15" s="267">
        <f>roledutysystempivot!G7</f>
        <v>0</v>
      </c>
      <c r="H15" s="267">
        <f>roledutysystempivot!H7</f>
        <v>1</v>
      </c>
      <c r="I15" s="623">
        <f t="shared" si="0"/>
        <v>1</v>
      </c>
    </row>
    <row r="16" spans="1:9" ht="15.75" thickBot="1" x14ac:dyDescent="0.3">
      <c r="A16" s="736" t="s">
        <v>26</v>
      </c>
      <c r="B16" s="737">
        <f>SUM(B12:B15)</f>
        <v>5</v>
      </c>
      <c r="C16" s="737">
        <f t="shared" ref="C16:H16" si="1">SUM(C12:C15)</f>
        <v>31</v>
      </c>
      <c r="D16" s="737">
        <f t="shared" si="1"/>
        <v>71</v>
      </c>
      <c r="E16" s="737">
        <f t="shared" si="1"/>
        <v>156</v>
      </c>
      <c r="F16" s="737">
        <f t="shared" si="1"/>
        <v>607</v>
      </c>
      <c r="G16" s="737">
        <f t="shared" si="1"/>
        <v>640</v>
      </c>
      <c r="H16" s="737">
        <f t="shared" si="1"/>
        <v>1912</v>
      </c>
      <c r="I16" s="737">
        <f t="shared" si="0"/>
        <v>3422</v>
      </c>
    </row>
    <row r="18" spans="1:9" x14ac:dyDescent="0.25">
      <c r="A18" s="317" t="s">
        <v>8</v>
      </c>
    </row>
    <row r="19" spans="1:9" ht="48.6" customHeight="1" x14ac:dyDescent="0.25">
      <c r="A19" s="992" t="s">
        <v>1215</v>
      </c>
      <c r="B19" s="992"/>
      <c r="C19" s="992"/>
      <c r="D19" s="992"/>
      <c r="E19" s="992"/>
      <c r="F19" s="992"/>
      <c r="G19" s="992"/>
      <c r="H19" s="992"/>
      <c r="I19" s="992"/>
    </row>
    <row r="20" spans="1:9" ht="46.5" customHeight="1" x14ac:dyDescent="0.25">
      <c r="A20" s="1003" t="s">
        <v>844</v>
      </c>
      <c r="B20" s="1003"/>
      <c r="C20" s="1003"/>
      <c r="D20" s="1003"/>
      <c r="E20" s="1003"/>
      <c r="F20" s="1003"/>
      <c r="G20" s="1003"/>
      <c r="H20" s="1003"/>
      <c r="I20" s="1003"/>
    </row>
  </sheetData>
  <sheetProtection algorithmName="SHA-512" hashValue="2GZAtunys4He0RDDHHTy70hKMRLwd/o9byOyz+mFAIodBva2+gFGq41kwQ2h/9P+3qtbwPwFA2szD1NBargeHQ==" saltValue="FSJfmwPhHcjV9ylGDGAKlg==" spinCount="100000" sheet="1" scenarios="1" formatCells="0" sort="0" autoFilter="0" pivotTables="0"/>
  <mergeCells count="2">
    <mergeCell ref="A20:I20"/>
    <mergeCell ref="A19:I19"/>
  </mergeCells>
  <hyperlinks>
    <hyperlink ref="A2" location="'Table of Contents'!A1" display="Back to Table of Contents" xr:uid="{00000000-0004-0000-2D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9" tint="0.39997558519241921"/>
  </sheetPr>
  <dimension ref="A1:H8"/>
  <sheetViews>
    <sheetView workbookViewId="0">
      <selection activeCell="C7" sqref="C7"/>
    </sheetView>
  </sheetViews>
  <sheetFormatPr defaultRowHeight="15" x14ac:dyDescent="0.25"/>
  <cols>
    <col min="1" max="1" width="12.42578125" bestFit="1" customWidth="1"/>
    <col min="2" max="2" width="21.5703125" bestFit="1" customWidth="1"/>
    <col min="3" max="3" width="19.140625" bestFit="1" customWidth="1"/>
    <col min="4" max="4" width="20.42578125" bestFit="1" customWidth="1"/>
    <col min="5" max="5" width="21.28515625" bestFit="1" customWidth="1"/>
    <col min="6" max="6" width="20.5703125" bestFit="1" customWidth="1"/>
    <col min="7" max="7" width="19.42578125" bestFit="1" customWidth="1"/>
    <col min="8" max="8" width="15.85546875" bestFit="1" customWidth="1"/>
  </cols>
  <sheetData>
    <row r="1" spans="1:8" x14ac:dyDescent="0.25">
      <c r="A1" s="394" t="s">
        <v>1</v>
      </c>
      <c r="B1" t="s">
        <v>1108</v>
      </c>
    </row>
    <row r="3" spans="1:8" x14ac:dyDescent="0.25">
      <c r="A3" s="394" t="s">
        <v>231</v>
      </c>
      <c r="B3" t="s">
        <v>249</v>
      </c>
      <c r="C3" t="s">
        <v>250</v>
      </c>
      <c r="D3" t="s">
        <v>251</v>
      </c>
      <c r="E3" t="s">
        <v>252</v>
      </c>
      <c r="F3" t="s">
        <v>241</v>
      </c>
      <c r="G3" t="s">
        <v>253</v>
      </c>
      <c r="H3" t="s">
        <v>254</v>
      </c>
    </row>
    <row r="4" spans="1:8" x14ac:dyDescent="0.25">
      <c r="A4" s="395" t="s">
        <v>232</v>
      </c>
      <c r="F4">
        <v>408</v>
      </c>
      <c r="G4">
        <v>569</v>
      </c>
      <c r="H4">
        <v>1893</v>
      </c>
    </row>
    <row r="5" spans="1:8" x14ac:dyDescent="0.25">
      <c r="A5" s="395" t="s">
        <v>233</v>
      </c>
      <c r="C5">
        <v>15</v>
      </c>
      <c r="D5">
        <v>47</v>
      </c>
      <c r="E5">
        <v>112</v>
      </c>
      <c r="F5">
        <v>93</v>
      </c>
      <c r="G5">
        <v>42</v>
      </c>
      <c r="H5">
        <v>18</v>
      </c>
    </row>
    <row r="6" spans="1:8" x14ac:dyDescent="0.25">
      <c r="A6" s="395" t="s">
        <v>234</v>
      </c>
      <c r="C6">
        <v>5</v>
      </c>
      <c r="D6">
        <v>8</v>
      </c>
      <c r="E6">
        <v>20</v>
      </c>
      <c r="F6">
        <v>79</v>
      </c>
      <c r="G6">
        <v>28</v>
      </c>
      <c r="H6">
        <v>1</v>
      </c>
    </row>
    <row r="7" spans="1:8" x14ac:dyDescent="0.25">
      <c r="A7" s="395" t="s">
        <v>235</v>
      </c>
      <c r="B7">
        <v>5</v>
      </c>
      <c r="C7">
        <v>11</v>
      </c>
      <c r="D7">
        <v>16</v>
      </c>
      <c r="E7">
        <v>24</v>
      </c>
      <c r="F7">
        <v>27</v>
      </c>
      <c r="G7">
        <v>1</v>
      </c>
    </row>
    <row r="8" spans="1:8" x14ac:dyDescent="0.25">
      <c r="A8" s="395" t="s">
        <v>236</v>
      </c>
      <c r="B8">
        <v>5</v>
      </c>
      <c r="C8">
        <v>31</v>
      </c>
      <c r="D8">
        <v>71</v>
      </c>
      <c r="E8">
        <v>156</v>
      </c>
      <c r="F8">
        <v>607</v>
      </c>
      <c r="G8">
        <v>640</v>
      </c>
      <c r="H8">
        <v>1912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39997558519241921"/>
  </sheetPr>
  <dimension ref="A1:J45"/>
  <sheetViews>
    <sheetView topLeftCell="A2" workbookViewId="0">
      <selection activeCell="D8" sqref="D8"/>
    </sheetView>
  </sheetViews>
  <sheetFormatPr defaultRowHeight="15" x14ac:dyDescent="0.25"/>
  <cols>
    <col min="1" max="1" width="7.42578125" bestFit="1" customWidth="1"/>
    <col min="2" max="2" width="15.5703125" bestFit="1" customWidth="1"/>
    <col min="3" max="3" width="17.42578125" bestFit="1" customWidth="1"/>
    <col min="4" max="4" width="14.85546875" bestFit="1" customWidth="1"/>
    <col min="5" max="5" width="16.42578125" bestFit="1" customWidth="1"/>
    <col min="6" max="6" width="17.140625" bestFit="1" customWidth="1"/>
    <col min="7" max="7" width="16.5703125" bestFit="1" customWidth="1"/>
    <col min="8" max="8" width="15.42578125" bestFit="1" customWidth="1"/>
    <col min="9" max="9" width="11.7109375" bestFit="1" customWidth="1"/>
    <col min="10" max="10" width="7.42578125" bestFit="1" customWidth="1"/>
  </cols>
  <sheetData>
    <row r="1" spans="1:10" x14ac:dyDescent="0.25">
      <c r="A1" t="s">
        <v>1</v>
      </c>
      <c r="B1" t="s">
        <v>982</v>
      </c>
      <c r="C1" t="s">
        <v>196</v>
      </c>
      <c r="D1" t="s">
        <v>18</v>
      </c>
      <c r="E1" t="s">
        <v>19</v>
      </c>
      <c r="F1" t="s">
        <v>20</v>
      </c>
      <c r="G1" t="s">
        <v>21</v>
      </c>
      <c r="H1" t="s">
        <v>22</v>
      </c>
      <c r="I1" t="s">
        <v>23</v>
      </c>
      <c r="J1" t="s">
        <v>26</v>
      </c>
    </row>
    <row r="2" spans="1:10" x14ac:dyDescent="0.25">
      <c r="A2" t="s">
        <v>192</v>
      </c>
      <c r="B2" t="s">
        <v>232</v>
      </c>
      <c r="F2">
        <v>13</v>
      </c>
      <c r="G2">
        <v>416</v>
      </c>
      <c r="H2">
        <v>608</v>
      </c>
      <c r="I2">
        <v>2355</v>
      </c>
    </row>
    <row r="3" spans="1:10" x14ac:dyDescent="0.25">
      <c r="A3" t="s">
        <v>190</v>
      </c>
      <c r="B3" t="s">
        <v>233</v>
      </c>
      <c r="D3">
        <v>14</v>
      </c>
      <c r="E3">
        <v>62</v>
      </c>
      <c r="F3">
        <v>91</v>
      </c>
      <c r="G3">
        <v>133</v>
      </c>
      <c r="H3">
        <v>50</v>
      </c>
      <c r="I3">
        <v>35</v>
      </c>
    </row>
    <row r="4" spans="1:10" x14ac:dyDescent="0.25">
      <c r="A4" t="s">
        <v>1010</v>
      </c>
      <c r="B4" t="s">
        <v>235</v>
      </c>
      <c r="C4">
        <v>5</v>
      </c>
      <c r="D4">
        <v>16</v>
      </c>
      <c r="E4">
        <v>20</v>
      </c>
      <c r="F4">
        <v>19</v>
      </c>
      <c r="G4">
        <v>28</v>
      </c>
      <c r="J4">
        <v>88</v>
      </c>
    </row>
    <row r="5" spans="1:10" x14ac:dyDescent="0.25">
      <c r="A5" t="s">
        <v>1061</v>
      </c>
      <c r="B5" t="s">
        <v>232</v>
      </c>
      <c r="G5">
        <v>403</v>
      </c>
      <c r="H5">
        <v>585</v>
      </c>
      <c r="I5">
        <v>1849</v>
      </c>
      <c r="J5">
        <v>2837</v>
      </c>
    </row>
    <row r="6" spans="1:10" x14ac:dyDescent="0.25">
      <c r="A6" t="s">
        <v>192</v>
      </c>
      <c r="B6" t="s">
        <v>233</v>
      </c>
      <c r="D6">
        <v>17</v>
      </c>
      <c r="E6">
        <v>69</v>
      </c>
      <c r="F6">
        <v>85</v>
      </c>
      <c r="G6">
        <v>94</v>
      </c>
      <c r="H6">
        <v>5</v>
      </c>
      <c r="I6">
        <v>15</v>
      </c>
    </row>
    <row r="7" spans="1:10" x14ac:dyDescent="0.25">
      <c r="A7" t="s">
        <v>191</v>
      </c>
      <c r="B7" t="s">
        <v>232</v>
      </c>
      <c r="F7">
        <v>14</v>
      </c>
      <c r="G7">
        <v>416</v>
      </c>
      <c r="H7">
        <v>592</v>
      </c>
      <c r="I7">
        <v>2263</v>
      </c>
    </row>
    <row r="8" spans="1:10" x14ac:dyDescent="0.25">
      <c r="A8" t="s">
        <v>257</v>
      </c>
      <c r="B8" t="s">
        <v>234</v>
      </c>
      <c r="D8">
        <v>3</v>
      </c>
      <c r="E8">
        <v>12</v>
      </c>
      <c r="F8">
        <v>25</v>
      </c>
      <c r="G8">
        <v>86</v>
      </c>
      <c r="H8">
        <v>22</v>
      </c>
      <c r="I8">
        <v>3</v>
      </c>
    </row>
    <row r="9" spans="1:10" x14ac:dyDescent="0.25">
      <c r="A9" t="s">
        <v>192</v>
      </c>
      <c r="B9" t="s">
        <v>234</v>
      </c>
      <c r="C9">
        <v>3</v>
      </c>
      <c r="D9">
        <v>6</v>
      </c>
      <c r="E9">
        <v>24</v>
      </c>
      <c r="F9">
        <v>33</v>
      </c>
      <c r="G9">
        <v>158</v>
      </c>
      <c r="H9">
        <v>40</v>
      </c>
      <c r="I9">
        <v>4</v>
      </c>
      <c r="J9">
        <v>268</v>
      </c>
    </row>
    <row r="10" spans="1:10" x14ac:dyDescent="0.25">
      <c r="A10" t="s">
        <v>191</v>
      </c>
      <c r="B10" t="s">
        <v>234</v>
      </c>
      <c r="D10">
        <v>4</v>
      </c>
      <c r="E10">
        <v>26</v>
      </c>
      <c r="F10">
        <v>31</v>
      </c>
      <c r="G10">
        <v>147</v>
      </c>
      <c r="H10">
        <v>34</v>
      </c>
      <c r="I10">
        <v>7</v>
      </c>
    </row>
    <row r="11" spans="1:10" x14ac:dyDescent="0.25">
      <c r="A11" t="s">
        <v>191</v>
      </c>
      <c r="B11" t="s">
        <v>235</v>
      </c>
      <c r="C11">
        <v>7</v>
      </c>
      <c r="D11">
        <v>11</v>
      </c>
      <c r="E11">
        <v>12</v>
      </c>
      <c r="F11">
        <v>6</v>
      </c>
      <c r="G11">
        <v>11</v>
      </c>
      <c r="H11">
        <v>4</v>
      </c>
      <c r="I11">
        <v>1</v>
      </c>
      <c r="J11">
        <v>52</v>
      </c>
    </row>
    <row r="12" spans="1:10" x14ac:dyDescent="0.25">
      <c r="A12" t="s">
        <v>257</v>
      </c>
      <c r="B12" t="s">
        <v>232</v>
      </c>
      <c r="F12">
        <v>1</v>
      </c>
      <c r="G12">
        <v>343</v>
      </c>
      <c r="H12">
        <v>552</v>
      </c>
      <c r="I12">
        <v>2027</v>
      </c>
    </row>
    <row r="13" spans="1:10" x14ac:dyDescent="0.25">
      <c r="A13" t="s">
        <v>257</v>
      </c>
      <c r="B13" t="s">
        <v>235</v>
      </c>
      <c r="C13">
        <v>4</v>
      </c>
      <c r="D13">
        <v>15</v>
      </c>
      <c r="E13">
        <v>11</v>
      </c>
      <c r="F13">
        <v>9</v>
      </c>
      <c r="G13">
        <v>42</v>
      </c>
      <c r="I13">
        <v>101</v>
      </c>
    </row>
    <row r="14" spans="1:10" x14ac:dyDescent="0.25">
      <c r="A14" t="s">
        <v>240</v>
      </c>
      <c r="B14" t="s">
        <v>235</v>
      </c>
      <c r="C14">
        <v>4</v>
      </c>
      <c r="D14">
        <v>15</v>
      </c>
      <c r="E14">
        <v>13</v>
      </c>
      <c r="F14">
        <v>9</v>
      </c>
      <c r="G14">
        <v>47</v>
      </c>
      <c r="I14">
        <v>55</v>
      </c>
    </row>
    <row r="15" spans="1:10" x14ac:dyDescent="0.25">
      <c r="A15" t="s">
        <v>239</v>
      </c>
      <c r="B15" t="s">
        <v>233</v>
      </c>
      <c r="D15">
        <v>16</v>
      </c>
      <c r="E15">
        <v>49</v>
      </c>
      <c r="F15">
        <v>115</v>
      </c>
      <c r="G15">
        <v>124</v>
      </c>
      <c r="H15">
        <v>54</v>
      </c>
      <c r="I15">
        <v>29</v>
      </c>
      <c r="J15">
        <v>387</v>
      </c>
    </row>
    <row r="16" spans="1:10" x14ac:dyDescent="0.25">
      <c r="A16" t="s">
        <v>239</v>
      </c>
      <c r="B16" t="s">
        <v>235</v>
      </c>
      <c r="C16">
        <v>4</v>
      </c>
      <c r="D16">
        <v>14</v>
      </c>
      <c r="E16">
        <v>17</v>
      </c>
      <c r="F16">
        <v>8</v>
      </c>
      <c r="G16">
        <v>46</v>
      </c>
      <c r="I16">
        <v>60</v>
      </c>
      <c r="J16">
        <v>149</v>
      </c>
    </row>
    <row r="17" spans="1:10" x14ac:dyDescent="0.25">
      <c r="A17" t="s">
        <v>917</v>
      </c>
      <c r="B17" t="s">
        <v>233</v>
      </c>
      <c r="D17">
        <v>16</v>
      </c>
      <c r="E17">
        <v>49</v>
      </c>
      <c r="F17">
        <v>116</v>
      </c>
      <c r="G17">
        <v>114</v>
      </c>
      <c r="H17">
        <v>55</v>
      </c>
      <c r="I17">
        <v>26</v>
      </c>
      <c r="J17">
        <v>376</v>
      </c>
    </row>
    <row r="18" spans="1:10" x14ac:dyDescent="0.25">
      <c r="A18" t="s">
        <v>191</v>
      </c>
      <c r="B18" t="s">
        <v>233</v>
      </c>
      <c r="D18">
        <v>18</v>
      </c>
      <c r="E18">
        <v>65</v>
      </c>
      <c r="F18">
        <v>79</v>
      </c>
      <c r="G18">
        <v>90</v>
      </c>
      <c r="H18">
        <v>4</v>
      </c>
      <c r="I18">
        <v>14</v>
      </c>
    </row>
    <row r="19" spans="1:10" x14ac:dyDescent="0.25">
      <c r="A19" t="s">
        <v>760</v>
      </c>
      <c r="B19" t="s">
        <v>233</v>
      </c>
      <c r="D19">
        <v>16</v>
      </c>
      <c r="E19">
        <v>50</v>
      </c>
      <c r="F19">
        <v>118</v>
      </c>
      <c r="G19">
        <v>113</v>
      </c>
      <c r="H19">
        <v>58</v>
      </c>
      <c r="I19">
        <v>28</v>
      </c>
      <c r="J19">
        <v>383</v>
      </c>
    </row>
    <row r="20" spans="1:10" x14ac:dyDescent="0.25">
      <c r="A20" t="s">
        <v>760</v>
      </c>
      <c r="B20" t="s">
        <v>234</v>
      </c>
      <c r="D20">
        <v>6</v>
      </c>
      <c r="E20">
        <v>17</v>
      </c>
      <c r="F20">
        <v>29</v>
      </c>
      <c r="G20">
        <v>112</v>
      </c>
      <c r="H20">
        <v>33</v>
      </c>
      <c r="J20">
        <v>197</v>
      </c>
    </row>
    <row r="21" spans="1:10" x14ac:dyDescent="0.25">
      <c r="A21" t="s">
        <v>917</v>
      </c>
      <c r="B21" t="s">
        <v>232</v>
      </c>
      <c r="G21">
        <v>372</v>
      </c>
      <c r="H21">
        <v>596</v>
      </c>
      <c r="I21">
        <v>1935</v>
      </c>
      <c r="J21">
        <v>2903</v>
      </c>
    </row>
    <row r="22" spans="1:10" x14ac:dyDescent="0.25">
      <c r="A22" t="s">
        <v>1061</v>
      </c>
      <c r="B22" t="s">
        <v>235</v>
      </c>
      <c r="C22">
        <v>5</v>
      </c>
      <c r="D22">
        <v>12</v>
      </c>
      <c r="E22">
        <v>19</v>
      </c>
      <c r="F22">
        <v>16</v>
      </c>
      <c r="G22">
        <v>16</v>
      </c>
      <c r="H22">
        <v>1</v>
      </c>
      <c r="J22">
        <v>69</v>
      </c>
    </row>
    <row r="23" spans="1:10" x14ac:dyDescent="0.25">
      <c r="A23" t="s">
        <v>1108</v>
      </c>
      <c r="B23" t="s">
        <v>232</v>
      </c>
      <c r="G23">
        <v>408</v>
      </c>
      <c r="H23">
        <v>569</v>
      </c>
      <c r="I23">
        <v>1893</v>
      </c>
      <c r="J23">
        <v>2870</v>
      </c>
    </row>
    <row r="24" spans="1:10" x14ac:dyDescent="0.25">
      <c r="A24" t="s">
        <v>1108</v>
      </c>
      <c r="B24" t="s">
        <v>235</v>
      </c>
      <c r="C24">
        <v>5</v>
      </c>
      <c r="D24">
        <v>11</v>
      </c>
      <c r="E24">
        <v>16</v>
      </c>
      <c r="F24">
        <v>24</v>
      </c>
      <c r="G24">
        <v>27</v>
      </c>
      <c r="H24">
        <v>1</v>
      </c>
      <c r="J24">
        <v>84</v>
      </c>
    </row>
    <row r="25" spans="1:10" x14ac:dyDescent="0.25">
      <c r="A25" t="s">
        <v>239</v>
      </c>
      <c r="B25" t="s">
        <v>234</v>
      </c>
      <c r="D25">
        <v>3</v>
      </c>
      <c r="E25">
        <v>14</v>
      </c>
      <c r="F25">
        <v>24</v>
      </c>
      <c r="G25">
        <v>64</v>
      </c>
      <c r="H25">
        <v>41</v>
      </c>
      <c r="J25">
        <v>146</v>
      </c>
    </row>
    <row r="26" spans="1:10" x14ac:dyDescent="0.25">
      <c r="A26" t="s">
        <v>917</v>
      </c>
      <c r="B26" t="s">
        <v>234</v>
      </c>
      <c r="D26">
        <v>6</v>
      </c>
      <c r="E26">
        <v>9</v>
      </c>
      <c r="F26">
        <v>16</v>
      </c>
      <c r="G26">
        <v>87</v>
      </c>
      <c r="H26">
        <v>36</v>
      </c>
      <c r="I26">
        <v>58</v>
      </c>
      <c r="J26">
        <v>212</v>
      </c>
    </row>
    <row r="27" spans="1:10" x14ac:dyDescent="0.25">
      <c r="A27" t="s">
        <v>1010</v>
      </c>
      <c r="B27" t="s">
        <v>232</v>
      </c>
      <c r="G27">
        <v>373</v>
      </c>
      <c r="H27">
        <v>572</v>
      </c>
      <c r="I27">
        <v>1898</v>
      </c>
      <c r="J27">
        <v>2843</v>
      </c>
    </row>
    <row r="28" spans="1:10" x14ac:dyDescent="0.25">
      <c r="A28" t="s">
        <v>190</v>
      </c>
      <c r="B28" t="s">
        <v>232</v>
      </c>
      <c r="F28">
        <v>2</v>
      </c>
      <c r="G28">
        <v>305</v>
      </c>
      <c r="H28">
        <v>511</v>
      </c>
      <c r="I28">
        <v>2207</v>
      </c>
    </row>
    <row r="29" spans="1:10" x14ac:dyDescent="0.25">
      <c r="A29" t="s">
        <v>190</v>
      </c>
      <c r="B29" t="s">
        <v>234</v>
      </c>
      <c r="D29">
        <v>3</v>
      </c>
      <c r="E29">
        <v>9</v>
      </c>
      <c r="F29">
        <v>14</v>
      </c>
      <c r="G29">
        <v>46</v>
      </c>
      <c r="H29">
        <v>13</v>
      </c>
    </row>
    <row r="30" spans="1:10" x14ac:dyDescent="0.25">
      <c r="A30" t="s">
        <v>240</v>
      </c>
      <c r="B30" t="s">
        <v>233</v>
      </c>
      <c r="D30">
        <v>16</v>
      </c>
      <c r="E30">
        <v>46</v>
      </c>
      <c r="F30">
        <v>115</v>
      </c>
      <c r="G30">
        <v>110</v>
      </c>
      <c r="H30">
        <v>63</v>
      </c>
      <c r="I30">
        <v>29</v>
      </c>
    </row>
    <row r="31" spans="1:10" x14ac:dyDescent="0.25">
      <c r="A31" t="s">
        <v>239</v>
      </c>
      <c r="B31" t="s">
        <v>232</v>
      </c>
      <c r="G31">
        <v>377</v>
      </c>
      <c r="H31">
        <v>592</v>
      </c>
      <c r="I31">
        <v>1986</v>
      </c>
      <c r="J31">
        <v>2955</v>
      </c>
    </row>
    <row r="32" spans="1:10" x14ac:dyDescent="0.25">
      <c r="A32" t="s">
        <v>1010</v>
      </c>
      <c r="B32" t="s">
        <v>233</v>
      </c>
      <c r="D32">
        <v>14</v>
      </c>
      <c r="E32">
        <v>47</v>
      </c>
      <c r="F32">
        <v>119</v>
      </c>
      <c r="G32">
        <v>115</v>
      </c>
      <c r="H32">
        <v>56</v>
      </c>
      <c r="I32">
        <v>27</v>
      </c>
      <c r="J32">
        <v>378</v>
      </c>
    </row>
    <row r="33" spans="1:10" x14ac:dyDescent="0.25">
      <c r="A33" t="s">
        <v>1010</v>
      </c>
      <c r="B33" t="s">
        <v>234</v>
      </c>
      <c r="D33">
        <v>5</v>
      </c>
      <c r="E33">
        <v>9</v>
      </c>
      <c r="F33">
        <v>19</v>
      </c>
      <c r="G33">
        <v>91</v>
      </c>
      <c r="H33">
        <v>32</v>
      </c>
      <c r="I33">
        <v>65</v>
      </c>
      <c r="J33">
        <v>221</v>
      </c>
    </row>
    <row r="34" spans="1:10" x14ac:dyDescent="0.25">
      <c r="A34" t="s">
        <v>1061</v>
      </c>
      <c r="B34" t="s">
        <v>234</v>
      </c>
      <c r="D34">
        <v>5</v>
      </c>
      <c r="E34">
        <v>11</v>
      </c>
      <c r="F34">
        <v>21</v>
      </c>
      <c r="G34">
        <v>90</v>
      </c>
      <c r="H34">
        <v>26</v>
      </c>
      <c r="I34">
        <v>103</v>
      </c>
      <c r="J34">
        <v>256</v>
      </c>
    </row>
    <row r="35" spans="1:10" x14ac:dyDescent="0.25">
      <c r="A35" t="s">
        <v>1108</v>
      </c>
      <c r="B35" t="s">
        <v>233</v>
      </c>
      <c r="D35">
        <v>15</v>
      </c>
      <c r="E35">
        <v>47</v>
      </c>
      <c r="F35">
        <v>112</v>
      </c>
      <c r="G35">
        <v>93</v>
      </c>
      <c r="H35">
        <v>42</v>
      </c>
      <c r="I35">
        <v>18</v>
      </c>
      <c r="J35">
        <v>327</v>
      </c>
    </row>
    <row r="36" spans="1:10" x14ac:dyDescent="0.25">
      <c r="A36" t="s">
        <v>192</v>
      </c>
      <c r="B36" t="s">
        <v>235</v>
      </c>
      <c r="C36">
        <v>6</v>
      </c>
      <c r="D36">
        <v>5</v>
      </c>
      <c r="E36">
        <v>22</v>
      </c>
      <c r="F36">
        <v>5</v>
      </c>
      <c r="G36">
        <v>11</v>
      </c>
      <c r="H36">
        <v>7</v>
      </c>
    </row>
    <row r="37" spans="1:10" x14ac:dyDescent="0.25">
      <c r="A37" t="s">
        <v>190</v>
      </c>
      <c r="B37" t="s">
        <v>235</v>
      </c>
      <c r="C37">
        <v>4</v>
      </c>
      <c r="D37">
        <v>18</v>
      </c>
      <c r="E37">
        <v>19</v>
      </c>
      <c r="F37">
        <v>19</v>
      </c>
      <c r="G37">
        <v>93</v>
      </c>
      <c r="H37">
        <v>26</v>
      </c>
      <c r="I37">
        <v>16</v>
      </c>
      <c r="J37">
        <v>195</v>
      </c>
    </row>
    <row r="38" spans="1:10" x14ac:dyDescent="0.25">
      <c r="A38" t="s">
        <v>257</v>
      </c>
      <c r="B38" t="s">
        <v>233</v>
      </c>
      <c r="D38">
        <v>16</v>
      </c>
      <c r="E38">
        <v>47</v>
      </c>
      <c r="F38">
        <v>116</v>
      </c>
      <c r="G38">
        <v>119</v>
      </c>
      <c r="H38">
        <v>61</v>
      </c>
      <c r="I38">
        <v>30</v>
      </c>
    </row>
    <row r="39" spans="1:10" x14ac:dyDescent="0.25">
      <c r="A39" t="s">
        <v>240</v>
      </c>
      <c r="B39" t="s">
        <v>232</v>
      </c>
      <c r="G39">
        <v>375</v>
      </c>
      <c r="H39">
        <v>588</v>
      </c>
      <c r="I39">
        <v>1905</v>
      </c>
    </row>
    <row r="40" spans="1:10" x14ac:dyDescent="0.25">
      <c r="A40" t="s">
        <v>240</v>
      </c>
      <c r="B40" t="s">
        <v>234</v>
      </c>
      <c r="D40">
        <v>3</v>
      </c>
      <c r="E40">
        <v>15</v>
      </c>
      <c r="F40">
        <v>29</v>
      </c>
      <c r="G40">
        <v>71</v>
      </c>
      <c r="H40">
        <v>38</v>
      </c>
    </row>
    <row r="41" spans="1:10" x14ac:dyDescent="0.25">
      <c r="A41" t="s">
        <v>917</v>
      </c>
      <c r="B41" t="s">
        <v>235</v>
      </c>
      <c r="C41">
        <v>5</v>
      </c>
      <c r="D41">
        <v>13</v>
      </c>
      <c r="E41">
        <v>21</v>
      </c>
      <c r="F41">
        <v>20</v>
      </c>
      <c r="G41">
        <v>30</v>
      </c>
      <c r="I41">
        <v>1</v>
      </c>
      <c r="J41">
        <v>90</v>
      </c>
    </row>
    <row r="42" spans="1:10" x14ac:dyDescent="0.25">
      <c r="A42" t="s">
        <v>760</v>
      </c>
      <c r="B42" t="s">
        <v>232</v>
      </c>
      <c r="G42">
        <v>376</v>
      </c>
      <c r="H42">
        <v>597</v>
      </c>
      <c r="I42">
        <v>1993</v>
      </c>
      <c r="J42">
        <v>2966</v>
      </c>
    </row>
    <row r="43" spans="1:10" x14ac:dyDescent="0.25">
      <c r="A43" t="s">
        <v>760</v>
      </c>
      <c r="B43" t="s">
        <v>235</v>
      </c>
      <c r="C43">
        <v>6</v>
      </c>
      <c r="D43">
        <v>9</v>
      </c>
      <c r="E43">
        <v>13</v>
      </c>
      <c r="F43">
        <v>6</v>
      </c>
      <c r="G43">
        <v>7</v>
      </c>
      <c r="I43">
        <v>49</v>
      </c>
      <c r="J43">
        <v>90</v>
      </c>
    </row>
    <row r="44" spans="1:10" x14ac:dyDescent="0.25">
      <c r="A44" t="s">
        <v>1061</v>
      </c>
      <c r="B44" t="s">
        <v>233</v>
      </c>
      <c r="D44">
        <v>14</v>
      </c>
      <c r="E44">
        <v>48</v>
      </c>
      <c r="F44">
        <v>111</v>
      </c>
      <c r="G44">
        <v>92</v>
      </c>
      <c r="H44">
        <v>43</v>
      </c>
      <c r="I44">
        <v>20</v>
      </c>
      <c r="J44">
        <v>328</v>
      </c>
    </row>
    <row r="45" spans="1:10" x14ac:dyDescent="0.25">
      <c r="A45" t="s">
        <v>1108</v>
      </c>
      <c r="B45" t="s">
        <v>234</v>
      </c>
      <c r="D45">
        <v>5</v>
      </c>
      <c r="E45">
        <v>8</v>
      </c>
      <c r="F45">
        <v>20</v>
      </c>
      <c r="G45">
        <v>79</v>
      </c>
      <c r="H45">
        <v>28</v>
      </c>
      <c r="I45">
        <v>1</v>
      </c>
      <c r="J45">
        <v>141</v>
      </c>
    </row>
  </sheetData>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tint="0.39997558519241921"/>
  </sheetPr>
  <dimension ref="A1:J18"/>
  <sheetViews>
    <sheetView showGridLines="0" workbookViewId="0">
      <pane ySplit="2" topLeftCell="A3" activePane="bottomLeft" state="frozen"/>
      <selection pane="bottomLeft" sqref="A1:H1"/>
    </sheetView>
  </sheetViews>
  <sheetFormatPr defaultRowHeight="15" x14ac:dyDescent="0.25"/>
  <cols>
    <col min="1" max="1" width="25" bestFit="1" customWidth="1"/>
    <col min="2" max="8" width="12" customWidth="1"/>
    <col min="9" max="9" width="16" customWidth="1"/>
    <col min="10" max="10" width="11.7109375" bestFit="1" customWidth="1"/>
  </cols>
  <sheetData>
    <row r="1" spans="1:10" ht="15.75" x14ac:dyDescent="0.25">
      <c r="A1" s="993" t="s">
        <v>450</v>
      </c>
      <c r="B1" s="993"/>
      <c r="C1" s="993"/>
      <c r="D1" s="993"/>
      <c r="E1" s="993"/>
      <c r="F1" s="993"/>
      <c r="G1" s="993"/>
      <c r="H1" s="993"/>
      <c r="I1" s="29"/>
      <c r="J1" s="30"/>
    </row>
    <row r="2" spans="1:10" ht="18" x14ac:dyDescent="0.25">
      <c r="A2" s="507" t="s">
        <v>511</v>
      </c>
      <c r="B2" s="1"/>
      <c r="C2" s="1"/>
      <c r="D2" s="1"/>
      <c r="E2" s="1"/>
      <c r="F2" s="1"/>
      <c r="G2" s="1"/>
      <c r="H2" s="1"/>
      <c r="I2" s="29"/>
      <c r="J2" s="30"/>
    </row>
    <row r="3" spans="1:10" ht="18" x14ac:dyDescent="0.25">
      <c r="A3" s="1"/>
      <c r="B3" s="1"/>
      <c r="C3" s="1"/>
      <c r="D3" s="1"/>
      <c r="E3" s="1"/>
      <c r="F3" s="1"/>
      <c r="G3" s="1"/>
      <c r="H3" s="1"/>
      <c r="I3" s="29"/>
      <c r="J3" s="30"/>
    </row>
    <row r="4" spans="1:10" ht="30" customHeight="1" x14ac:dyDescent="0.25">
      <c r="A4" s="1004" t="s">
        <v>506</v>
      </c>
      <c r="B4" s="1004"/>
      <c r="C4" s="1004"/>
      <c r="D4" s="1004"/>
      <c r="E4" s="1004"/>
      <c r="F4" s="1004"/>
      <c r="G4" s="1004"/>
      <c r="H4" s="1004"/>
      <c r="I4" s="1004"/>
      <c r="J4" s="1004"/>
    </row>
    <row r="5" spans="1:10" ht="15" customHeight="1" x14ac:dyDescent="0.25">
      <c r="A5" t="s">
        <v>328</v>
      </c>
      <c r="B5" t="s">
        <v>651</v>
      </c>
      <c r="C5" s="232"/>
      <c r="D5" s="232"/>
      <c r="E5" s="232"/>
      <c r="F5" s="232"/>
      <c r="G5" s="232"/>
      <c r="H5" s="232"/>
      <c r="I5" s="232"/>
      <c r="J5" s="232"/>
    </row>
    <row r="6" spans="1:10" ht="15" customHeight="1" x14ac:dyDescent="0.25">
      <c r="A6" t="s">
        <v>329</v>
      </c>
      <c r="B6" t="s">
        <v>331</v>
      </c>
      <c r="C6" s="232"/>
      <c r="D6" s="232"/>
      <c r="E6" s="232"/>
      <c r="F6" s="232"/>
      <c r="G6" s="232"/>
      <c r="H6" s="232"/>
      <c r="I6" s="232"/>
      <c r="J6" s="232"/>
    </row>
    <row r="7" spans="1:10" ht="15" customHeight="1" x14ac:dyDescent="0.25">
      <c r="A7" t="s">
        <v>330</v>
      </c>
      <c r="B7" t="s">
        <v>332</v>
      </c>
      <c r="C7" s="232"/>
      <c r="D7" s="232"/>
      <c r="E7" s="232"/>
      <c r="F7" s="232"/>
      <c r="H7" s="232"/>
      <c r="I7" s="232"/>
      <c r="J7" s="232"/>
    </row>
    <row r="8" spans="1:10" ht="19.5" customHeight="1" x14ac:dyDescent="0.25">
      <c r="A8" s="232"/>
      <c r="B8" s="26"/>
      <c r="C8" s="26"/>
      <c r="D8" s="26"/>
      <c r="E8" s="26"/>
      <c r="F8" s="26"/>
      <c r="G8" s="26"/>
      <c r="H8" s="3"/>
      <c r="I8" s="235" t="s">
        <v>6</v>
      </c>
      <c r="J8" s="235" t="s">
        <v>7</v>
      </c>
    </row>
    <row r="9" spans="1:10" ht="39" x14ac:dyDescent="0.25">
      <c r="A9" s="12" t="s">
        <v>205</v>
      </c>
      <c r="B9" s="3" t="s">
        <v>837</v>
      </c>
      <c r="C9" s="3" t="s">
        <v>838</v>
      </c>
      <c r="D9" s="3" t="s">
        <v>839</v>
      </c>
      <c r="E9" s="3" t="s">
        <v>840</v>
      </c>
      <c r="F9" s="3" t="s">
        <v>841</v>
      </c>
      <c r="G9" s="3" t="s">
        <v>842</v>
      </c>
      <c r="H9" s="3" t="s">
        <v>23</v>
      </c>
      <c r="I9" s="31" t="s">
        <v>24</v>
      </c>
      <c r="J9" s="236" t="s">
        <v>25</v>
      </c>
    </row>
    <row r="10" spans="1:10" ht="18.75" customHeight="1" x14ac:dyDescent="0.25">
      <c r="A10" s="32" t="s">
        <v>13</v>
      </c>
      <c r="B10" s="51">
        <f>GETPIVOTDATA("Sum of Brigade Manager",roleareapivot!$A$3,"ReportingLevel","1:LA")</f>
        <v>0</v>
      </c>
      <c r="C10" s="51">
        <f>GETPIVOTDATA("Sum of Area Manager",roleareapivot!$A$3,"ReportingLevel","1:LA")</f>
        <v>0</v>
      </c>
      <c r="D10" s="51">
        <f>GETPIVOTDATA("Sum of Group Manager",roleareapivot!$A$3,"ReportingLevel","1:LA")</f>
        <v>0</v>
      </c>
      <c r="E10" s="51">
        <f>GETPIVOTDATA("Sum of Station Manager",roleareapivot!$A$3,"ReportingLevel","1:LA")</f>
        <v>0</v>
      </c>
      <c r="F10" s="51">
        <f>GETPIVOTDATA("Sum of Watch Manager",roleareapivot!$A$3,"ReportingLevel","1:LA")</f>
        <v>408</v>
      </c>
      <c r="G10" s="51">
        <f>GETPIVOTDATA("Sum of Crew Manager",roleareapivot!$A$3,"ReportingLevel","1:LA")</f>
        <v>569</v>
      </c>
      <c r="H10" s="51">
        <f>GETPIVOTDATA("Sum of Firefighter",roleareapivot!$A$3,"ReportingLevel","1:LA")</f>
        <v>1893</v>
      </c>
      <c r="I10" s="284">
        <f>SUM(B10:H10)</f>
        <v>2870</v>
      </c>
      <c r="J10" s="292">
        <f>I10/$I$14</f>
        <v>0.8386908240794857</v>
      </c>
    </row>
    <row r="11" spans="1:10" x14ac:dyDescent="0.25">
      <c r="A11" s="12" t="s">
        <v>14</v>
      </c>
      <c r="B11" s="51">
        <f>GETPIVOTDATA("Sum of Brigade Manager",roleareapivot!$A$3,"ReportingLevel","2:LSO")</f>
        <v>0</v>
      </c>
      <c r="C11" s="51">
        <f>GETPIVOTDATA("Sum of Area Manager",roleareapivot!$A$3,"ReportingLevel","2:LSO")</f>
        <v>15</v>
      </c>
      <c r="D11" s="51">
        <f>GETPIVOTDATA("Sum of Group Manager",roleareapivot!$A$3,"ReportingLevel","2:LSO")</f>
        <v>47</v>
      </c>
      <c r="E11" s="51">
        <f>GETPIVOTDATA("Sum of Station Manager",roleareapivot!$A$3,"ReportingLevel","2:LSO")</f>
        <v>112</v>
      </c>
      <c r="F11" s="51">
        <f>GETPIVOTDATA("Sum of Watch Manager",roleareapivot!$A$3,"ReportingLevel","2:LSO")</f>
        <v>93</v>
      </c>
      <c r="G11" s="51">
        <f>GETPIVOTDATA("Sum of Crew Manager",roleareapivot!$A$3,"ReportingLevel","2:LSO")</f>
        <v>42</v>
      </c>
      <c r="H11" s="51">
        <f>GETPIVOTDATA("Sum of Firefighter",roleareapivot!$A$3,"ReportingLevel","2:LSO")</f>
        <v>18</v>
      </c>
      <c r="I11" s="284">
        <f>SUM(B11:H11)</f>
        <v>327</v>
      </c>
      <c r="J11" s="293">
        <f>I11/$I$14</f>
        <v>9.5558153126826417E-2</v>
      </c>
    </row>
    <row r="12" spans="1:10" x14ac:dyDescent="0.25">
      <c r="A12" s="12" t="s">
        <v>15</v>
      </c>
      <c r="B12" s="51">
        <f>GETPIVOTDATA("Sum of Brigade Manager",roleareapivot!$A$3,"ReportingLevel","3:SDA")</f>
        <v>0</v>
      </c>
      <c r="C12" s="51">
        <f>GETPIVOTDATA("Sum of Area Manager",roleareapivot!$A$3,"ReportingLevel","3:SDA")</f>
        <v>5</v>
      </c>
      <c r="D12" s="51">
        <f>GETPIVOTDATA("Sum of Group Manager",roleareapivot!$A$3,"ReportingLevel","3:SDA")</f>
        <v>8</v>
      </c>
      <c r="E12" s="51">
        <f>GETPIVOTDATA("Sum of Station Manager",roleareapivot!$A$3,"ReportingLevel","3:SDA")</f>
        <v>20</v>
      </c>
      <c r="F12" s="51">
        <f>GETPIVOTDATA("Sum of Watch Manager",roleareapivot!$A$3,"ReportingLevel","3:SDA")</f>
        <v>79</v>
      </c>
      <c r="G12" s="51">
        <f>GETPIVOTDATA("Sum of Crew Manager",roleareapivot!$A$3,"ReportingLevel","3:SDA")</f>
        <v>28</v>
      </c>
      <c r="H12" s="51">
        <f>GETPIVOTDATA("Sum of Firefighter",roleareapivot!$A$3,"ReportingLevel","3:SDA")</f>
        <v>1</v>
      </c>
      <c r="I12" s="284">
        <f>SUM(B12:H12)</f>
        <v>141</v>
      </c>
      <c r="J12" s="293">
        <f>I12/$I$14</f>
        <v>4.1203974284044417E-2</v>
      </c>
    </row>
    <row r="13" spans="1:10" x14ac:dyDescent="0.25">
      <c r="A13" s="12" t="s">
        <v>16</v>
      </c>
      <c r="B13" s="51">
        <f>GETPIVOTDATA("Sum of Brigade Manager",roleareapivot!$A$3,"ReportingLevel","4:National")</f>
        <v>5</v>
      </c>
      <c r="C13" s="51">
        <f>GETPIVOTDATA("Sum of Area Manager",roleareapivot!$A$3,"ReportingLevel","4:National")</f>
        <v>11</v>
      </c>
      <c r="D13" s="51">
        <f>GETPIVOTDATA("Sum of Group Manager",roleareapivot!$A$3,"ReportingLevel","4:National")</f>
        <v>16</v>
      </c>
      <c r="E13" s="51">
        <f>GETPIVOTDATA("Sum of Station Manager",roleareapivot!$A$3,"ReportingLevel","4:National")</f>
        <v>24</v>
      </c>
      <c r="F13" s="51">
        <f>GETPIVOTDATA("Sum of Watch Manager",roleareapivot!$A$3,"ReportingLevel","4:National")</f>
        <v>27</v>
      </c>
      <c r="G13" s="51">
        <f>GETPIVOTDATA("Sum of Crew Manager",roleareapivot!$A$3,"ReportingLevel","4:National")</f>
        <v>1</v>
      </c>
      <c r="H13" s="51">
        <f>GETPIVOTDATA("Sum of Firefighter",roleareapivot!$A$3,"ReportingLevel","4:National")</f>
        <v>0</v>
      </c>
      <c r="I13" s="284">
        <f>SUM(B13:H13)</f>
        <v>84</v>
      </c>
      <c r="J13" s="293">
        <f>I13/$I$14</f>
        <v>2.4547048509643482E-2</v>
      </c>
    </row>
    <row r="14" spans="1:10" ht="23.25" customHeight="1" thickBot="1" x14ac:dyDescent="0.3">
      <c r="A14" s="33" t="s">
        <v>731</v>
      </c>
      <c r="B14" s="288">
        <f t="shared" ref="B14:H14" si="0">SUM(B10:B13)</f>
        <v>5</v>
      </c>
      <c r="C14" s="288">
        <f t="shared" si="0"/>
        <v>31</v>
      </c>
      <c r="D14" s="288">
        <f t="shared" si="0"/>
        <v>71</v>
      </c>
      <c r="E14" s="288">
        <f t="shared" si="0"/>
        <v>156</v>
      </c>
      <c r="F14" s="288">
        <f>SUM(F10:F13)</f>
        <v>607</v>
      </c>
      <c r="G14" s="288">
        <f t="shared" si="0"/>
        <v>640</v>
      </c>
      <c r="H14" s="288">
        <f t="shared" si="0"/>
        <v>1912</v>
      </c>
      <c r="I14" s="288">
        <f>SUM(I10:I13)</f>
        <v>3422</v>
      </c>
      <c r="J14" s="296">
        <f>I14/I14</f>
        <v>1</v>
      </c>
    </row>
    <row r="16" spans="1:10" x14ac:dyDescent="0.25">
      <c r="A16" s="341" t="s">
        <v>8</v>
      </c>
      <c r="B16" s="343"/>
      <c r="C16" s="343"/>
      <c r="D16" s="343"/>
      <c r="E16" s="343"/>
      <c r="F16" s="343"/>
      <c r="G16" s="343"/>
      <c r="H16" s="343"/>
      <c r="I16" s="343"/>
    </row>
    <row r="17" spans="1:9" ht="46.5" customHeight="1" x14ac:dyDescent="0.25">
      <c r="A17" s="1003" t="s">
        <v>844</v>
      </c>
      <c r="B17" s="1003"/>
      <c r="C17" s="1003"/>
      <c r="D17" s="1003"/>
      <c r="E17" s="1003"/>
      <c r="F17" s="1003"/>
      <c r="G17" s="1003"/>
      <c r="H17" s="1003"/>
      <c r="I17" s="1003"/>
    </row>
    <row r="18" spans="1:9" ht="31.5" customHeight="1" x14ac:dyDescent="0.25">
      <c r="A18" s="1010" t="s">
        <v>727</v>
      </c>
      <c r="B18" s="1010"/>
      <c r="C18" s="1010"/>
      <c r="D18" s="1010"/>
      <c r="E18" s="1010"/>
      <c r="F18" s="1010"/>
      <c r="G18" s="1010"/>
      <c r="H18" s="1010"/>
      <c r="I18" s="1010"/>
    </row>
  </sheetData>
  <sheetProtection algorithmName="SHA-512" hashValue="ifds6M/zh+P+CRbjAjLwuUu+PGjqfPlavJRp0ROXN+zl9E3XxDXdD9b0oEiboVog0YVPlID6+FN4tttpeXDdew==" saltValue="UmwUFhY+JEjfm1KHnfURcg==" spinCount="100000" sheet="1" scenarios="1" formatCells="0" sort="0" autoFilter="0" pivotTables="0"/>
  <mergeCells count="4">
    <mergeCell ref="A4:J4"/>
    <mergeCell ref="A1:H1"/>
    <mergeCell ref="A18:I18"/>
    <mergeCell ref="A17:I17"/>
  </mergeCells>
  <hyperlinks>
    <hyperlink ref="A2" location="'Table of Contents'!A1" display="Back to Table of Contents" xr:uid="{00000000-0004-0000-3100-000000000000}"/>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theme="4" tint="0.59999389629810485"/>
    <pageSetUpPr fitToPage="1"/>
  </sheetPr>
  <dimension ref="A1:I48"/>
  <sheetViews>
    <sheetView showGridLines="0" zoomScaleNormal="100" workbookViewId="0">
      <pane ySplit="2" topLeftCell="A3" activePane="bottomLeft" state="frozen"/>
      <selection pane="bottomLeft" sqref="A1:C1"/>
    </sheetView>
  </sheetViews>
  <sheetFormatPr defaultRowHeight="15" x14ac:dyDescent="0.25"/>
  <cols>
    <col min="1" max="1" width="16.85546875" customWidth="1"/>
    <col min="2" max="2" width="22" customWidth="1"/>
    <col min="3" max="7" width="13.85546875" customWidth="1"/>
    <col min="8" max="9" width="11.140625" customWidth="1"/>
    <col min="10" max="10" width="4.140625" customWidth="1"/>
    <col min="11" max="11" width="13.42578125" customWidth="1"/>
  </cols>
  <sheetData>
    <row r="1" spans="1:8" ht="15.75" x14ac:dyDescent="0.25">
      <c r="A1" s="993" t="s">
        <v>523</v>
      </c>
      <c r="B1" s="993"/>
      <c r="C1" s="993"/>
    </row>
    <row r="2" spans="1:8" ht="15.75" x14ac:dyDescent="0.25">
      <c r="A2" s="507" t="s">
        <v>511</v>
      </c>
      <c r="B2" s="449"/>
      <c r="C2" s="449"/>
    </row>
    <row r="3" spans="1:8" ht="15.75" x14ac:dyDescent="0.25">
      <c r="D3" s="187"/>
      <c r="E3" s="187"/>
      <c r="F3" s="187"/>
    </row>
    <row r="4" spans="1:8" ht="15.75" x14ac:dyDescent="0.25">
      <c r="A4" s="994" t="s">
        <v>525</v>
      </c>
      <c r="B4" s="994"/>
      <c r="C4" s="994"/>
      <c r="D4" s="994"/>
      <c r="E4" s="994"/>
      <c r="F4" s="994"/>
    </row>
    <row r="5" spans="1:8" ht="15.75" x14ac:dyDescent="0.25">
      <c r="A5" t="s">
        <v>328</v>
      </c>
      <c r="B5" t="s">
        <v>635</v>
      </c>
      <c r="C5" s="234"/>
      <c r="D5" s="234"/>
      <c r="E5" s="234"/>
      <c r="F5" s="234"/>
    </row>
    <row r="6" spans="1:8" ht="15.75" x14ac:dyDescent="0.25">
      <c r="A6" t="s">
        <v>329</v>
      </c>
      <c r="B6" t="s">
        <v>331</v>
      </c>
      <c r="C6" s="234"/>
      <c r="D6" s="234"/>
      <c r="E6" s="234"/>
      <c r="F6" s="234"/>
    </row>
    <row r="7" spans="1:8" ht="15.75" x14ac:dyDescent="0.25">
      <c r="A7" t="s">
        <v>330</v>
      </c>
      <c r="B7" t="s">
        <v>332</v>
      </c>
      <c r="C7" s="234"/>
      <c r="D7" s="234"/>
      <c r="E7" s="234"/>
      <c r="F7" s="234"/>
    </row>
    <row r="8" spans="1:8" ht="15.75" x14ac:dyDescent="0.25">
      <c r="C8" s="234"/>
      <c r="D8" s="234"/>
      <c r="E8" s="234"/>
      <c r="F8" s="234"/>
    </row>
    <row r="9" spans="1:8" x14ac:dyDescent="0.25">
      <c r="A9" s="317" t="s">
        <v>1</v>
      </c>
      <c r="B9" s="317"/>
    </row>
    <row r="10" spans="1:8" x14ac:dyDescent="0.25">
      <c r="A10" s="317" t="str">
        <f>CrewingModelAreaPivot!B1</f>
        <v>2023-24</v>
      </c>
      <c r="B10" s="192"/>
      <c r="C10" s="193"/>
      <c r="D10" s="193"/>
      <c r="E10" s="193"/>
      <c r="F10" s="193"/>
      <c r="G10" s="193"/>
      <c r="H10" s="383" t="s">
        <v>6</v>
      </c>
    </row>
    <row r="11" spans="1:8" s="468" customFormat="1" ht="27.75" customHeight="1" x14ac:dyDescent="0.25">
      <c r="A11" s="515" t="s">
        <v>458</v>
      </c>
      <c r="B11" s="515" t="s">
        <v>30</v>
      </c>
      <c r="C11" s="203" t="s">
        <v>115</v>
      </c>
      <c r="D11" s="203" t="s">
        <v>349</v>
      </c>
      <c r="E11" s="203" t="s">
        <v>350</v>
      </c>
      <c r="F11" s="203" t="s">
        <v>183</v>
      </c>
      <c r="G11" s="203" t="s">
        <v>29</v>
      </c>
      <c r="H11" s="516" t="s">
        <v>26</v>
      </c>
    </row>
    <row r="12" spans="1:8" ht="19.5" customHeight="1" x14ac:dyDescent="0.25">
      <c r="A12" s="398" t="s">
        <v>285</v>
      </c>
      <c r="B12" s="45" t="s">
        <v>31</v>
      </c>
      <c r="C12" s="51">
        <f>CrewingModelAreaPivot!B4</f>
        <v>3</v>
      </c>
      <c r="D12" s="51">
        <f>CrewingModelAreaPivot!C4</f>
        <v>0</v>
      </c>
      <c r="E12" s="51">
        <f>CrewingModelAreaPivot!D4</f>
        <v>0</v>
      </c>
      <c r="F12" s="51">
        <f>CrewingModelAreaPivot!E4</f>
        <v>1</v>
      </c>
      <c r="G12" s="51">
        <f>CrewingModelAreaPivot!F4</f>
        <v>0</v>
      </c>
      <c r="H12" s="194">
        <f>SUM(C12:G12)</f>
        <v>4</v>
      </c>
    </row>
    <row r="13" spans="1:8" x14ac:dyDescent="0.25">
      <c r="A13" s="89" t="s">
        <v>286</v>
      </c>
      <c r="B13" s="48" t="s">
        <v>32</v>
      </c>
      <c r="C13" s="51">
        <f>CrewingModelAreaPivot!B5</f>
        <v>0</v>
      </c>
      <c r="D13" s="51">
        <f>CrewingModelAreaPivot!C5</f>
        <v>1</v>
      </c>
      <c r="E13" s="51">
        <f>CrewingModelAreaPivot!D5</f>
        <v>0</v>
      </c>
      <c r="F13" s="51">
        <f>CrewingModelAreaPivot!E5</f>
        <v>23</v>
      </c>
      <c r="G13" s="51">
        <f>CrewingModelAreaPivot!F5</f>
        <v>0</v>
      </c>
      <c r="H13" s="69">
        <f t="shared" ref="H13:H43" si="0">SUM(C13:G13)</f>
        <v>24</v>
      </c>
    </row>
    <row r="14" spans="1:8" x14ac:dyDescent="0.25">
      <c r="A14" s="89" t="s">
        <v>292</v>
      </c>
      <c r="B14" s="48" t="s">
        <v>33</v>
      </c>
      <c r="C14" s="51">
        <f>CrewingModelAreaPivot!B6</f>
        <v>0</v>
      </c>
      <c r="D14" s="51">
        <f>CrewingModelAreaPivot!C6</f>
        <v>1</v>
      </c>
      <c r="E14" s="51">
        <f>CrewingModelAreaPivot!D6</f>
        <v>0</v>
      </c>
      <c r="F14" s="51">
        <f>CrewingModelAreaPivot!E6</f>
        <v>5</v>
      </c>
      <c r="G14" s="51">
        <f>CrewingModelAreaPivot!F6</f>
        <v>0</v>
      </c>
      <c r="H14" s="69">
        <f t="shared" si="0"/>
        <v>6</v>
      </c>
    </row>
    <row r="15" spans="1:8" x14ac:dyDescent="0.25">
      <c r="A15" s="89" t="s">
        <v>287</v>
      </c>
      <c r="B15" s="48" t="s">
        <v>34</v>
      </c>
      <c r="C15" s="51">
        <f>CrewingModelAreaPivot!B7</f>
        <v>0</v>
      </c>
      <c r="D15" s="51">
        <f>CrewingModelAreaPivot!C7</f>
        <v>2</v>
      </c>
      <c r="E15" s="51">
        <f>CrewingModelAreaPivot!D7</f>
        <v>0</v>
      </c>
      <c r="F15" s="51">
        <f>CrewingModelAreaPivot!E7</f>
        <v>12</v>
      </c>
      <c r="G15" s="51">
        <f>CrewingModelAreaPivot!F7</f>
        <v>25</v>
      </c>
      <c r="H15" s="69">
        <f t="shared" si="0"/>
        <v>39</v>
      </c>
    </row>
    <row r="16" spans="1:8" x14ac:dyDescent="0.25">
      <c r="A16" s="89" t="s">
        <v>288</v>
      </c>
      <c r="B16" s="48" t="s">
        <v>243</v>
      </c>
      <c r="C16" s="51">
        <f>CrewingModelAreaPivot!B8</f>
        <v>7</v>
      </c>
      <c r="D16" s="51">
        <f>CrewingModelAreaPivot!C8</f>
        <v>0</v>
      </c>
      <c r="E16" s="51">
        <f>CrewingModelAreaPivot!D8</f>
        <v>0</v>
      </c>
      <c r="F16" s="51">
        <f>CrewingModelAreaPivot!E8</f>
        <v>1</v>
      </c>
      <c r="G16" s="51">
        <f>CrewingModelAreaPivot!F8</f>
        <v>0</v>
      </c>
      <c r="H16" s="69">
        <f t="shared" si="0"/>
        <v>8</v>
      </c>
    </row>
    <row r="17" spans="1:8" x14ac:dyDescent="0.25">
      <c r="A17" s="89" t="s">
        <v>266</v>
      </c>
      <c r="B17" s="48" t="s">
        <v>35</v>
      </c>
      <c r="C17" s="51">
        <f>CrewingModelAreaPivot!B9</f>
        <v>0</v>
      </c>
      <c r="D17" s="51">
        <f>CrewingModelAreaPivot!C9</f>
        <v>1</v>
      </c>
      <c r="E17" s="51">
        <f>CrewingModelAreaPivot!D9</f>
        <v>0</v>
      </c>
      <c r="F17" s="51">
        <f>CrewingModelAreaPivot!E9</f>
        <v>1</v>
      </c>
      <c r="G17" s="51">
        <f>CrewingModelAreaPivot!F9</f>
        <v>0</v>
      </c>
      <c r="H17" s="69">
        <f t="shared" si="0"/>
        <v>2</v>
      </c>
    </row>
    <row r="18" spans="1:8" x14ac:dyDescent="0.25">
      <c r="A18" s="89" t="s">
        <v>267</v>
      </c>
      <c r="B18" s="48" t="s">
        <v>36</v>
      </c>
      <c r="C18" s="51">
        <f>CrewingModelAreaPivot!B10</f>
        <v>0</v>
      </c>
      <c r="D18" s="51">
        <f>CrewingModelAreaPivot!C10</f>
        <v>1</v>
      </c>
      <c r="E18" s="51">
        <f>CrewingModelAreaPivot!D10</f>
        <v>0</v>
      </c>
      <c r="F18" s="51">
        <f>CrewingModelAreaPivot!E10</f>
        <v>15</v>
      </c>
      <c r="G18" s="51">
        <f>CrewingModelAreaPivot!F10</f>
        <v>1</v>
      </c>
      <c r="H18" s="69">
        <f t="shared" si="0"/>
        <v>17</v>
      </c>
    </row>
    <row r="19" spans="1:8" x14ac:dyDescent="0.25">
      <c r="A19" s="89" t="s">
        <v>293</v>
      </c>
      <c r="B19" s="48" t="s">
        <v>37</v>
      </c>
      <c r="C19" s="51">
        <f>CrewingModelAreaPivot!B11</f>
        <v>3</v>
      </c>
      <c r="D19" s="51">
        <f>CrewingModelAreaPivot!C11</f>
        <v>1</v>
      </c>
      <c r="E19" s="51">
        <f>CrewingModelAreaPivot!D11</f>
        <v>0</v>
      </c>
      <c r="F19" s="51">
        <f>CrewingModelAreaPivot!E11</f>
        <v>0</v>
      </c>
      <c r="G19" s="51">
        <f>CrewingModelAreaPivot!F11</f>
        <v>0</v>
      </c>
      <c r="H19" s="69">
        <f t="shared" si="0"/>
        <v>4</v>
      </c>
    </row>
    <row r="20" spans="1:8" x14ac:dyDescent="0.25">
      <c r="A20" s="89" t="s">
        <v>268</v>
      </c>
      <c r="B20" s="48" t="s">
        <v>38</v>
      </c>
      <c r="C20" s="51">
        <f>CrewingModelAreaPivot!B12</f>
        <v>1</v>
      </c>
      <c r="D20" s="51">
        <f>CrewingModelAreaPivot!C12</f>
        <v>0</v>
      </c>
      <c r="E20" s="51">
        <f>CrewingModelAreaPivot!D12</f>
        <v>0</v>
      </c>
      <c r="F20" s="51">
        <f>CrewingModelAreaPivot!E12</f>
        <v>7</v>
      </c>
      <c r="G20" s="51">
        <f>CrewingModelAreaPivot!F12</f>
        <v>0</v>
      </c>
      <c r="H20" s="69">
        <f t="shared" si="0"/>
        <v>8</v>
      </c>
    </row>
    <row r="21" spans="1:8" x14ac:dyDescent="0.25">
      <c r="A21" s="89" t="s">
        <v>295</v>
      </c>
      <c r="B21" s="48" t="s">
        <v>39</v>
      </c>
      <c r="C21" s="51">
        <f>CrewingModelAreaPivot!B13</f>
        <v>3</v>
      </c>
      <c r="D21" s="51">
        <f>CrewingModelAreaPivot!C13</f>
        <v>0</v>
      </c>
      <c r="E21" s="51">
        <f>CrewingModelAreaPivot!D13</f>
        <v>0</v>
      </c>
      <c r="F21" s="51">
        <f>CrewingModelAreaPivot!E13</f>
        <v>0</v>
      </c>
      <c r="G21" s="51">
        <f>CrewingModelAreaPivot!F13</f>
        <v>0</v>
      </c>
      <c r="H21" s="69">
        <f t="shared" si="0"/>
        <v>3</v>
      </c>
    </row>
    <row r="22" spans="1:8" x14ac:dyDescent="0.25">
      <c r="A22" s="89" t="s">
        <v>269</v>
      </c>
      <c r="B22" s="48" t="s">
        <v>40</v>
      </c>
      <c r="C22" s="51">
        <f>CrewingModelAreaPivot!B14</f>
        <v>1</v>
      </c>
      <c r="D22" s="51">
        <f>CrewingModelAreaPivot!C14</f>
        <v>0</v>
      </c>
      <c r="E22" s="51">
        <f>CrewingModelAreaPivot!D14</f>
        <v>0</v>
      </c>
      <c r="F22" s="51">
        <f>CrewingModelAreaPivot!E14</f>
        <v>5</v>
      </c>
      <c r="G22" s="51">
        <f>CrewingModelAreaPivot!F14</f>
        <v>0</v>
      </c>
      <c r="H22" s="69">
        <f t="shared" si="0"/>
        <v>6</v>
      </c>
    </row>
    <row r="23" spans="1:8" x14ac:dyDescent="0.25">
      <c r="A23" s="89" t="s">
        <v>270</v>
      </c>
      <c r="B23" s="48" t="s">
        <v>41</v>
      </c>
      <c r="C23" s="51">
        <f>CrewingModelAreaPivot!B15</f>
        <v>2</v>
      </c>
      <c r="D23" s="51">
        <f>CrewingModelAreaPivot!C15</f>
        <v>0</v>
      </c>
      <c r="E23" s="51">
        <f>CrewingModelAreaPivot!D15</f>
        <v>0</v>
      </c>
      <c r="F23" s="51">
        <f>CrewingModelAreaPivot!E15</f>
        <v>0</v>
      </c>
      <c r="G23" s="51">
        <f>CrewingModelAreaPivot!F15</f>
        <v>0</v>
      </c>
      <c r="H23" s="69">
        <f t="shared" si="0"/>
        <v>2</v>
      </c>
    </row>
    <row r="24" spans="1:8" x14ac:dyDescent="0.25">
      <c r="A24" s="89" t="s">
        <v>272</v>
      </c>
      <c r="B24" s="48" t="s">
        <v>42</v>
      </c>
      <c r="C24" s="51">
        <f>CrewingModelAreaPivot!B16</f>
        <v>0</v>
      </c>
      <c r="D24" s="51">
        <f>CrewingModelAreaPivot!C16</f>
        <v>3</v>
      </c>
      <c r="E24" s="51">
        <f>CrewingModelAreaPivot!D16</f>
        <v>0</v>
      </c>
      <c r="F24" s="51">
        <f>CrewingModelAreaPivot!E16</f>
        <v>2</v>
      </c>
      <c r="G24" s="51">
        <f>CrewingModelAreaPivot!F16</f>
        <v>0</v>
      </c>
      <c r="H24" s="69">
        <f t="shared" si="0"/>
        <v>5</v>
      </c>
    </row>
    <row r="25" spans="1:8" x14ac:dyDescent="0.25">
      <c r="A25" s="89" t="s">
        <v>297</v>
      </c>
      <c r="B25" s="48" t="s">
        <v>43</v>
      </c>
      <c r="C25" s="51">
        <f>CrewingModelAreaPivot!B17</f>
        <v>5</v>
      </c>
      <c r="D25" s="51">
        <f>CrewingModelAreaPivot!C17</f>
        <v>0</v>
      </c>
      <c r="E25" s="51">
        <f>CrewingModelAreaPivot!D17</f>
        <v>0</v>
      </c>
      <c r="F25" s="51">
        <f>CrewingModelAreaPivot!E17</f>
        <v>8</v>
      </c>
      <c r="G25" s="51">
        <f>CrewingModelAreaPivot!F17</f>
        <v>0</v>
      </c>
      <c r="H25" s="69">
        <f t="shared" si="0"/>
        <v>13</v>
      </c>
    </row>
    <row r="26" spans="1:8" x14ac:dyDescent="0.25">
      <c r="A26" s="89" t="str">
        <f>IF(A10 = "2019-20","S12000049","S12000046")</f>
        <v>S12000046</v>
      </c>
      <c r="B26" s="48" t="s">
        <v>117</v>
      </c>
      <c r="C26" s="51">
        <f>CrewingModelAreaPivot!B18</f>
        <v>11</v>
      </c>
      <c r="D26" s="51">
        <f>CrewingModelAreaPivot!C18</f>
        <v>0</v>
      </c>
      <c r="E26" s="51">
        <f>CrewingModelAreaPivot!D18</f>
        <v>0</v>
      </c>
      <c r="F26" s="51">
        <f>CrewingModelAreaPivot!E18</f>
        <v>0</v>
      </c>
      <c r="G26" s="51">
        <f>CrewingModelAreaPivot!F18</f>
        <v>0</v>
      </c>
      <c r="H26" s="69">
        <f t="shared" si="0"/>
        <v>11</v>
      </c>
    </row>
    <row r="27" spans="1:8" x14ac:dyDescent="0.25">
      <c r="A27" s="89" t="s">
        <v>273</v>
      </c>
      <c r="B27" s="48" t="s">
        <v>44</v>
      </c>
      <c r="C27" s="51">
        <f>CrewingModelAreaPivot!B19</f>
        <v>0</v>
      </c>
      <c r="D27" s="51">
        <f>CrewingModelAreaPivot!C19</f>
        <v>1</v>
      </c>
      <c r="E27" s="51">
        <f>CrewingModelAreaPivot!D19</f>
        <v>0</v>
      </c>
      <c r="F27" s="51">
        <f>CrewingModelAreaPivot!E19</f>
        <v>51</v>
      </c>
      <c r="G27" s="51">
        <f>CrewingModelAreaPivot!F19</f>
        <v>9</v>
      </c>
      <c r="H27" s="69">
        <f t="shared" si="0"/>
        <v>61</v>
      </c>
    </row>
    <row r="28" spans="1:8" x14ac:dyDescent="0.25">
      <c r="A28" s="89" t="s">
        <v>274</v>
      </c>
      <c r="B28" s="48" t="s">
        <v>45</v>
      </c>
      <c r="C28" s="51">
        <f>CrewingModelAreaPivot!B20</f>
        <v>0</v>
      </c>
      <c r="D28" s="51">
        <f>CrewingModelAreaPivot!C20</f>
        <v>2</v>
      </c>
      <c r="E28" s="51">
        <f>CrewingModelAreaPivot!D20</f>
        <v>0</v>
      </c>
      <c r="F28" s="51">
        <f>CrewingModelAreaPivot!E20</f>
        <v>1</v>
      </c>
      <c r="G28" s="51">
        <f>CrewingModelAreaPivot!F20</f>
        <v>0</v>
      </c>
      <c r="H28" s="69">
        <f t="shared" si="0"/>
        <v>3</v>
      </c>
    </row>
    <row r="29" spans="1:8" x14ac:dyDescent="0.25">
      <c r="A29" s="89" t="s">
        <v>275</v>
      </c>
      <c r="B29" s="48" t="s">
        <v>46</v>
      </c>
      <c r="C29" s="51">
        <f>CrewingModelAreaPivot!B21</f>
        <v>1</v>
      </c>
      <c r="D29" s="51">
        <f>CrewingModelAreaPivot!C21</f>
        <v>0</v>
      </c>
      <c r="E29" s="51">
        <f>CrewingModelAreaPivot!D21</f>
        <v>0</v>
      </c>
      <c r="F29" s="51">
        <f>CrewingModelAreaPivot!E21</f>
        <v>1</v>
      </c>
      <c r="G29" s="51">
        <f>CrewingModelAreaPivot!F21</f>
        <v>0</v>
      </c>
      <c r="H29" s="69">
        <f t="shared" si="0"/>
        <v>2</v>
      </c>
    </row>
    <row r="30" spans="1:8" x14ac:dyDescent="0.25">
      <c r="A30" s="89" t="s">
        <v>276</v>
      </c>
      <c r="B30" s="48" t="s">
        <v>47</v>
      </c>
      <c r="C30" s="51">
        <f>CrewingModelAreaPivot!B22</f>
        <v>0</v>
      </c>
      <c r="D30" s="51">
        <f>CrewingModelAreaPivot!C22</f>
        <v>1</v>
      </c>
      <c r="E30" s="51">
        <f>CrewingModelAreaPivot!D22</f>
        <v>0</v>
      </c>
      <c r="F30" s="51">
        <f>CrewingModelAreaPivot!E22</f>
        <v>10</v>
      </c>
      <c r="G30" s="51">
        <f>CrewingModelAreaPivot!F22</f>
        <v>1</v>
      </c>
      <c r="H30" s="69">
        <f t="shared" si="0"/>
        <v>12</v>
      </c>
    </row>
    <row r="31" spans="1:8" x14ac:dyDescent="0.25">
      <c r="A31" s="89" t="s">
        <v>271</v>
      </c>
      <c r="B31" s="48" t="s">
        <v>48</v>
      </c>
      <c r="C31" s="51">
        <f>CrewingModelAreaPivot!B23</f>
        <v>0</v>
      </c>
      <c r="D31" s="51">
        <f>CrewingModelAreaPivot!C23</f>
        <v>0</v>
      </c>
      <c r="E31" s="51">
        <f>CrewingModelAreaPivot!D23</f>
        <v>0</v>
      </c>
      <c r="F31" s="51">
        <f>CrewingModelAreaPivot!E23</f>
        <v>14</v>
      </c>
      <c r="G31" s="51">
        <f>CrewingModelAreaPivot!F23</f>
        <v>0</v>
      </c>
      <c r="H31" s="69">
        <f t="shared" si="0"/>
        <v>14</v>
      </c>
    </row>
    <row r="32" spans="1:8" x14ac:dyDescent="0.25">
      <c r="A32" s="89" t="s">
        <v>277</v>
      </c>
      <c r="B32" s="48" t="s">
        <v>49</v>
      </c>
      <c r="C32" s="51">
        <f>CrewingModelAreaPivot!B24</f>
        <v>1</v>
      </c>
      <c r="D32" s="51">
        <f>CrewingModelAreaPivot!C24</f>
        <v>2</v>
      </c>
      <c r="E32" s="51">
        <f>CrewingModelAreaPivot!D24</f>
        <v>0</v>
      </c>
      <c r="F32" s="51">
        <f>CrewingModelAreaPivot!E24</f>
        <v>8</v>
      </c>
      <c r="G32" s="51">
        <f>CrewingModelAreaPivot!F24</f>
        <v>3</v>
      </c>
      <c r="H32" s="69">
        <f t="shared" si="0"/>
        <v>14</v>
      </c>
    </row>
    <row r="33" spans="1:9" x14ac:dyDescent="0.25">
      <c r="A33" s="89" t="str">
        <f>IF(A10="2019-20","S12000050","S12000044")</f>
        <v>S12000044</v>
      </c>
      <c r="B33" s="48" t="s">
        <v>50</v>
      </c>
      <c r="C33" s="51">
        <f>CrewingModelAreaPivot!B25</f>
        <v>4</v>
      </c>
      <c r="D33" s="51">
        <f>CrewingModelAreaPivot!C25</f>
        <v>0</v>
      </c>
      <c r="E33" s="51">
        <f>CrewingModelAreaPivot!D25</f>
        <v>0</v>
      </c>
      <c r="F33" s="51">
        <f>CrewingModelAreaPivot!E25</f>
        <v>3</v>
      </c>
      <c r="G33" s="51">
        <f>CrewingModelAreaPivot!F25</f>
        <v>0</v>
      </c>
      <c r="H33" s="69">
        <f t="shared" si="0"/>
        <v>7</v>
      </c>
    </row>
    <row r="34" spans="1:9" x14ac:dyDescent="0.25">
      <c r="A34" s="89" t="s">
        <v>278</v>
      </c>
      <c r="B34" s="48" t="s">
        <v>51</v>
      </c>
      <c r="C34" s="51">
        <f>CrewingModelAreaPivot!B26</f>
        <v>0</v>
      </c>
      <c r="D34" s="51">
        <f>CrewingModelAreaPivot!C26</f>
        <v>0</v>
      </c>
      <c r="E34" s="51">
        <f>CrewingModelAreaPivot!D26</f>
        <v>0</v>
      </c>
      <c r="F34" s="51">
        <f>CrewingModelAreaPivot!E26</f>
        <v>12</v>
      </c>
      <c r="G34" s="51">
        <f>CrewingModelAreaPivot!F26</f>
        <v>0</v>
      </c>
      <c r="H34" s="69">
        <f t="shared" si="0"/>
        <v>12</v>
      </c>
    </row>
    <row r="35" spans="1:9" x14ac:dyDescent="0.25">
      <c r="A35" s="89" t="s">
        <v>279</v>
      </c>
      <c r="B35" s="48" t="s">
        <v>52</v>
      </c>
      <c r="C35" s="51">
        <f>CrewingModelAreaPivot!B27</f>
        <v>1</v>
      </c>
      <c r="D35" s="51">
        <f>CrewingModelAreaPivot!C27</f>
        <v>0</v>
      </c>
      <c r="E35" s="51">
        <f>CrewingModelAreaPivot!D27</f>
        <v>0</v>
      </c>
      <c r="F35" s="51">
        <f>CrewingModelAreaPivot!E27</f>
        <v>10</v>
      </c>
      <c r="G35" s="51">
        <f>CrewingModelAreaPivot!F27</f>
        <v>3</v>
      </c>
      <c r="H35" s="69">
        <f t="shared" si="0"/>
        <v>14</v>
      </c>
    </row>
    <row r="36" spans="1:9" x14ac:dyDescent="0.25">
      <c r="A36" s="89" t="s">
        <v>289</v>
      </c>
      <c r="B36" s="48" t="s">
        <v>53</v>
      </c>
      <c r="C36" s="51">
        <f>CrewingModelAreaPivot!B28</f>
        <v>2</v>
      </c>
      <c r="D36" s="51">
        <f>CrewingModelAreaPivot!C28</f>
        <v>1</v>
      </c>
      <c r="E36" s="51">
        <f>CrewingModelAreaPivot!D28</f>
        <v>0</v>
      </c>
      <c r="F36" s="51">
        <f>CrewingModelAreaPivot!E28</f>
        <v>0</v>
      </c>
      <c r="G36" s="51">
        <f>CrewingModelAreaPivot!F28</f>
        <v>0</v>
      </c>
      <c r="H36" s="69">
        <f t="shared" si="0"/>
        <v>3</v>
      </c>
    </row>
    <row r="37" spans="1:9" x14ac:dyDescent="0.25">
      <c r="A37" s="89" t="s">
        <v>280</v>
      </c>
      <c r="B37" s="48" t="s">
        <v>54</v>
      </c>
      <c r="C37" s="51">
        <f>CrewingModelAreaPivot!B29</f>
        <v>0</v>
      </c>
      <c r="D37" s="51">
        <f>CrewingModelAreaPivot!C29</f>
        <v>2</v>
      </c>
      <c r="E37" s="51">
        <f>CrewingModelAreaPivot!D29</f>
        <v>0</v>
      </c>
      <c r="F37" s="51">
        <f>CrewingModelAreaPivot!E29</f>
        <v>11</v>
      </c>
      <c r="G37" s="51">
        <f>CrewingModelAreaPivot!F29</f>
        <v>0</v>
      </c>
      <c r="H37" s="69">
        <f t="shared" si="0"/>
        <v>13</v>
      </c>
    </row>
    <row r="38" spans="1:9" x14ac:dyDescent="0.25">
      <c r="A38" s="89" t="s">
        <v>281</v>
      </c>
      <c r="B38" s="48" t="s">
        <v>55</v>
      </c>
      <c r="C38" s="51">
        <f>CrewingModelAreaPivot!B30</f>
        <v>0</v>
      </c>
      <c r="D38" s="51">
        <f>CrewingModelAreaPivot!C30</f>
        <v>0</v>
      </c>
      <c r="E38" s="51">
        <f>CrewingModelAreaPivot!D30</f>
        <v>0</v>
      </c>
      <c r="F38" s="51">
        <f>CrewingModelAreaPivot!E30</f>
        <v>14</v>
      </c>
      <c r="G38" s="51">
        <f>CrewingModelAreaPivot!F30</f>
        <v>0</v>
      </c>
      <c r="H38" s="69">
        <f t="shared" si="0"/>
        <v>14</v>
      </c>
    </row>
    <row r="39" spans="1:9" x14ac:dyDescent="0.25">
      <c r="A39" s="89" t="s">
        <v>282</v>
      </c>
      <c r="B39" s="48" t="s">
        <v>56</v>
      </c>
      <c r="C39" s="51">
        <f>CrewingModelAreaPivot!B31</f>
        <v>0</v>
      </c>
      <c r="D39" s="51">
        <f>CrewingModelAreaPivot!C31</f>
        <v>1</v>
      </c>
      <c r="E39" s="51">
        <f>CrewingModelAreaPivot!D31</f>
        <v>0</v>
      </c>
      <c r="F39" s="51">
        <f>CrewingModelAreaPivot!E31</f>
        <v>4</v>
      </c>
      <c r="G39" s="51">
        <f>CrewingModelAreaPivot!F31</f>
        <v>0</v>
      </c>
      <c r="H39" s="69">
        <f t="shared" si="0"/>
        <v>5</v>
      </c>
    </row>
    <row r="40" spans="1:9" x14ac:dyDescent="0.25">
      <c r="A40" s="89" t="s">
        <v>283</v>
      </c>
      <c r="B40" s="48" t="s">
        <v>57</v>
      </c>
      <c r="C40" s="51">
        <f>CrewingModelAreaPivot!B32</f>
        <v>3</v>
      </c>
      <c r="D40" s="51">
        <f>CrewingModelAreaPivot!C32</f>
        <v>1</v>
      </c>
      <c r="E40" s="51">
        <f>CrewingModelAreaPivot!D32</f>
        <v>0</v>
      </c>
      <c r="F40" s="51">
        <f>CrewingModelAreaPivot!E32</f>
        <v>7</v>
      </c>
      <c r="G40" s="51">
        <f>CrewingModelAreaPivot!F32</f>
        <v>0</v>
      </c>
      <c r="H40" s="69">
        <f t="shared" si="0"/>
        <v>11</v>
      </c>
    </row>
    <row r="41" spans="1:9" x14ac:dyDescent="0.25">
      <c r="A41" s="89" t="s">
        <v>284</v>
      </c>
      <c r="B41" s="48" t="s">
        <v>58</v>
      </c>
      <c r="C41" s="51">
        <f>CrewingModelAreaPivot!B33</f>
        <v>1</v>
      </c>
      <c r="D41" s="51">
        <f>CrewingModelAreaPivot!C33</f>
        <v>0</v>
      </c>
      <c r="E41" s="51">
        <f>CrewingModelAreaPivot!D33</f>
        <v>0</v>
      </c>
      <c r="F41" s="51">
        <f>CrewingModelAreaPivot!E33</f>
        <v>9</v>
      </c>
      <c r="G41" s="51">
        <f>CrewingModelAreaPivot!F33</f>
        <v>0</v>
      </c>
      <c r="H41" s="69">
        <f t="shared" si="0"/>
        <v>10</v>
      </c>
    </row>
    <row r="42" spans="1:9" x14ac:dyDescent="0.25">
      <c r="A42" s="89" t="s">
        <v>290</v>
      </c>
      <c r="B42" s="48" t="s">
        <v>59</v>
      </c>
      <c r="C42" s="51">
        <f>CrewingModelAreaPivot!B34</f>
        <v>1</v>
      </c>
      <c r="D42" s="51">
        <f>CrewingModelAreaPivot!C34</f>
        <v>1</v>
      </c>
      <c r="E42" s="51">
        <f>CrewingModelAreaPivot!D34</f>
        <v>0</v>
      </c>
      <c r="F42" s="51">
        <f>CrewingModelAreaPivot!E34</f>
        <v>1</v>
      </c>
      <c r="G42" s="51">
        <f>CrewingModelAreaPivot!F34</f>
        <v>0</v>
      </c>
      <c r="H42" s="69">
        <f t="shared" si="0"/>
        <v>3</v>
      </c>
    </row>
    <row r="43" spans="1:9" x14ac:dyDescent="0.25">
      <c r="A43" s="89" t="s">
        <v>291</v>
      </c>
      <c r="B43" s="48" t="s">
        <v>60</v>
      </c>
      <c r="C43" s="51">
        <f>CrewingModelAreaPivot!B35</f>
        <v>0</v>
      </c>
      <c r="D43" s="51">
        <f>CrewingModelAreaPivot!C35</f>
        <v>1</v>
      </c>
      <c r="E43" s="51">
        <f>CrewingModelAreaPivot!D35</f>
        <v>1</v>
      </c>
      <c r="F43" s="51">
        <f>CrewingModelAreaPivot!E35</f>
        <v>4</v>
      </c>
      <c r="G43" s="51">
        <f>CrewingModelAreaPivot!F35</f>
        <v>0</v>
      </c>
      <c r="H43" s="69">
        <f t="shared" si="0"/>
        <v>6</v>
      </c>
    </row>
    <row r="44" spans="1:9" ht="21.75" customHeight="1" thickBot="1" x14ac:dyDescent="0.3">
      <c r="A44" s="33"/>
      <c r="B44" s="33" t="s">
        <v>731</v>
      </c>
      <c r="C44" s="70">
        <f t="shared" ref="C44:H44" si="1">SUM(C12:C43)</f>
        <v>50</v>
      </c>
      <c r="D44" s="70">
        <f t="shared" si="1"/>
        <v>23</v>
      </c>
      <c r="E44" s="70">
        <f t="shared" si="1"/>
        <v>1</v>
      </c>
      <c r="F44" s="70">
        <f t="shared" si="1"/>
        <v>240</v>
      </c>
      <c r="G44" s="70">
        <f t="shared" si="1"/>
        <v>42</v>
      </c>
      <c r="H44" s="70">
        <f t="shared" si="1"/>
        <v>356</v>
      </c>
    </row>
    <row r="45" spans="1:9" x14ac:dyDescent="0.25">
      <c r="B45" s="195"/>
      <c r="C45" s="196"/>
      <c r="D45" s="196"/>
      <c r="E45" s="196"/>
      <c r="F45" s="196"/>
      <c r="G45" s="196"/>
      <c r="H45" s="196"/>
    </row>
    <row r="46" spans="1:9" ht="15" customHeight="1" x14ac:dyDescent="0.25">
      <c r="A46" s="48" t="s">
        <v>8</v>
      </c>
    </row>
    <row r="47" spans="1:9" ht="30.75" customHeight="1" x14ac:dyDescent="0.25">
      <c r="A47" s="996" t="s">
        <v>919</v>
      </c>
      <c r="B47" s="996"/>
      <c r="C47" s="996"/>
      <c r="D47" s="996"/>
      <c r="E47" s="996"/>
      <c r="F47" s="996"/>
      <c r="G47" s="996"/>
      <c r="H47" s="996"/>
    </row>
    <row r="48" spans="1:9" ht="30.75" customHeight="1" x14ac:dyDescent="0.25">
      <c r="A48" s="995" t="s">
        <v>719</v>
      </c>
      <c r="B48" s="995"/>
      <c r="C48" s="995"/>
      <c r="D48" s="995"/>
      <c r="E48" s="995"/>
      <c r="F48" s="995"/>
      <c r="G48" s="995"/>
      <c r="H48" s="995"/>
      <c r="I48" s="995"/>
    </row>
  </sheetData>
  <sheetProtection algorithmName="SHA-512" hashValue="wVQr56n8Z2//9QQck3xgvZn3IiIKxr/AcZ71VSCSu9bENEzkwX906ot7TtHGO+RwwwAUaA0/iFi871zuZadGFA==" saltValue="XOf+AQ6n6Bb6LzDeuGwqPQ==" spinCount="100000" sheet="1" scenarios="1" formatCells="0" sort="0" autoFilter="0" pivotTables="0"/>
  <mergeCells count="4">
    <mergeCell ref="A48:I48"/>
    <mergeCell ref="A1:C1"/>
    <mergeCell ref="A4:F4"/>
    <mergeCell ref="A47:H47"/>
  </mergeCells>
  <hyperlinks>
    <hyperlink ref="A2" location="'Table of Contents'!A1" display="Back to Table of Contents" xr:uid="{00000000-0004-0000-0500-000000000000}"/>
  </hyperlinks>
  <pageMargins left="0.70866141732283472" right="0.70866141732283472" top="0.74803149606299213" bottom="0.74803149606299213" header="0.31496062992125984" footer="0.31496062992125984"/>
  <pageSetup scale="71" orientation="portrait" r:id="rId1"/>
  <drawing r:id="rId2"/>
  <extLst>
    <ext xmlns:x14="http://schemas.microsoft.com/office/spreadsheetml/2009/9/main" uri="{A8765BA9-456A-4dab-B4F3-ACF838C121DE}">
      <x14:slicerList>
        <x14:slicer r:id="rId3"/>
      </x14:slicerList>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9" tint="0.39997558519241921"/>
  </sheetPr>
  <dimension ref="A1:H61"/>
  <sheetViews>
    <sheetView topLeftCell="A10" zoomScale="70" zoomScaleNormal="70" workbookViewId="0">
      <selection activeCell="C24" sqref="C24"/>
    </sheetView>
  </sheetViews>
  <sheetFormatPr defaultRowHeight="15" x14ac:dyDescent="0.25"/>
  <cols>
    <col min="1" max="1" width="62.5703125" bestFit="1" customWidth="1"/>
    <col min="2" max="2" width="28.5703125" bestFit="1" customWidth="1"/>
    <col min="3" max="3" width="25.140625" bestFit="1" customWidth="1"/>
    <col min="4" max="4" width="26.85546875" bestFit="1" customWidth="1"/>
    <col min="5" max="5" width="27.85546875" bestFit="1" customWidth="1"/>
    <col min="6" max="6" width="27" bestFit="1" customWidth="1"/>
    <col min="7" max="7" width="25.42578125" bestFit="1" customWidth="1"/>
    <col min="8" max="8" width="21.140625" bestFit="1" customWidth="1"/>
    <col min="9" max="51" width="9.7109375" bestFit="1" customWidth="1"/>
    <col min="52" max="52" width="19.140625" bestFit="1" customWidth="1"/>
    <col min="53" max="101" width="9.7109375" bestFit="1" customWidth="1"/>
    <col min="102" max="102" width="20.42578125" bestFit="1" customWidth="1"/>
    <col min="103" max="151" width="9.7109375" bestFit="1" customWidth="1"/>
    <col min="152" max="152" width="21.28515625" bestFit="1" customWidth="1"/>
    <col min="153" max="201" width="9.7109375" bestFit="1" customWidth="1"/>
    <col min="202" max="202" width="20.5703125" bestFit="1" customWidth="1"/>
    <col min="203" max="251" width="9.7109375" bestFit="1" customWidth="1"/>
    <col min="252" max="252" width="19.42578125" bestFit="1" customWidth="1"/>
    <col min="253" max="301" width="9.7109375" bestFit="1" customWidth="1"/>
    <col min="302" max="302" width="15.85546875" bestFit="1" customWidth="1"/>
    <col min="303" max="351" width="9.7109375" bestFit="1" customWidth="1"/>
    <col min="352" max="352" width="26.42578125" bestFit="1" customWidth="1"/>
    <col min="353" max="353" width="23.85546875" bestFit="1" customWidth="1"/>
    <col min="354" max="354" width="25.42578125" bestFit="1" customWidth="1"/>
    <col min="355" max="355" width="26.140625" bestFit="1" customWidth="1"/>
    <col min="356" max="356" width="25.5703125" bestFit="1" customWidth="1"/>
    <col min="357" max="357" width="24.28515625" bestFit="1" customWidth="1"/>
    <col min="358" max="358" width="20.5703125" bestFit="1" customWidth="1"/>
  </cols>
  <sheetData>
    <row r="1" spans="1:8" x14ac:dyDescent="0.25">
      <c r="A1" s="394" t="s">
        <v>1</v>
      </c>
      <c r="B1" t="s">
        <v>1108</v>
      </c>
    </row>
    <row r="3" spans="1:8" x14ac:dyDescent="0.25">
      <c r="A3" s="394" t="s">
        <v>231</v>
      </c>
      <c r="B3" t="s">
        <v>249</v>
      </c>
      <c r="C3" t="s">
        <v>250</v>
      </c>
      <c r="D3" t="s">
        <v>251</v>
      </c>
      <c r="E3" t="s">
        <v>252</v>
      </c>
      <c r="F3" t="s">
        <v>241</v>
      </c>
      <c r="G3" t="s">
        <v>253</v>
      </c>
      <c r="H3" t="s">
        <v>254</v>
      </c>
    </row>
    <row r="4" spans="1:8" x14ac:dyDescent="0.25">
      <c r="A4" s="395" t="s">
        <v>232</v>
      </c>
    </row>
    <row r="5" spans="1:8" x14ac:dyDescent="0.25">
      <c r="A5" s="396" t="s">
        <v>31</v>
      </c>
      <c r="B5">
        <v>0</v>
      </c>
      <c r="C5">
        <v>0</v>
      </c>
      <c r="D5">
        <v>0</v>
      </c>
      <c r="E5">
        <v>0</v>
      </c>
      <c r="F5">
        <v>22</v>
      </c>
      <c r="G5">
        <v>34</v>
      </c>
      <c r="H5">
        <v>106</v>
      </c>
    </row>
    <row r="6" spans="1:8" x14ac:dyDescent="0.25">
      <c r="A6" s="396" t="s">
        <v>32</v>
      </c>
      <c r="B6">
        <v>0</v>
      </c>
      <c r="C6">
        <v>0</v>
      </c>
      <c r="D6">
        <v>0</v>
      </c>
      <c r="E6">
        <v>0</v>
      </c>
      <c r="F6">
        <v>5</v>
      </c>
      <c r="G6">
        <v>6</v>
      </c>
      <c r="H6">
        <v>17</v>
      </c>
    </row>
    <row r="7" spans="1:8" x14ac:dyDescent="0.25">
      <c r="A7" s="396" t="s">
        <v>33</v>
      </c>
      <c r="B7">
        <v>0</v>
      </c>
      <c r="C7">
        <v>0</v>
      </c>
      <c r="D7">
        <v>0</v>
      </c>
      <c r="E7">
        <v>0</v>
      </c>
      <c r="F7">
        <v>5</v>
      </c>
      <c r="G7">
        <v>5</v>
      </c>
      <c r="H7">
        <v>17</v>
      </c>
    </row>
    <row r="8" spans="1:8" x14ac:dyDescent="0.25">
      <c r="A8" s="396" t="s">
        <v>34</v>
      </c>
      <c r="B8">
        <v>0</v>
      </c>
      <c r="C8">
        <v>0</v>
      </c>
      <c r="D8">
        <v>0</v>
      </c>
      <c r="E8">
        <v>0</v>
      </c>
      <c r="F8">
        <v>11</v>
      </c>
      <c r="G8">
        <v>10</v>
      </c>
      <c r="H8">
        <v>34</v>
      </c>
    </row>
    <row r="9" spans="1:8" x14ac:dyDescent="0.25">
      <c r="A9" s="396" t="s">
        <v>243</v>
      </c>
      <c r="B9">
        <v>0</v>
      </c>
      <c r="C9">
        <v>0</v>
      </c>
      <c r="D9">
        <v>0</v>
      </c>
      <c r="E9">
        <v>0</v>
      </c>
      <c r="F9">
        <v>35</v>
      </c>
      <c r="G9">
        <v>59</v>
      </c>
      <c r="H9">
        <v>199</v>
      </c>
    </row>
    <row r="10" spans="1:8" x14ac:dyDescent="0.25">
      <c r="A10" s="396" t="s">
        <v>35</v>
      </c>
      <c r="B10">
        <v>0</v>
      </c>
      <c r="C10">
        <v>0</v>
      </c>
      <c r="D10">
        <v>0</v>
      </c>
      <c r="E10">
        <v>0</v>
      </c>
      <c r="F10">
        <v>6</v>
      </c>
      <c r="G10">
        <v>5</v>
      </c>
      <c r="H10">
        <v>16</v>
      </c>
    </row>
    <row r="11" spans="1:8" x14ac:dyDescent="0.25">
      <c r="A11" s="396" t="s">
        <v>36</v>
      </c>
      <c r="B11">
        <v>0</v>
      </c>
      <c r="C11">
        <v>0</v>
      </c>
      <c r="D11">
        <v>0</v>
      </c>
      <c r="E11">
        <v>0</v>
      </c>
      <c r="F11">
        <v>5</v>
      </c>
      <c r="G11">
        <v>10</v>
      </c>
      <c r="H11">
        <v>38</v>
      </c>
    </row>
    <row r="12" spans="1:8" x14ac:dyDescent="0.25">
      <c r="A12" s="396" t="s">
        <v>37</v>
      </c>
      <c r="B12">
        <v>0</v>
      </c>
      <c r="C12">
        <v>0</v>
      </c>
      <c r="D12">
        <v>0</v>
      </c>
      <c r="E12">
        <v>0</v>
      </c>
      <c r="F12">
        <v>20</v>
      </c>
      <c r="G12">
        <v>30</v>
      </c>
      <c r="H12">
        <v>118</v>
      </c>
    </row>
    <row r="13" spans="1:8" x14ac:dyDescent="0.25">
      <c r="A13" s="396" t="s">
        <v>38</v>
      </c>
      <c r="B13">
        <v>0</v>
      </c>
      <c r="C13">
        <v>0</v>
      </c>
      <c r="D13">
        <v>0</v>
      </c>
      <c r="E13">
        <v>0</v>
      </c>
      <c r="F13">
        <v>6</v>
      </c>
      <c r="G13">
        <v>10</v>
      </c>
      <c r="H13">
        <v>32</v>
      </c>
    </row>
    <row r="14" spans="1:8" x14ac:dyDescent="0.25">
      <c r="A14" s="396" t="s">
        <v>39</v>
      </c>
      <c r="B14">
        <v>0</v>
      </c>
      <c r="C14">
        <v>0</v>
      </c>
      <c r="D14">
        <v>0</v>
      </c>
      <c r="E14">
        <v>0</v>
      </c>
      <c r="F14">
        <v>15</v>
      </c>
      <c r="G14">
        <v>15</v>
      </c>
      <c r="H14">
        <v>46</v>
      </c>
    </row>
    <row r="15" spans="1:8" x14ac:dyDescent="0.25">
      <c r="A15" s="396" t="s">
        <v>40</v>
      </c>
      <c r="B15">
        <v>0</v>
      </c>
      <c r="C15">
        <v>0</v>
      </c>
      <c r="D15">
        <v>0</v>
      </c>
      <c r="E15">
        <v>0</v>
      </c>
      <c r="F15">
        <v>5</v>
      </c>
      <c r="G15">
        <v>5</v>
      </c>
      <c r="H15">
        <v>15</v>
      </c>
    </row>
    <row r="16" spans="1:8" x14ac:dyDescent="0.25">
      <c r="A16" s="396" t="s">
        <v>41</v>
      </c>
      <c r="B16">
        <v>0</v>
      </c>
      <c r="C16">
        <v>0</v>
      </c>
      <c r="D16">
        <v>0</v>
      </c>
      <c r="E16">
        <v>0</v>
      </c>
      <c r="F16">
        <v>10</v>
      </c>
      <c r="G16">
        <v>10</v>
      </c>
      <c r="H16">
        <v>33</v>
      </c>
    </row>
    <row r="17" spans="1:8" x14ac:dyDescent="0.25">
      <c r="A17" s="396" t="s">
        <v>42</v>
      </c>
      <c r="B17">
        <v>0</v>
      </c>
      <c r="C17">
        <v>0</v>
      </c>
      <c r="D17">
        <v>0</v>
      </c>
      <c r="E17">
        <v>0</v>
      </c>
      <c r="F17">
        <v>15</v>
      </c>
      <c r="G17">
        <v>20</v>
      </c>
      <c r="H17">
        <v>56</v>
      </c>
    </row>
    <row r="18" spans="1:8" x14ac:dyDescent="0.25">
      <c r="A18" s="396" t="s">
        <v>43</v>
      </c>
      <c r="B18">
        <v>0</v>
      </c>
      <c r="C18">
        <v>0</v>
      </c>
      <c r="D18">
        <v>0</v>
      </c>
      <c r="E18">
        <v>0</v>
      </c>
      <c r="F18">
        <v>27</v>
      </c>
      <c r="G18">
        <v>43</v>
      </c>
      <c r="H18">
        <v>146</v>
      </c>
    </row>
    <row r="19" spans="1:8" x14ac:dyDescent="0.25">
      <c r="A19" s="396" t="s">
        <v>117</v>
      </c>
      <c r="B19">
        <v>0</v>
      </c>
      <c r="C19">
        <v>0</v>
      </c>
      <c r="D19">
        <v>0</v>
      </c>
      <c r="E19">
        <v>0</v>
      </c>
      <c r="F19">
        <v>67</v>
      </c>
      <c r="G19">
        <v>94</v>
      </c>
      <c r="H19">
        <v>302</v>
      </c>
    </row>
    <row r="20" spans="1:8" x14ac:dyDescent="0.25">
      <c r="A20" s="396" t="s">
        <v>44</v>
      </c>
      <c r="B20">
        <v>0</v>
      </c>
      <c r="C20">
        <v>0</v>
      </c>
      <c r="D20">
        <v>0</v>
      </c>
      <c r="E20">
        <v>0</v>
      </c>
      <c r="F20">
        <v>8</v>
      </c>
      <c r="G20">
        <v>20</v>
      </c>
      <c r="H20">
        <v>52</v>
      </c>
    </row>
    <row r="21" spans="1:8" x14ac:dyDescent="0.25">
      <c r="A21" s="396" t="s">
        <v>45</v>
      </c>
      <c r="B21">
        <v>0</v>
      </c>
      <c r="C21">
        <v>0</v>
      </c>
      <c r="D21">
        <v>0</v>
      </c>
      <c r="E21">
        <v>0</v>
      </c>
      <c r="F21">
        <v>10</v>
      </c>
      <c r="G21">
        <v>14</v>
      </c>
      <c r="H21">
        <v>39</v>
      </c>
    </row>
    <row r="22" spans="1:8" x14ac:dyDescent="0.25">
      <c r="A22" s="396" t="s">
        <v>46</v>
      </c>
      <c r="B22">
        <v>0</v>
      </c>
      <c r="C22">
        <v>0</v>
      </c>
      <c r="D22">
        <v>0</v>
      </c>
      <c r="E22">
        <v>0</v>
      </c>
      <c r="F22">
        <v>6</v>
      </c>
      <c r="G22">
        <v>7</v>
      </c>
      <c r="H22">
        <v>16</v>
      </c>
    </row>
    <row r="23" spans="1:8" x14ac:dyDescent="0.25">
      <c r="A23" s="396" t="s">
        <v>47</v>
      </c>
      <c r="B23">
        <v>0</v>
      </c>
      <c r="C23">
        <v>0</v>
      </c>
      <c r="D23">
        <v>0</v>
      </c>
      <c r="E23">
        <v>0</v>
      </c>
      <c r="F23">
        <v>5</v>
      </c>
      <c r="G23">
        <v>4</v>
      </c>
      <c r="H23">
        <v>21</v>
      </c>
    </row>
    <row r="24" spans="1:8" x14ac:dyDescent="0.25">
      <c r="A24" s="396" t="s">
        <v>48</v>
      </c>
      <c r="B24">
        <v>0</v>
      </c>
      <c r="C24">
        <v>0</v>
      </c>
      <c r="D24">
        <v>0</v>
      </c>
      <c r="E24">
        <v>0</v>
      </c>
      <c r="F24">
        <v>3</v>
      </c>
      <c r="G24">
        <v>0</v>
      </c>
      <c r="H24">
        <v>0</v>
      </c>
    </row>
    <row r="25" spans="1:8" x14ac:dyDescent="0.25">
      <c r="A25" s="396" t="s">
        <v>49</v>
      </c>
      <c r="B25">
        <v>0</v>
      </c>
      <c r="C25">
        <v>0</v>
      </c>
      <c r="D25">
        <v>0</v>
      </c>
      <c r="E25">
        <v>0</v>
      </c>
      <c r="F25">
        <v>15</v>
      </c>
      <c r="G25">
        <v>16</v>
      </c>
      <c r="H25">
        <v>54</v>
      </c>
    </row>
    <row r="26" spans="1:8" x14ac:dyDescent="0.25">
      <c r="A26" s="396" t="s">
        <v>50</v>
      </c>
      <c r="B26">
        <v>0</v>
      </c>
      <c r="C26">
        <v>0</v>
      </c>
      <c r="D26">
        <v>0</v>
      </c>
      <c r="E26">
        <v>0</v>
      </c>
      <c r="F26">
        <v>21</v>
      </c>
      <c r="G26">
        <v>36</v>
      </c>
      <c r="H26">
        <v>112</v>
      </c>
    </row>
    <row r="27" spans="1:8" x14ac:dyDescent="0.25">
      <c r="A27" s="396" t="s">
        <v>52</v>
      </c>
      <c r="B27">
        <v>0</v>
      </c>
      <c r="C27">
        <v>0</v>
      </c>
      <c r="D27">
        <v>0</v>
      </c>
      <c r="E27">
        <v>0</v>
      </c>
      <c r="F27">
        <v>5</v>
      </c>
      <c r="G27">
        <v>12</v>
      </c>
      <c r="H27">
        <v>49</v>
      </c>
    </row>
    <row r="28" spans="1:8" x14ac:dyDescent="0.25">
      <c r="A28" s="396" t="s">
        <v>53</v>
      </c>
      <c r="B28">
        <v>0</v>
      </c>
      <c r="C28">
        <v>0</v>
      </c>
      <c r="D28">
        <v>0</v>
      </c>
      <c r="E28">
        <v>0</v>
      </c>
      <c r="F28">
        <v>15</v>
      </c>
      <c r="G28">
        <v>21</v>
      </c>
      <c r="H28">
        <v>66</v>
      </c>
    </row>
    <row r="29" spans="1:8" x14ac:dyDescent="0.25">
      <c r="A29" s="396" t="s">
        <v>54</v>
      </c>
      <c r="B29">
        <v>0</v>
      </c>
      <c r="C29">
        <v>0</v>
      </c>
      <c r="D29">
        <v>0</v>
      </c>
      <c r="E29">
        <v>0</v>
      </c>
      <c r="F29">
        <v>10</v>
      </c>
      <c r="G29">
        <v>9</v>
      </c>
      <c r="H29">
        <v>38</v>
      </c>
    </row>
    <row r="30" spans="1:8" x14ac:dyDescent="0.25">
      <c r="A30" s="396" t="s">
        <v>55</v>
      </c>
      <c r="B30">
        <v>0</v>
      </c>
      <c r="C30">
        <v>0</v>
      </c>
      <c r="D30">
        <v>0</v>
      </c>
      <c r="E30">
        <v>0</v>
      </c>
      <c r="F30">
        <v>1</v>
      </c>
      <c r="G30">
        <v>0</v>
      </c>
      <c r="H30">
        <v>0</v>
      </c>
    </row>
    <row r="31" spans="1:8" x14ac:dyDescent="0.25">
      <c r="A31" s="396" t="s">
        <v>56</v>
      </c>
      <c r="B31">
        <v>0</v>
      </c>
      <c r="C31">
        <v>0</v>
      </c>
      <c r="D31">
        <v>0</v>
      </c>
      <c r="E31">
        <v>0</v>
      </c>
      <c r="F31">
        <v>6</v>
      </c>
      <c r="G31">
        <v>10</v>
      </c>
      <c r="H31">
        <v>36</v>
      </c>
    </row>
    <row r="32" spans="1:8" x14ac:dyDescent="0.25">
      <c r="A32" s="396" t="s">
        <v>57</v>
      </c>
      <c r="B32">
        <v>0</v>
      </c>
      <c r="C32">
        <v>0</v>
      </c>
      <c r="D32">
        <v>0</v>
      </c>
      <c r="E32">
        <v>0</v>
      </c>
      <c r="F32">
        <v>20</v>
      </c>
      <c r="G32">
        <v>30</v>
      </c>
      <c r="H32">
        <v>111</v>
      </c>
    </row>
    <row r="33" spans="1:8" x14ac:dyDescent="0.25">
      <c r="A33" s="396" t="s">
        <v>58</v>
      </c>
      <c r="B33">
        <v>0</v>
      </c>
      <c r="C33">
        <v>0</v>
      </c>
      <c r="D33">
        <v>0</v>
      </c>
      <c r="E33">
        <v>0</v>
      </c>
      <c r="F33">
        <v>5</v>
      </c>
      <c r="G33">
        <v>10</v>
      </c>
      <c r="H33">
        <v>34</v>
      </c>
    </row>
    <row r="34" spans="1:8" x14ac:dyDescent="0.25">
      <c r="A34" s="396" t="s">
        <v>59</v>
      </c>
      <c r="B34">
        <v>0</v>
      </c>
      <c r="C34">
        <v>0</v>
      </c>
      <c r="D34">
        <v>0</v>
      </c>
      <c r="E34">
        <v>0</v>
      </c>
      <c r="F34">
        <v>11</v>
      </c>
      <c r="G34">
        <v>13</v>
      </c>
      <c r="H34">
        <v>51</v>
      </c>
    </row>
    <row r="35" spans="1:8" x14ac:dyDescent="0.25">
      <c r="A35" s="396" t="s">
        <v>60</v>
      </c>
      <c r="B35">
        <v>0</v>
      </c>
      <c r="C35">
        <v>0</v>
      </c>
      <c r="D35">
        <v>0</v>
      </c>
      <c r="E35">
        <v>0</v>
      </c>
      <c r="F35">
        <v>13</v>
      </c>
      <c r="G35">
        <v>11</v>
      </c>
      <c r="H35">
        <v>39</v>
      </c>
    </row>
    <row r="36" spans="1:8" x14ac:dyDescent="0.25">
      <c r="A36" s="395" t="s">
        <v>832</v>
      </c>
      <c r="B36">
        <v>0</v>
      </c>
      <c r="C36">
        <v>0</v>
      </c>
      <c r="D36">
        <v>0</v>
      </c>
      <c r="E36">
        <v>0</v>
      </c>
      <c r="F36">
        <v>408</v>
      </c>
      <c r="G36">
        <v>569</v>
      </c>
      <c r="H36">
        <v>1893</v>
      </c>
    </row>
    <row r="37" spans="1:8" x14ac:dyDescent="0.25">
      <c r="A37" s="395" t="s">
        <v>233</v>
      </c>
    </row>
    <row r="38" spans="1:8" x14ac:dyDescent="0.25">
      <c r="A38" s="396" t="s">
        <v>64</v>
      </c>
      <c r="B38">
        <v>0</v>
      </c>
      <c r="C38">
        <v>1</v>
      </c>
      <c r="D38">
        <v>4</v>
      </c>
      <c r="E38">
        <v>9</v>
      </c>
      <c r="F38">
        <v>6</v>
      </c>
      <c r="G38">
        <v>6</v>
      </c>
      <c r="H38">
        <v>2</v>
      </c>
    </row>
    <row r="39" spans="1:8" x14ac:dyDescent="0.25">
      <c r="A39" s="396" t="s">
        <v>36</v>
      </c>
      <c r="B39">
        <v>0</v>
      </c>
      <c r="C39">
        <v>1</v>
      </c>
      <c r="D39">
        <v>2</v>
      </c>
      <c r="E39">
        <v>5</v>
      </c>
      <c r="F39">
        <v>7</v>
      </c>
      <c r="G39">
        <v>5</v>
      </c>
      <c r="H39">
        <v>2</v>
      </c>
    </row>
    <row r="40" spans="1:8" x14ac:dyDescent="0.25">
      <c r="A40" s="396" t="s">
        <v>65</v>
      </c>
      <c r="B40">
        <v>0</v>
      </c>
      <c r="C40">
        <v>2</v>
      </c>
      <c r="D40">
        <v>4</v>
      </c>
      <c r="E40">
        <v>8</v>
      </c>
      <c r="F40">
        <v>9</v>
      </c>
      <c r="G40">
        <v>0</v>
      </c>
      <c r="H40">
        <v>0</v>
      </c>
    </row>
    <row r="41" spans="1:8" x14ac:dyDescent="0.25">
      <c r="A41" s="396" t="s">
        <v>66</v>
      </c>
      <c r="B41">
        <v>0</v>
      </c>
      <c r="C41">
        <v>1</v>
      </c>
      <c r="D41">
        <v>3</v>
      </c>
      <c r="E41">
        <v>9</v>
      </c>
      <c r="F41">
        <v>7</v>
      </c>
      <c r="G41">
        <v>5</v>
      </c>
      <c r="H41">
        <v>0</v>
      </c>
    </row>
    <row r="42" spans="1:8" x14ac:dyDescent="0.25">
      <c r="A42" s="396" t="s">
        <v>67</v>
      </c>
      <c r="B42">
        <v>0</v>
      </c>
      <c r="C42">
        <v>1</v>
      </c>
      <c r="D42">
        <v>3</v>
      </c>
      <c r="E42">
        <v>6</v>
      </c>
      <c r="F42">
        <v>9</v>
      </c>
      <c r="G42">
        <v>3</v>
      </c>
      <c r="H42">
        <v>4</v>
      </c>
    </row>
    <row r="43" spans="1:8" x14ac:dyDescent="0.25">
      <c r="A43" s="396" t="s">
        <v>68</v>
      </c>
      <c r="B43">
        <v>0</v>
      </c>
      <c r="C43">
        <v>1</v>
      </c>
      <c r="D43">
        <v>3</v>
      </c>
      <c r="E43">
        <v>6</v>
      </c>
      <c r="F43">
        <v>4</v>
      </c>
      <c r="G43">
        <v>3</v>
      </c>
      <c r="H43">
        <v>1</v>
      </c>
    </row>
    <row r="44" spans="1:8" x14ac:dyDescent="0.25">
      <c r="A44" s="396" t="s">
        <v>165</v>
      </c>
      <c r="B44">
        <v>0</v>
      </c>
      <c r="C44">
        <v>1</v>
      </c>
      <c r="D44">
        <v>3</v>
      </c>
      <c r="E44">
        <v>7</v>
      </c>
      <c r="F44">
        <v>9</v>
      </c>
      <c r="G44">
        <v>4</v>
      </c>
      <c r="H44">
        <v>3</v>
      </c>
    </row>
    <row r="45" spans="1:8" x14ac:dyDescent="0.25">
      <c r="A45" s="396" t="s">
        <v>69</v>
      </c>
      <c r="B45">
        <v>0</v>
      </c>
      <c r="C45">
        <v>1</v>
      </c>
      <c r="D45">
        <v>2</v>
      </c>
      <c r="E45">
        <v>6</v>
      </c>
      <c r="F45">
        <v>6</v>
      </c>
      <c r="G45">
        <v>3</v>
      </c>
      <c r="H45">
        <v>1</v>
      </c>
    </row>
    <row r="46" spans="1:8" x14ac:dyDescent="0.25">
      <c r="A46" s="396" t="s">
        <v>117</v>
      </c>
      <c r="B46">
        <v>0</v>
      </c>
      <c r="C46">
        <v>1</v>
      </c>
      <c r="D46">
        <v>4</v>
      </c>
      <c r="E46">
        <v>8</v>
      </c>
      <c r="F46">
        <v>7</v>
      </c>
      <c r="G46">
        <v>2</v>
      </c>
      <c r="H46">
        <v>1</v>
      </c>
    </row>
    <row r="47" spans="1:8" x14ac:dyDescent="0.25">
      <c r="A47" s="396" t="s">
        <v>70</v>
      </c>
      <c r="B47">
        <v>0</v>
      </c>
      <c r="C47">
        <v>1</v>
      </c>
      <c r="D47">
        <v>4</v>
      </c>
      <c r="E47">
        <v>12</v>
      </c>
      <c r="F47">
        <v>4</v>
      </c>
      <c r="G47">
        <v>1</v>
      </c>
      <c r="H47">
        <v>1</v>
      </c>
    </row>
    <row r="48" spans="1:8" x14ac:dyDescent="0.25">
      <c r="A48" s="396" t="s">
        <v>71</v>
      </c>
      <c r="B48">
        <v>0</v>
      </c>
      <c r="C48">
        <v>1</v>
      </c>
      <c r="D48">
        <v>4</v>
      </c>
      <c r="E48">
        <v>6</v>
      </c>
      <c r="F48">
        <v>0</v>
      </c>
      <c r="G48">
        <v>0</v>
      </c>
      <c r="H48">
        <v>0</v>
      </c>
    </row>
    <row r="49" spans="1:8" x14ac:dyDescent="0.25">
      <c r="A49" s="396" t="s">
        <v>762</v>
      </c>
      <c r="B49">
        <v>0</v>
      </c>
      <c r="C49">
        <v>1</v>
      </c>
      <c r="D49">
        <v>4</v>
      </c>
      <c r="E49">
        <v>9</v>
      </c>
      <c r="F49">
        <v>10</v>
      </c>
      <c r="G49">
        <v>7</v>
      </c>
      <c r="H49">
        <v>2</v>
      </c>
    </row>
    <row r="50" spans="1:8" x14ac:dyDescent="0.25">
      <c r="A50" s="396" t="s">
        <v>1038</v>
      </c>
      <c r="B50">
        <v>0</v>
      </c>
      <c r="C50">
        <v>1</v>
      </c>
      <c r="D50">
        <v>4</v>
      </c>
      <c r="E50">
        <v>11</v>
      </c>
      <c r="F50">
        <v>6</v>
      </c>
      <c r="G50">
        <v>0</v>
      </c>
      <c r="H50">
        <v>0</v>
      </c>
    </row>
    <row r="51" spans="1:8" x14ac:dyDescent="0.25">
      <c r="A51" s="396" t="s">
        <v>1040</v>
      </c>
      <c r="B51">
        <v>0</v>
      </c>
      <c r="C51">
        <v>1</v>
      </c>
      <c r="D51">
        <v>3</v>
      </c>
      <c r="E51">
        <v>10</v>
      </c>
      <c r="F51">
        <v>9</v>
      </c>
      <c r="G51">
        <v>3</v>
      </c>
      <c r="H51">
        <v>1</v>
      </c>
    </row>
    <row r="52" spans="1:8" x14ac:dyDescent="0.25">
      <c r="A52" s="395" t="s">
        <v>833</v>
      </c>
      <c r="B52">
        <v>0</v>
      </c>
      <c r="C52">
        <v>15</v>
      </c>
      <c r="D52">
        <v>47</v>
      </c>
      <c r="E52">
        <v>112</v>
      </c>
      <c r="F52">
        <v>93</v>
      </c>
      <c r="G52">
        <v>42</v>
      </c>
      <c r="H52">
        <v>18</v>
      </c>
    </row>
    <row r="53" spans="1:8" x14ac:dyDescent="0.25">
      <c r="A53" s="395" t="s">
        <v>234</v>
      </c>
    </row>
    <row r="54" spans="1:8" x14ac:dyDescent="0.25">
      <c r="A54" s="396" t="s">
        <v>164</v>
      </c>
      <c r="B54">
        <v>0</v>
      </c>
      <c r="C54">
        <v>1</v>
      </c>
      <c r="D54">
        <v>2</v>
      </c>
      <c r="E54">
        <v>5</v>
      </c>
      <c r="F54">
        <v>18</v>
      </c>
      <c r="G54">
        <v>3</v>
      </c>
      <c r="H54">
        <v>0</v>
      </c>
    </row>
    <row r="55" spans="1:8" x14ac:dyDescent="0.25">
      <c r="A55" s="396" t="s">
        <v>162</v>
      </c>
      <c r="B55">
        <v>0</v>
      </c>
      <c r="C55">
        <v>2</v>
      </c>
      <c r="D55">
        <v>2</v>
      </c>
      <c r="E55">
        <v>8</v>
      </c>
      <c r="F55">
        <v>23</v>
      </c>
      <c r="G55">
        <v>17</v>
      </c>
      <c r="H55">
        <v>0</v>
      </c>
    </row>
    <row r="56" spans="1:8" x14ac:dyDescent="0.25">
      <c r="A56" s="396" t="s">
        <v>163</v>
      </c>
      <c r="B56">
        <v>0</v>
      </c>
      <c r="C56">
        <v>2</v>
      </c>
      <c r="D56">
        <v>4</v>
      </c>
      <c r="E56">
        <v>7</v>
      </c>
      <c r="F56">
        <v>38</v>
      </c>
      <c r="G56">
        <v>8</v>
      </c>
      <c r="H56">
        <v>1</v>
      </c>
    </row>
    <row r="57" spans="1:8" x14ac:dyDescent="0.25">
      <c r="A57" s="395" t="s">
        <v>834</v>
      </c>
      <c r="B57">
        <v>0</v>
      </c>
      <c r="C57">
        <v>5</v>
      </c>
      <c r="D57">
        <v>8</v>
      </c>
      <c r="E57">
        <v>20</v>
      </c>
      <c r="F57">
        <v>79</v>
      </c>
      <c r="G57">
        <v>28</v>
      </c>
      <c r="H57">
        <v>1</v>
      </c>
    </row>
    <row r="58" spans="1:8" x14ac:dyDescent="0.25">
      <c r="A58" s="395" t="s">
        <v>235</v>
      </c>
    </row>
    <row r="59" spans="1:8" x14ac:dyDescent="0.25">
      <c r="A59" s="396" t="s">
        <v>244</v>
      </c>
      <c r="B59">
        <v>5</v>
      </c>
      <c r="C59">
        <v>11</v>
      </c>
      <c r="D59">
        <v>16</v>
      </c>
      <c r="E59">
        <v>24</v>
      </c>
      <c r="F59">
        <v>27</v>
      </c>
      <c r="G59">
        <v>1</v>
      </c>
      <c r="H59">
        <v>0</v>
      </c>
    </row>
    <row r="60" spans="1:8" x14ac:dyDescent="0.25">
      <c r="A60" s="395" t="s">
        <v>835</v>
      </c>
      <c r="B60">
        <v>5</v>
      </c>
      <c r="C60">
        <v>11</v>
      </c>
      <c r="D60">
        <v>16</v>
      </c>
      <c r="E60">
        <v>24</v>
      </c>
      <c r="F60">
        <v>27</v>
      </c>
      <c r="G60">
        <v>1</v>
      </c>
      <c r="H60">
        <v>0</v>
      </c>
    </row>
    <row r="61" spans="1:8" x14ac:dyDescent="0.25">
      <c r="A61" s="395" t="s">
        <v>236</v>
      </c>
      <c r="B61">
        <v>5</v>
      </c>
      <c r="C61">
        <v>31</v>
      </c>
      <c r="D61">
        <v>71</v>
      </c>
      <c r="E61">
        <v>156</v>
      </c>
      <c r="F61">
        <v>607</v>
      </c>
      <c r="G61">
        <v>640</v>
      </c>
      <c r="H61">
        <v>1912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tint="0.39997558519241921"/>
  </sheetPr>
  <dimension ref="A1:K562"/>
  <sheetViews>
    <sheetView topLeftCell="A2" zoomScale="70" zoomScaleNormal="70" workbookViewId="0">
      <selection activeCell="E20" sqref="E20"/>
    </sheetView>
  </sheetViews>
  <sheetFormatPr defaultRowHeight="15" x14ac:dyDescent="0.25"/>
  <cols>
    <col min="1" max="1" width="10.140625" bestFit="1" customWidth="1"/>
    <col min="2" max="2" width="21.5703125" bestFit="1" customWidth="1"/>
    <col min="3" max="3" width="12" bestFit="1" customWidth="1"/>
    <col min="4" max="4" width="58.5703125" bestFit="1" customWidth="1"/>
    <col min="5" max="5" width="20.140625" bestFit="1" customWidth="1"/>
    <col min="6" max="6" width="23.42578125" bestFit="1" customWidth="1"/>
    <col min="7" max="7" width="20.42578125" bestFit="1" customWidth="1"/>
    <col min="8" max="8" width="16.140625" bestFit="1" customWidth="1"/>
    <col min="9" max="9" width="21.85546875" bestFit="1" customWidth="1"/>
    <col min="10" max="10" width="22.85546875" bestFit="1" customWidth="1"/>
    <col min="11" max="11" width="21.85546875" bestFit="1" customWidth="1"/>
  </cols>
  <sheetData>
    <row r="1" spans="1:11" x14ac:dyDescent="0.25">
      <c r="A1" t="s">
        <v>1</v>
      </c>
      <c r="B1" t="s">
        <v>982</v>
      </c>
      <c r="C1" t="s">
        <v>242</v>
      </c>
      <c r="D1" t="s">
        <v>983</v>
      </c>
      <c r="E1" t="s">
        <v>18</v>
      </c>
      <c r="F1" t="s">
        <v>196</v>
      </c>
      <c r="G1" t="s">
        <v>22</v>
      </c>
      <c r="H1" t="s">
        <v>23</v>
      </c>
      <c r="I1" t="s">
        <v>19</v>
      </c>
      <c r="J1" t="s">
        <v>20</v>
      </c>
      <c r="K1" t="s">
        <v>21</v>
      </c>
    </row>
    <row r="2" spans="1:11" x14ac:dyDescent="0.25">
      <c r="A2" t="s">
        <v>192</v>
      </c>
      <c r="B2" t="s">
        <v>232</v>
      </c>
      <c r="C2" t="s">
        <v>266</v>
      </c>
      <c r="D2" t="s">
        <v>35</v>
      </c>
      <c r="G2">
        <v>9</v>
      </c>
      <c r="H2">
        <v>30</v>
      </c>
      <c r="J2">
        <v>0</v>
      </c>
      <c r="K2">
        <v>4</v>
      </c>
    </row>
    <row r="3" spans="1:11" x14ac:dyDescent="0.25">
      <c r="A3" t="s">
        <v>192</v>
      </c>
      <c r="B3" t="s">
        <v>232</v>
      </c>
      <c r="C3" t="s">
        <v>267</v>
      </c>
      <c r="D3" t="s">
        <v>36</v>
      </c>
      <c r="G3">
        <v>11</v>
      </c>
      <c r="H3">
        <v>53</v>
      </c>
      <c r="J3">
        <v>0</v>
      </c>
      <c r="K3">
        <v>5</v>
      </c>
    </row>
    <row r="4" spans="1:11" x14ac:dyDescent="0.25">
      <c r="A4" t="s">
        <v>192</v>
      </c>
      <c r="B4" t="s">
        <v>232</v>
      </c>
      <c r="C4" t="s">
        <v>268</v>
      </c>
      <c r="D4" t="s">
        <v>38</v>
      </c>
      <c r="G4">
        <v>11</v>
      </c>
      <c r="H4">
        <v>40</v>
      </c>
      <c r="J4">
        <v>0</v>
      </c>
      <c r="K4">
        <v>8</v>
      </c>
    </row>
    <row r="5" spans="1:11" x14ac:dyDescent="0.25">
      <c r="A5" t="s">
        <v>192</v>
      </c>
      <c r="B5" t="s">
        <v>232</v>
      </c>
      <c r="C5" t="s">
        <v>269</v>
      </c>
      <c r="D5" t="s">
        <v>40</v>
      </c>
      <c r="G5">
        <v>5</v>
      </c>
      <c r="H5">
        <v>21</v>
      </c>
      <c r="J5">
        <v>0</v>
      </c>
      <c r="K5">
        <v>3</v>
      </c>
    </row>
    <row r="6" spans="1:11" x14ac:dyDescent="0.25">
      <c r="A6" t="s">
        <v>192</v>
      </c>
      <c r="B6" t="s">
        <v>232</v>
      </c>
      <c r="C6" t="s">
        <v>270</v>
      </c>
      <c r="D6" t="s">
        <v>41</v>
      </c>
      <c r="G6">
        <v>14</v>
      </c>
      <c r="H6">
        <v>34</v>
      </c>
      <c r="J6">
        <v>0</v>
      </c>
      <c r="K6">
        <v>11</v>
      </c>
    </row>
    <row r="7" spans="1:11" x14ac:dyDescent="0.25">
      <c r="A7" t="s">
        <v>192</v>
      </c>
      <c r="B7" t="s">
        <v>232</v>
      </c>
      <c r="C7" t="s">
        <v>271</v>
      </c>
      <c r="D7" t="s">
        <v>48</v>
      </c>
      <c r="G7">
        <v>0</v>
      </c>
      <c r="H7">
        <v>0</v>
      </c>
      <c r="J7">
        <v>0</v>
      </c>
      <c r="K7">
        <v>0</v>
      </c>
    </row>
    <row r="8" spans="1:11" x14ac:dyDescent="0.25">
      <c r="A8" t="s">
        <v>192</v>
      </c>
      <c r="B8" t="s">
        <v>232</v>
      </c>
      <c r="C8" t="s">
        <v>272</v>
      </c>
      <c r="D8" t="s">
        <v>42</v>
      </c>
      <c r="G8">
        <v>18</v>
      </c>
      <c r="H8">
        <v>65</v>
      </c>
      <c r="J8">
        <v>1</v>
      </c>
      <c r="K8">
        <v>12</v>
      </c>
    </row>
    <row r="9" spans="1:11" x14ac:dyDescent="0.25">
      <c r="A9" t="s">
        <v>192</v>
      </c>
      <c r="B9" t="s">
        <v>232</v>
      </c>
      <c r="C9" t="s">
        <v>273</v>
      </c>
      <c r="D9" t="s">
        <v>44</v>
      </c>
      <c r="G9">
        <v>9</v>
      </c>
      <c r="H9">
        <v>60</v>
      </c>
      <c r="J9">
        <v>2</v>
      </c>
      <c r="K9">
        <v>10</v>
      </c>
    </row>
    <row r="10" spans="1:11" x14ac:dyDescent="0.25">
      <c r="A10" t="s">
        <v>192</v>
      </c>
      <c r="B10" t="s">
        <v>232</v>
      </c>
      <c r="C10" t="s">
        <v>274</v>
      </c>
      <c r="D10" t="s">
        <v>45</v>
      </c>
      <c r="G10">
        <v>18</v>
      </c>
      <c r="H10">
        <v>49</v>
      </c>
      <c r="J10">
        <v>0</v>
      </c>
      <c r="K10">
        <v>11</v>
      </c>
    </row>
    <row r="11" spans="1:11" x14ac:dyDescent="0.25">
      <c r="A11" t="s">
        <v>192</v>
      </c>
      <c r="B11" t="s">
        <v>232</v>
      </c>
      <c r="C11" t="s">
        <v>275</v>
      </c>
      <c r="D11" t="s">
        <v>46</v>
      </c>
      <c r="G11">
        <v>4</v>
      </c>
      <c r="H11">
        <v>26</v>
      </c>
      <c r="J11">
        <v>0</v>
      </c>
      <c r="K11">
        <v>5</v>
      </c>
    </row>
    <row r="12" spans="1:11" x14ac:dyDescent="0.25">
      <c r="A12" t="s">
        <v>192</v>
      </c>
      <c r="B12" t="s">
        <v>232</v>
      </c>
      <c r="C12" t="s">
        <v>276</v>
      </c>
      <c r="D12" t="s">
        <v>47</v>
      </c>
      <c r="G12">
        <v>2</v>
      </c>
      <c r="H12">
        <v>15</v>
      </c>
      <c r="J12">
        <v>0</v>
      </c>
      <c r="K12">
        <v>3</v>
      </c>
    </row>
    <row r="13" spans="1:11" x14ac:dyDescent="0.25">
      <c r="A13" t="s">
        <v>192</v>
      </c>
      <c r="B13" t="s">
        <v>232</v>
      </c>
      <c r="C13" t="s">
        <v>277</v>
      </c>
      <c r="D13" t="s">
        <v>49</v>
      </c>
      <c r="G13">
        <v>13</v>
      </c>
      <c r="H13">
        <v>50</v>
      </c>
      <c r="J13">
        <v>0</v>
      </c>
      <c r="K13">
        <v>13</v>
      </c>
    </row>
    <row r="14" spans="1:11" x14ac:dyDescent="0.25">
      <c r="A14" t="s">
        <v>192</v>
      </c>
      <c r="B14" t="s">
        <v>232</v>
      </c>
      <c r="C14" t="s">
        <v>278</v>
      </c>
      <c r="D14" t="s">
        <v>51</v>
      </c>
      <c r="G14">
        <v>0</v>
      </c>
      <c r="H14">
        <v>0</v>
      </c>
      <c r="J14">
        <v>0</v>
      </c>
      <c r="K14">
        <v>0</v>
      </c>
    </row>
    <row r="15" spans="1:11" x14ac:dyDescent="0.25">
      <c r="A15" t="s">
        <v>192</v>
      </c>
      <c r="B15" t="s">
        <v>232</v>
      </c>
      <c r="C15" t="s">
        <v>279</v>
      </c>
      <c r="D15" t="s">
        <v>52</v>
      </c>
      <c r="G15">
        <v>14</v>
      </c>
      <c r="H15">
        <v>61</v>
      </c>
      <c r="J15">
        <v>2</v>
      </c>
      <c r="K15">
        <v>11</v>
      </c>
    </row>
    <row r="16" spans="1:11" x14ac:dyDescent="0.25">
      <c r="A16" t="s">
        <v>192</v>
      </c>
      <c r="B16" t="s">
        <v>232</v>
      </c>
      <c r="C16" t="s">
        <v>280</v>
      </c>
      <c r="D16" t="s">
        <v>54</v>
      </c>
      <c r="G16">
        <v>11</v>
      </c>
      <c r="H16">
        <v>54</v>
      </c>
      <c r="J16">
        <v>0</v>
      </c>
      <c r="K16">
        <v>10</v>
      </c>
    </row>
    <row r="17" spans="1:11" x14ac:dyDescent="0.25">
      <c r="A17" t="s">
        <v>192</v>
      </c>
      <c r="B17" t="s">
        <v>232</v>
      </c>
      <c r="C17" t="s">
        <v>281</v>
      </c>
      <c r="D17" t="s">
        <v>55</v>
      </c>
      <c r="G17">
        <v>0</v>
      </c>
      <c r="H17">
        <v>0</v>
      </c>
      <c r="J17">
        <v>0</v>
      </c>
      <c r="K17">
        <v>0</v>
      </c>
    </row>
    <row r="18" spans="1:11" x14ac:dyDescent="0.25">
      <c r="A18" t="s">
        <v>192</v>
      </c>
      <c r="B18" t="s">
        <v>232</v>
      </c>
      <c r="C18" t="s">
        <v>282</v>
      </c>
      <c r="D18" t="s">
        <v>56</v>
      </c>
      <c r="G18">
        <v>10</v>
      </c>
      <c r="H18">
        <v>47</v>
      </c>
      <c r="J18">
        <v>0</v>
      </c>
      <c r="K18">
        <v>8</v>
      </c>
    </row>
    <row r="19" spans="1:11" x14ac:dyDescent="0.25">
      <c r="A19" t="s">
        <v>192</v>
      </c>
      <c r="B19" t="s">
        <v>232</v>
      </c>
      <c r="C19" t="s">
        <v>283</v>
      </c>
      <c r="D19" t="s">
        <v>57</v>
      </c>
      <c r="G19">
        <v>33</v>
      </c>
      <c r="H19">
        <v>129</v>
      </c>
      <c r="J19">
        <v>2</v>
      </c>
      <c r="K19">
        <v>26</v>
      </c>
    </row>
    <row r="20" spans="1:11" x14ac:dyDescent="0.25">
      <c r="A20" t="s">
        <v>192</v>
      </c>
      <c r="B20" t="s">
        <v>232</v>
      </c>
      <c r="C20" t="s">
        <v>284</v>
      </c>
      <c r="D20" t="s">
        <v>58</v>
      </c>
      <c r="G20">
        <v>10</v>
      </c>
      <c r="H20">
        <v>42</v>
      </c>
      <c r="J20">
        <v>0</v>
      </c>
      <c r="K20">
        <v>10</v>
      </c>
    </row>
    <row r="21" spans="1:11" x14ac:dyDescent="0.25">
      <c r="A21" t="s">
        <v>192</v>
      </c>
      <c r="B21" t="s">
        <v>232</v>
      </c>
      <c r="C21" t="s">
        <v>285</v>
      </c>
      <c r="D21" t="s">
        <v>31</v>
      </c>
      <c r="G21">
        <v>24</v>
      </c>
      <c r="H21">
        <v>128</v>
      </c>
      <c r="J21">
        <v>0</v>
      </c>
      <c r="K21">
        <v>22</v>
      </c>
    </row>
    <row r="22" spans="1:11" x14ac:dyDescent="0.25">
      <c r="A22" t="s">
        <v>192</v>
      </c>
      <c r="B22" t="s">
        <v>232</v>
      </c>
      <c r="C22" t="s">
        <v>286</v>
      </c>
      <c r="D22" t="s">
        <v>32</v>
      </c>
      <c r="G22">
        <v>3</v>
      </c>
      <c r="H22">
        <v>16</v>
      </c>
      <c r="J22">
        <v>0</v>
      </c>
      <c r="K22">
        <v>4</v>
      </c>
    </row>
    <row r="23" spans="1:11" x14ac:dyDescent="0.25">
      <c r="A23" t="s">
        <v>192</v>
      </c>
      <c r="B23" t="s">
        <v>232</v>
      </c>
      <c r="C23" t="s">
        <v>287</v>
      </c>
      <c r="D23" t="s">
        <v>34</v>
      </c>
      <c r="G23">
        <v>10</v>
      </c>
      <c r="H23">
        <v>31</v>
      </c>
      <c r="J23">
        <v>2</v>
      </c>
      <c r="K23">
        <v>15</v>
      </c>
    </row>
    <row r="24" spans="1:11" x14ac:dyDescent="0.25">
      <c r="A24" t="s">
        <v>192</v>
      </c>
      <c r="B24" t="s">
        <v>232</v>
      </c>
      <c r="C24" t="s">
        <v>288</v>
      </c>
      <c r="D24" t="s">
        <v>243</v>
      </c>
      <c r="G24">
        <v>70</v>
      </c>
      <c r="H24">
        <v>275</v>
      </c>
      <c r="J24">
        <v>0</v>
      </c>
      <c r="K24">
        <v>25</v>
      </c>
    </row>
    <row r="25" spans="1:11" x14ac:dyDescent="0.25">
      <c r="A25" t="s">
        <v>192</v>
      </c>
      <c r="B25" t="s">
        <v>232</v>
      </c>
      <c r="C25" t="s">
        <v>289</v>
      </c>
      <c r="D25" t="s">
        <v>53</v>
      </c>
      <c r="G25">
        <v>22</v>
      </c>
      <c r="H25">
        <v>74</v>
      </c>
      <c r="J25">
        <v>1</v>
      </c>
      <c r="K25">
        <v>19</v>
      </c>
    </row>
    <row r="26" spans="1:11" x14ac:dyDescent="0.25">
      <c r="A26" t="s">
        <v>192</v>
      </c>
      <c r="B26" t="s">
        <v>232</v>
      </c>
      <c r="C26" t="s">
        <v>290</v>
      </c>
      <c r="D26" t="s">
        <v>59</v>
      </c>
      <c r="G26">
        <v>18</v>
      </c>
      <c r="H26">
        <v>52</v>
      </c>
      <c r="J26">
        <v>0</v>
      </c>
      <c r="K26">
        <v>10</v>
      </c>
    </row>
    <row r="27" spans="1:11" x14ac:dyDescent="0.25">
      <c r="A27" t="s">
        <v>192</v>
      </c>
      <c r="B27" t="s">
        <v>232</v>
      </c>
      <c r="C27" t="s">
        <v>291</v>
      </c>
      <c r="D27" t="s">
        <v>60</v>
      </c>
      <c r="G27">
        <v>14</v>
      </c>
      <c r="H27">
        <v>61</v>
      </c>
      <c r="J27">
        <v>0</v>
      </c>
      <c r="K27">
        <v>10</v>
      </c>
    </row>
    <row r="28" spans="1:11" x14ac:dyDescent="0.25">
      <c r="A28" t="s">
        <v>192</v>
      </c>
      <c r="B28" t="s">
        <v>232</v>
      </c>
      <c r="C28" t="s">
        <v>292</v>
      </c>
      <c r="D28" t="s">
        <v>33</v>
      </c>
      <c r="G28">
        <v>0</v>
      </c>
      <c r="H28">
        <v>25</v>
      </c>
      <c r="J28">
        <v>1</v>
      </c>
      <c r="K28">
        <v>9</v>
      </c>
    </row>
    <row r="29" spans="1:11" x14ac:dyDescent="0.25">
      <c r="A29" t="s">
        <v>192</v>
      </c>
      <c r="B29" t="s">
        <v>232</v>
      </c>
      <c r="C29" t="s">
        <v>293</v>
      </c>
      <c r="D29" t="s">
        <v>37</v>
      </c>
      <c r="G29">
        <v>29</v>
      </c>
      <c r="H29">
        <v>162</v>
      </c>
      <c r="J29">
        <v>1</v>
      </c>
      <c r="K29">
        <v>23</v>
      </c>
    </row>
    <row r="30" spans="1:11" x14ac:dyDescent="0.25">
      <c r="A30" t="s">
        <v>192</v>
      </c>
      <c r="B30" t="s">
        <v>232</v>
      </c>
      <c r="C30" t="s">
        <v>294</v>
      </c>
      <c r="D30" t="s">
        <v>50</v>
      </c>
      <c r="G30">
        <v>34</v>
      </c>
      <c r="H30">
        <v>129</v>
      </c>
      <c r="J30">
        <v>1</v>
      </c>
      <c r="K30">
        <v>24</v>
      </c>
    </row>
    <row r="31" spans="1:11" x14ac:dyDescent="0.25">
      <c r="A31" t="s">
        <v>192</v>
      </c>
      <c r="B31" t="s">
        <v>232</v>
      </c>
      <c r="C31" t="s">
        <v>295</v>
      </c>
      <c r="D31" t="s">
        <v>39</v>
      </c>
      <c r="G31">
        <v>15</v>
      </c>
      <c r="H31">
        <v>45</v>
      </c>
      <c r="J31">
        <v>0</v>
      </c>
      <c r="K31">
        <v>14</v>
      </c>
    </row>
    <row r="32" spans="1:11" x14ac:dyDescent="0.25">
      <c r="A32" t="s">
        <v>192</v>
      </c>
      <c r="B32" t="s">
        <v>232</v>
      </c>
      <c r="C32" t="s">
        <v>296</v>
      </c>
      <c r="D32" t="s">
        <v>117</v>
      </c>
      <c r="G32">
        <v>119</v>
      </c>
      <c r="H32">
        <v>373</v>
      </c>
      <c r="J32">
        <v>0</v>
      </c>
      <c r="K32">
        <v>68</v>
      </c>
    </row>
    <row r="33" spans="1:11" x14ac:dyDescent="0.25">
      <c r="A33" t="s">
        <v>192</v>
      </c>
      <c r="B33" t="s">
        <v>232</v>
      </c>
      <c r="C33" t="s">
        <v>297</v>
      </c>
      <c r="D33" t="s">
        <v>43</v>
      </c>
      <c r="G33">
        <v>58</v>
      </c>
      <c r="H33">
        <v>208</v>
      </c>
      <c r="J33">
        <v>0</v>
      </c>
      <c r="K33">
        <v>23</v>
      </c>
    </row>
    <row r="34" spans="1:11" x14ac:dyDescent="0.25">
      <c r="A34" t="s">
        <v>192</v>
      </c>
      <c r="B34" t="s">
        <v>233</v>
      </c>
      <c r="C34" t="s">
        <v>334</v>
      </c>
      <c r="D34" t="s">
        <v>31</v>
      </c>
      <c r="E34">
        <v>1</v>
      </c>
      <c r="G34">
        <v>0</v>
      </c>
      <c r="H34">
        <v>1</v>
      </c>
      <c r="I34">
        <v>7</v>
      </c>
      <c r="J34">
        <v>6</v>
      </c>
      <c r="K34">
        <v>8</v>
      </c>
    </row>
    <row r="35" spans="1:11" x14ac:dyDescent="0.25">
      <c r="A35" t="s">
        <v>192</v>
      </c>
      <c r="B35" t="s">
        <v>233</v>
      </c>
      <c r="C35" t="s">
        <v>335</v>
      </c>
      <c r="D35" t="s">
        <v>63</v>
      </c>
      <c r="E35">
        <v>1</v>
      </c>
      <c r="G35">
        <v>0</v>
      </c>
      <c r="H35">
        <v>0</v>
      </c>
      <c r="I35">
        <v>2</v>
      </c>
      <c r="J35">
        <v>4</v>
      </c>
      <c r="K35">
        <v>8</v>
      </c>
    </row>
    <row r="36" spans="1:11" x14ac:dyDescent="0.25">
      <c r="A36" t="s">
        <v>192</v>
      </c>
      <c r="B36" t="s">
        <v>233</v>
      </c>
      <c r="C36" t="s">
        <v>337</v>
      </c>
      <c r="D36" t="s">
        <v>64</v>
      </c>
      <c r="E36">
        <v>1</v>
      </c>
      <c r="G36">
        <v>1</v>
      </c>
      <c r="H36">
        <v>1</v>
      </c>
      <c r="I36">
        <v>3</v>
      </c>
      <c r="J36">
        <v>6</v>
      </c>
      <c r="K36">
        <v>10</v>
      </c>
    </row>
    <row r="37" spans="1:11" x14ac:dyDescent="0.25">
      <c r="A37" t="s">
        <v>192</v>
      </c>
      <c r="B37" t="s">
        <v>233</v>
      </c>
      <c r="C37" t="s">
        <v>338</v>
      </c>
      <c r="D37" t="s">
        <v>36</v>
      </c>
      <c r="E37">
        <v>0</v>
      </c>
      <c r="G37">
        <v>0</v>
      </c>
      <c r="H37">
        <v>0</v>
      </c>
      <c r="I37">
        <v>2</v>
      </c>
      <c r="J37">
        <v>5</v>
      </c>
      <c r="K37">
        <v>9</v>
      </c>
    </row>
    <row r="38" spans="1:11" x14ac:dyDescent="0.25">
      <c r="A38" t="s">
        <v>192</v>
      </c>
      <c r="B38" t="s">
        <v>233</v>
      </c>
      <c r="C38" t="s">
        <v>339</v>
      </c>
      <c r="D38" t="s">
        <v>66</v>
      </c>
      <c r="E38">
        <v>1</v>
      </c>
      <c r="G38">
        <v>0</v>
      </c>
      <c r="H38">
        <v>5</v>
      </c>
      <c r="I38">
        <v>7</v>
      </c>
      <c r="J38">
        <v>0</v>
      </c>
      <c r="K38">
        <v>8</v>
      </c>
    </row>
    <row r="39" spans="1:11" x14ac:dyDescent="0.25">
      <c r="A39" t="s">
        <v>192</v>
      </c>
      <c r="B39" t="s">
        <v>233</v>
      </c>
      <c r="C39" t="s">
        <v>340</v>
      </c>
      <c r="D39" t="s">
        <v>67</v>
      </c>
      <c r="E39">
        <v>1</v>
      </c>
      <c r="G39">
        <v>0</v>
      </c>
      <c r="H39">
        <v>1</v>
      </c>
      <c r="I39">
        <v>3</v>
      </c>
      <c r="J39">
        <v>5</v>
      </c>
      <c r="K39">
        <v>2</v>
      </c>
    </row>
    <row r="40" spans="1:11" x14ac:dyDescent="0.25">
      <c r="A40" t="s">
        <v>192</v>
      </c>
      <c r="B40" t="s">
        <v>233</v>
      </c>
      <c r="C40" t="s">
        <v>341</v>
      </c>
      <c r="D40" t="s">
        <v>68</v>
      </c>
      <c r="E40">
        <v>1</v>
      </c>
      <c r="G40">
        <v>0</v>
      </c>
      <c r="H40">
        <v>0</v>
      </c>
      <c r="I40">
        <v>9</v>
      </c>
      <c r="J40">
        <v>7</v>
      </c>
      <c r="K40">
        <v>6</v>
      </c>
    </row>
    <row r="41" spans="1:11" x14ac:dyDescent="0.25">
      <c r="A41" t="s">
        <v>192</v>
      </c>
      <c r="B41" t="s">
        <v>233</v>
      </c>
      <c r="C41" t="s">
        <v>342</v>
      </c>
      <c r="D41" t="s">
        <v>165</v>
      </c>
      <c r="E41">
        <v>2</v>
      </c>
      <c r="G41">
        <v>3</v>
      </c>
      <c r="H41">
        <v>2</v>
      </c>
      <c r="I41">
        <v>9</v>
      </c>
      <c r="J41">
        <v>3</v>
      </c>
      <c r="K41">
        <v>7</v>
      </c>
    </row>
    <row r="42" spans="1:11" x14ac:dyDescent="0.25">
      <c r="A42" t="s">
        <v>192</v>
      </c>
      <c r="B42" t="s">
        <v>233</v>
      </c>
      <c r="C42" t="s">
        <v>343</v>
      </c>
      <c r="D42" t="s">
        <v>69</v>
      </c>
      <c r="E42">
        <v>1</v>
      </c>
      <c r="G42">
        <v>0</v>
      </c>
      <c r="H42">
        <v>2</v>
      </c>
      <c r="I42">
        <v>2</v>
      </c>
      <c r="J42">
        <v>2</v>
      </c>
      <c r="K42">
        <v>6</v>
      </c>
    </row>
    <row r="43" spans="1:11" x14ac:dyDescent="0.25">
      <c r="A43" t="s">
        <v>192</v>
      </c>
      <c r="B43" t="s">
        <v>233</v>
      </c>
      <c r="C43" t="s">
        <v>994</v>
      </c>
      <c r="D43" t="s">
        <v>117</v>
      </c>
      <c r="E43">
        <v>1</v>
      </c>
      <c r="G43">
        <v>0</v>
      </c>
      <c r="H43">
        <v>3</v>
      </c>
      <c r="I43">
        <v>4</v>
      </c>
      <c r="J43">
        <v>10</v>
      </c>
      <c r="K43">
        <v>10</v>
      </c>
    </row>
    <row r="44" spans="1:11" x14ac:dyDescent="0.25">
      <c r="A44" t="s">
        <v>192</v>
      </c>
      <c r="B44" t="s">
        <v>233</v>
      </c>
      <c r="C44" t="s">
        <v>344</v>
      </c>
      <c r="D44" t="s">
        <v>70</v>
      </c>
      <c r="E44">
        <v>1</v>
      </c>
      <c r="G44">
        <v>0</v>
      </c>
      <c r="H44">
        <v>0</v>
      </c>
      <c r="I44">
        <v>4</v>
      </c>
      <c r="J44">
        <v>7</v>
      </c>
      <c r="K44">
        <v>1</v>
      </c>
    </row>
    <row r="45" spans="1:11" x14ac:dyDescent="0.25">
      <c r="A45" t="s">
        <v>192</v>
      </c>
      <c r="B45" t="s">
        <v>233</v>
      </c>
      <c r="C45" t="s">
        <v>995</v>
      </c>
      <c r="D45" t="s">
        <v>50</v>
      </c>
      <c r="E45">
        <v>1</v>
      </c>
      <c r="G45">
        <v>1</v>
      </c>
      <c r="H45">
        <v>0</v>
      </c>
      <c r="I45">
        <v>2</v>
      </c>
      <c r="J45">
        <v>6</v>
      </c>
      <c r="K45">
        <v>4</v>
      </c>
    </row>
    <row r="46" spans="1:11" x14ac:dyDescent="0.25">
      <c r="A46" t="s">
        <v>192</v>
      </c>
      <c r="B46" t="s">
        <v>233</v>
      </c>
      <c r="C46" t="s">
        <v>345</v>
      </c>
      <c r="D46" t="s">
        <v>57</v>
      </c>
      <c r="E46">
        <v>1</v>
      </c>
      <c r="G46">
        <v>0</v>
      </c>
      <c r="H46">
        <v>0</v>
      </c>
      <c r="I46">
        <v>3</v>
      </c>
      <c r="J46">
        <v>4</v>
      </c>
      <c r="K46">
        <v>2</v>
      </c>
    </row>
    <row r="47" spans="1:11" x14ac:dyDescent="0.25">
      <c r="A47" t="s">
        <v>192</v>
      </c>
      <c r="B47" t="s">
        <v>233</v>
      </c>
      <c r="C47" t="s">
        <v>996</v>
      </c>
      <c r="D47" t="s">
        <v>985</v>
      </c>
      <c r="E47">
        <v>1</v>
      </c>
      <c r="G47">
        <v>0</v>
      </c>
      <c r="H47">
        <v>0</v>
      </c>
      <c r="I47">
        <v>3</v>
      </c>
      <c r="J47">
        <v>4</v>
      </c>
      <c r="K47">
        <v>0</v>
      </c>
    </row>
    <row r="48" spans="1:11" x14ac:dyDescent="0.25">
      <c r="A48" t="s">
        <v>192</v>
      </c>
      <c r="B48" t="s">
        <v>233</v>
      </c>
      <c r="C48" t="s">
        <v>346</v>
      </c>
      <c r="D48" t="s">
        <v>71</v>
      </c>
      <c r="E48">
        <v>1</v>
      </c>
      <c r="G48">
        <v>0</v>
      </c>
      <c r="H48">
        <v>0</v>
      </c>
      <c r="I48">
        <v>3</v>
      </c>
      <c r="J48">
        <v>5</v>
      </c>
      <c r="K48">
        <v>0</v>
      </c>
    </row>
    <row r="49" spans="1:11" x14ac:dyDescent="0.25">
      <c r="A49" t="s">
        <v>192</v>
      </c>
      <c r="B49" t="s">
        <v>233</v>
      </c>
      <c r="C49" t="s">
        <v>336</v>
      </c>
      <c r="D49" t="s">
        <v>65</v>
      </c>
      <c r="E49">
        <v>1</v>
      </c>
      <c r="G49">
        <v>0</v>
      </c>
      <c r="H49">
        <v>0</v>
      </c>
      <c r="I49">
        <v>3</v>
      </c>
      <c r="J49">
        <v>5</v>
      </c>
      <c r="K49">
        <v>2</v>
      </c>
    </row>
    <row r="50" spans="1:11" x14ac:dyDescent="0.25">
      <c r="A50" t="s">
        <v>192</v>
      </c>
      <c r="B50" t="s">
        <v>233</v>
      </c>
      <c r="C50" t="s">
        <v>993</v>
      </c>
      <c r="D50" t="s">
        <v>43</v>
      </c>
      <c r="E50">
        <v>1</v>
      </c>
      <c r="G50">
        <v>0</v>
      </c>
      <c r="H50">
        <v>0</v>
      </c>
      <c r="I50">
        <v>3</v>
      </c>
      <c r="J50">
        <v>6</v>
      </c>
      <c r="K50">
        <v>11</v>
      </c>
    </row>
    <row r="51" spans="1:11" x14ac:dyDescent="0.25">
      <c r="A51" t="s">
        <v>192</v>
      </c>
      <c r="B51" t="s">
        <v>234</v>
      </c>
      <c r="C51" t="s">
        <v>362</v>
      </c>
      <c r="D51" t="s">
        <v>163</v>
      </c>
      <c r="E51">
        <v>3</v>
      </c>
      <c r="F51">
        <v>1</v>
      </c>
      <c r="G51">
        <v>8</v>
      </c>
      <c r="H51">
        <v>0</v>
      </c>
      <c r="I51">
        <v>12</v>
      </c>
      <c r="J51">
        <v>8</v>
      </c>
      <c r="K51">
        <v>79</v>
      </c>
    </row>
    <row r="52" spans="1:11" x14ac:dyDescent="0.25">
      <c r="A52" t="s">
        <v>192</v>
      </c>
      <c r="B52" t="s">
        <v>234</v>
      </c>
      <c r="C52" t="s">
        <v>361</v>
      </c>
      <c r="D52" t="s">
        <v>164</v>
      </c>
      <c r="E52">
        <v>1</v>
      </c>
      <c r="F52">
        <v>1</v>
      </c>
      <c r="G52">
        <v>8</v>
      </c>
      <c r="H52">
        <v>3</v>
      </c>
      <c r="I52">
        <v>3</v>
      </c>
      <c r="J52">
        <v>15</v>
      </c>
      <c r="K52">
        <v>49</v>
      </c>
    </row>
    <row r="53" spans="1:11" x14ac:dyDescent="0.25">
      <c r="A53" t="s">
        <v>192</v>
      </c>
      <c r="B53" t="s">
        <v>234</v>
      </c>
      <c r="C53" t="s">
        <v>363</v>
      </c>
      <c r="D53" t="s">
        <v>162</v>
      </c>
      <c r="E53">
        <v>2</v>
      </c>
      <c r="F53">
        <v>1</v>
      </c>
      <c r="G53">
        <v>24</v>
      </c>
      <c r="H53">
        <v>1</v>
      </c>
      <c r="I53">
        <v>9</v>
      </c>
      <c r="J53">
        <v>10</v>
      </c>
      <c r="K53">
        <v>30</v>
      </c>
    </row>
    <row r="54" spans="1:11" x14ac:dyDescent="0.25">
      <c r="A54" t="s">
        <v>192</v>
      </c>
      <c r="B54" t="s">
        <v>235</v>
      </c>
      <c r="C54" t="s">
        <v>347</v>
      </c>
      <c r="D54" t="s">
        <v>244</v>
      </c>
      <c r="E54">
        <v>5</v>
      </c>
      <c r="F54">
        <v>6</v>
      </c>
      <c r="G54">
        <v>7</v>
      </c>
      <c r="H54">
        <v>0</v>
      </c>
      <c r="I54">
        <v>22</v>
      </c>
      <c r="J54">
        <v>5</v>
      </c>
      <c r="K54">
        <v>11</v>
      </c>
    </row>
    <row r="55" spans="1:11" x14ac:dyDescent="0.25">
      <c r="A55" t="s">
        <v>191</v>
      </c>
      <c r="B55" t="s">
        <v>232</v>
      </c>
      <c r="C55" t="s">
        <v>266</v>
      </c>
      <c r="D55" t="s">
        <v>35</v>
      </c>
      <c r="G55">
        <v>8</v>
      </c>
      <c r="H55">
        <v>25</v>
      </c>
      <c r="J55">
        <v>0</v>
      </c>
      <c r="K55">
        <v>4</v>
      </c>
    </row>
    <row r="56" spans="1:11" x14ac:dyDescent="0.25">
      <c r="A56" t="s">
        <v>191</v>
      </c>
      <c r="B56" t="s">
        <v>232</v>
      </c>
      <c r="C56" t="s">
        <v>267</v>
      </c>
      <c r="D56" t="s">
        <v>36</v>
      </c>
      <c r="G56">
        <v>11</v>
      </c>
      <c r="H56">
        <v>52</v>
      </c>
      <c r="J56">
        <v>0</v>
      </c>
      <c r="K56">
        <v>6</v>
      </c>
    </row>
    <row r="57" spans="1:11" x14ac:dyDescent="0.25">
      <c r="A57" t="s">
        <v>191</v>
      </c>
      <c r="B57" t="s">
        <v>232</v>
      </c>
      <c r="C57" t="s">
        <v>268</v>
      </c>
      <c r="D57" t="s">
        <v>38</v>
      </c>
      <c r="G57">
        <v>9</v>
      </c>
      <c r="H57">
        <v>39</v>
      </c>
      <c r="J57">
        <v>0</v>
      </c>
      <c r="K57">
        <v>8</v>
      </c>
    </row>
    <row r="58" spans="1:11" x14ac:dyDescent="0.25">
      <c r="A58" t="s">
        <v>191</v>
      </c>
      <c r="B58" t="s">
        <v>232</v>
      </c>
      <c r="C58" t="s">
        <v>269</v>
      </c>
      <c r="D58" t="s">
        <v>40</v>
      </c>
      <c r="G58">
        <v>3</v>
      </c>
      <c r="H58">
        <v>21</v>
      </c>
      <c r="J58">
        <v>0</v>
      </c>
      <c r="K58">
        <v>4</v>
      </c>
    </row>
    <row r="59" spans="1:11" x14ac:dyDescent="0.25">
      <c r="A59" t="s">
        <v>191</v>
      </c>
      <c r="B59" t="s">
        <v>232</v>
      </c>
      <c r="C59" t="s">
        <v>270</v>
      </c>
      <c r="D59" t="s">
        <v>41</v>
      </c>
      <c r="G59">
        <v>13</v>
      </c>
      <c r="H59">
        <v>35</v>
      </c>
      <c r="J59">
        <v>0</v>
      </c>
      <c r="K59">
        <v>9</v>
      </c>
    </row>
    <row r="60" spans="1:11" x14ac:dyDescent="0.25">
      <c r="A60" t="s">
        <v>191</v>
      </c>
      <c r="B60" t="s">
        <v>232</v>
      </c>
      <c r="C60" t="s">
        <v>271</v>
      </c>
      <c r="D60" t="s">
        <v>48</v>
      </c>
      <c r="G60">
        <v>0</v>
      </c>
      <c r="H60">
        <v>0</v>
      </c>
      <c r="J60">
        <v>0</v>
      </c>
      <c r="K60">
        <v>0</v>
      </c>
    </row>
    <row r="61" spans="1:11" x14ac:dyDescent="0.25">
      <c r="A61" t="s">
        <v>191</v>
      </c>
      <c r="B61" t="s">
        <v>232</v>
      </c>
      <c r="C61" t="s">
        <v>272</v>
      </c>
      <c r="D61" t="s">
        <v>42</v>
      </c>
      <c r="G61">
        <v>17</v>
      </c>
      <c r="H61">
        <v>60</v>
      </c>
      <c r="J61">
        <v>2</v>
      </c>
      <c r="K61">
        <v>15</v>
      </c>
    </row>
    <row r="62" spans="1:11" x14ac:dyDescent="0.25">
      <c r="A62" t="s">
        <v>191</v>
      </c>
      <c r="B62" t="s">
        <v>232</v>
      </c>
      <c r="C62" t="s">
        <v>273</v>
      </c>
      <c r="D62" t="s">
        <v>44</v>
      </c>
      <c r="G62">
        <v>11</v>
      </c>
      <c r="H62">
        <v>57</v>
      </c>
      <c r="J62">
        <v>1</v>
      </c>
      <c r="K62">
        <v>12</v>
      </c>
    </row>
    <row r="63" spans="1:11" x14ac:dyDescent="0.25">
      <c r="A63" t="s">
        <v>191</v>
      </c>
      <c r="B63" t="s">
        <v>232</v>
      </c>
      <c r="C63" t="s">
        <v>274</v>
      </c>
      <c r="D63" t="s">
        <v>45</v>
      </c>
      <c r="G63">
        <v>16</v>
      </c>
      <c r="H63">
        <v>49</v>
      </c>
      <c r="J63">
        <v>0</v>
      </c>
      <c r="K63">
        <v>12</v>
      </c>
    </row>
    <row r="64" spans="1:11" x14ac:dyDescent="0.25">
      <c r="A64" t="s">
        <v>191</v>
      </c>
      <c r="B64" t="s">
        <v>232</v>
      </c>
      <c r="C64" t="s">
        <v>275</v>
      </c>
      <c r="D64" t="s">
        <v>46</v>
      </c>
      <c r="G64">
        <v>4</v>
      </c>
      <c r="H64">
        <v>26</v>
      </c>
      <c r="J64">
        <v>0</v>
      </c>
      <c r="K64">
        <v>5</v>
      </c>
    </row>
    <row r="65" spans="1:11" x14ac:dyDescent="0.25">
      <c r="A65" t="s">
        <v>191</v>
      </c>
      <c r="B65" t="s">
        <v>232</v>
      </c>
      <c r="C65" t="s">
        <v>276</v>
      </c>
      <c r="D65" t="s">
        <v>47</v>
      </c>
      <c r="G65">
        <v>3</v>
      </c>
      <c r="H65">
        <v>14</v>
      </c>
      <c r="J65">
        <v>0</v>
      </c>
      <c r="K65">
        <v>4</v>
      </c>
    </row>
    <row r="66" spans="1:11" x14ac:dyDescent="0.25">
      <c r="A66" t="s">
        <v>191</v>
      </c>
      <c r="B66" t="s">
        <v>232</v>
      </c>
      <c r="C66" t="s">
        <v>277</v>
      </c>
      <c r="D66" t="s">
        <v>49</v>
      </c>
      <c r="G66">
        <v>14</v>
      </c>
      <c r="H66">
        <v>50</v>
      </c>
      <c r="J66">
        <v>0</v>
      </c>
      <c r="K66">
        <v>14</v>
      </c>
    </row>
    <row r="67" spans="1:11" x14ac:dyDescent="0.25">
      <c r="A67" t="s">
        <v>191</v>
      </c>
      <c r="B67" t="s">
        <v>232</v>
      </c>
      <c r="C67" t="s">
        <v>278</v>
      </c>
      <c r="D67" t="s">
        <v>51</v>
      </c>
      <c r="G67">
        <v>0</v>
      </c>
      <c r="H67">
        <v>0</v>
      </c>
      <c r="J67">
        <v>0</v>
      </c>
      <c r="K67">
        <v>0</v>
      </c>
    </row>
    <row r="68" spans="1:11" x14ac:dyDescent="0.25">
      <c r="A68" t="s">
        <v>191</v>
      </c>
      <c r="B68" t="s">
        <v>232</v>
      </c>
      <c r="C68" t="s">
        <v>279</v>
      </c>
      <c r="D68" t="s">
        <v>52</v>
      </c>
      <c r="G68">
        <v>16</v>
      </c>
      <c r="H68">
        <v>58</v>
      </c>
      <c r="J68">
        <v>1</v>
      </c>
      <c r="K68">
        <v>11</v>
      </c>
    </row>
    <row r="69" spans="1:11" x14ac:dyDescent="0.25">
      <c r="A69" t="s">
        <v>191</v>
      </c>
      <c r="B69" t="s">
        <v>232</v>
      </c>
      <c r="C69" t="s">
        <v>280</v>
      </c>
      <c r="D69" t="s">
        <v>54</v>
      </c>
      <c r="G69">
        <v>11</v>
      </c>
      <c r="H69">
        <v>51</v>
      </c>
      <c r="J69">
        <v>0</v>
      </c>
      <c r="K69">
        <v>11</v>
      </c>
    </row>
    <row r="70" spans="1:11" x14ac:dyDescent="0.25">
      <c r="A70" t="s">
        <v>191</v>
      </c>
      <c r="B70" t="s">
        <v>232</v>
      </c>
      <c r="C70" t="s">
        <v>281</v>
      </c>
      <c r="D70" t="s">
        <v>55</v>
      </c>
      <c r="G70">
        <v>0</v>
      </c>
      <c r="H70">
        <v>0</v>
      </c>
      <c r="J70">
        <v>0</v>
      </c>
      <c r="K70">
        <v>0</v>
      </c>
    </row>
    <row r="71" spans="1:11" x14ac:dyDescent="0.25">
      <c r="A71" t="s">
        <v>191</v>
      </c>
      <c r="B71" t="s">
        <v>232</v>
      </c>
      <c r="C71" t="s">
        <v>282</v>
      </c>
      <c r="D71" t="s">
        <v>56</v>
      </c>
      <c r="G71">
        <v>9</v>
      </c>
      <c r="H71">
        <v>43</v>
      </c>
      <c r="J71">
        <v>0</v>
      </c>
      <c r="K71">
        <v>8</v>
      </c>
    </row>
    <row r="72" spans="1:11" x14ac:dyDescent="0.25">
      <c r="A72" t="s">
        <v>191</v>
      </c>
      <c r="B72" t="s">
        <v>232</v>
      </c>
      <c r="C72" t="s">
        <v>283</v>
      </c>
      <c r="D72" t="s">
        <v>57</v>
      </c>
      <c r="G72">
        <v>35</v>
      </c>
      <c r="H72">
        <v>126</v>
      </c>
      <c r="J72">
        <v>2</v>
      </c>
      <c r="K72">
        <v>24</v>
      </c>
    </row>
    <row r="73" spans="1:11" x14ac:dyDescent="0.25">
      <c r="A73" t="s">
        <v>191</v>
      </c>
      <c r="B73" t="s">
        <v>232</v>
      </c>
      <c r="C73" t="s">
        <v>284</v>
      </c>
      <c r="D73" t="s">
        <v>58</v>
      </c>
      <c r="G73">
        <v>10</v>
      </c>
      <c r="H73">
        <v>37</v>
      </c>
      <c r="J73">
        <v>0</v>
      </c>
      <c r="K73">
        <v>8</v>
      </c>
    </row>
    <row r="74" spans="1:11" x14ac:dyDescent="0.25">
      <c r="A74" t="s">
        <v>191</v>
      </c>
      <c r="B74" t="s">
        <v>232</v>
      </c>
      <c r="C74" t="s">
        <v>285</v>
      </c>
      <c r="D74" t="s">
        <v>31</v>
      </c>
      <c r="G74">
        <v>25</v>
      </c>
      <c r="H74">
        <v>122</v>
      </c>
      <c r="J74">
        <v>0</v>
      </c>
      <c r="K74">
        <v>26</v>
      </c>
    </row>
    <row r="75" spans="1:11" x14ac:dyDescent="0.25">
      <c r="A75" t="s">
        <v>191</v>
      </c>
      <c r="B75" t="s">
        <v>232</v>
      </c>
      <c r="C75" t="s">
        <v>286</v>
      </c>
      <c r="D75" t="s">
        <v>32</v>
      </c>
      <c r="G75">
        <v>3</v>
      </c>
      <c r="H75">
        <v>18</v>
      </c>
      <c r="J75">
        <v>0</v>
      </c>
      <c r="K75">
        <v>2</v>
      </c>
    </row>
    <row r="76" spans="1:11" x14ac:dyDescent="0.25">
      <c r="A76" t="s">
        <v>191</v>
      </c>
      <c r="B76" t="s">
        <v>232</v>
      </c>
      <c r="C76" t="s">
        <v>287</v>
      </c>
      <c r="D76" t="s">
        <v>34</v>
      </c>
      <c r="G76">
        <v>10</v>
      </c>
      <c r="H76">
        <v>27</v>
      </c>
      <c r="J76">
        <v>2</v>
      </c>
      <c r="K76">
        <v>15</v>
      </c>
    </row>
    <row r="77" spans="1:11" x14ac:dyDescent="0.25">
      <c r="A77" t="s">
        <v>191</v>
      </c>
      <c r="B77" t="s">
        <v>232</v>
      </c>
      <c r="C77" t="s">
        <v>288</v>
      </c>
      <c r="D77" t="s">
        <v>243</v>
      </c>
      <c r="G77">
        <v>64</v>
      </c>
      <c r="H77">
        <v>257</v>
      </c>
      <c r="J77">
        <v>1</v>
      </c>
      <c r="K77">
        <v>26</v>
      </c>
    </row>
    <row r="78" spans="1:11" x14ac:dyDescent="0.25">
      <c r="A78" t="s">
        <v>191</v>
      </c>
      <c r="B78" t="s">
        <v>232</v>
      </c>
      <c r="C78" t="s">
        <v>289</v>
      </c>
      <c r="D78" t="s">
        <v>53</v>
      </c>
      <c r="G78">
        <v>23</v>
      </c>
      <c r="H78">
        <v>72</v>
      </c>
      <c r="J78">
        <v>0</v>
      </c>
      <c r="K78">
        <v>20</v>
      </c>
    </row>
    <row r="79" spans="1:11" x14ac:dyDescent="0.25">
      <c r="A79" t="s">
        <v>191</v>
      </c>
      <c r="B79" t="s">
        <v>232</v>
      </c>
      <c r="C79" t="s">
        <v>290</v>
      </c>
      <c r="D79" t="s">
        <v>59</v>
      </c>
      <c r="G79">
        <v>20</v>
      </c>
      <c r="H79">
        <v>45</v>
      </c>
      <c r="J79">
        <v>0</v>
      </c>
      <c r="K79">
        <v>9</v>
      </c>
    </row>
    <row r="80" spans="1:11" x14ac:dyDescent="0.25">
      <c r="A80" t="s">
        <v>191</v>
      </c>
      <c r="B80" t="s">
        <v>232</v>
      </c>
      <c r="C80" t="s">
        <v>291</v>
      </c>
      <c r="D80" t="s">
        <v>60</v>
      </c>
      <c r="G80">
        <v>9</v>
      </c>
      <c r="H80">
        <v>59</v>
      </c>
      <c r="J80">
        <v>1</v>
      </c>
      <c r="K80">
        <v>10</v>
      </c>
    </row>
    <row r="81" spans="1:11" x14ac:dyDescent="0.25">
      <c r="A81" t="s">
        <v>191</v>
      </c>
      <c r="B81" t="s">
        <v>232</v>
      </c>
      <c r="C81" t="s">
        <v>292</v>
      </c>
      <c r="D81" t="s">
        <v>33</v>
      </c>
      <c r="G81">
        <v>0</v>
      </c>
      <c r="H81">
        <v>22</v>
      </c>
      <c r="J81">
        <v>1</v>
      </c>
      <c r="K81">
        <v>4</v>
      </c>
    </row>
    <row r="82" spans="1:11" x14ac:dyDescent="0.25">
      <c r="A82" t="s">
        <v>191</v>
      </c>
      <c r="B82" t="s">
        <v>232</v>
      </c>
      <c r="C82" t="s">
        <v>293</v>
      </c>
      <c r="D82" t="s">
        <v>37</v>
      </c>
      <c r="G82">
        <v>27</v>
      </c>
      <c r="H82">
        <v>158</v>
      </c>
      <c r="J82">
        <v>1</v>
      </c>
      <c r="K82">
        <v>21</v>
      </c>
    </row>
    <row r="83" spans="1:11" x14ac:dyDescent="0.25">
      <c r="A83" t="s">
        <v>191</v>
      </c>
      <c r="B83" t="s">
        <v>232</v>
      </c>
      <c r="C83" t="s">
        <v>294</v>
      </c>
      <c r="D83" t="s">
        <v>50</v>
      </c>
      <c r="G83">
        <v>37</v>
      </c>
      <c r="H83">
        <v>125</v>
      </c>
      <c r="J83">
        <v>1</v>
      </c>
      <c r="K83">
        <v>24</v>
      </c>
    </row>
    <row r="84" spans="1:11" x14ac:dyDescent="0.25">
      <c r="A84" t="s">
        <v>191</v>
      </c>
      <c r="B84" t="s">
        <v>232</v>
      </c>
      <c r="C84" t="s">
        <v>295</v>
      </c>
      <c r="D84" t="s">
        <v>39</v>
      </c>
      <c r="G84">
        <v>14</v>
      </c>
      <c r="H84">
        <v>44</v>
      </c>
      <c r="J84">
        <v>0</v>
      </c>
      <c r="K84">
        <v>14</v>
      </c>
    </row>
    <row r="85" spans="1:11" x14ac:dyDescent="0.25">
      <c r="A85" t="s">
        <v>191</v>
      </c>
      <c r="B85" t="s">
        <v>232</v>
      </c>
      <c r="C85" t="s">
        <v>296</v>
      </c>
      <c r="D85" t="s">
        <v>117</v>
      </c>
      <c r="G85">
        <v>116</v>
      </c>
      <c r="H85">
        <v>362</v>
      </c>
      <c r="J85">
        <v>1</v>
      </c>
      <c r="K85">
        <v>65</v>
      </c>
    </row>
    <row r="86" spans="1:11" x14ac:dyDescent="0.25">
      <c r="A86" t="s">
        <v>191</v>
      </c>
      <c r="B86" t="s">
        <v>232</v>
      </c>
      <c r="C86" t="s">
        <v>297</v>
      </c>
      <c r="D86" t="s">
        <v>43</v>
      </c>
      <c r="G86">
        <v>54</v>
      </c>
      <c r="H86">
        <v>209</v>
      </c>
      <c r="J86">
        <v>0</v>
      </c>
      <c r="K86">
        <v>25</v>
      </c>
    </row>
    <row r="87" spans="1:11" x14ac:dyDescent="0.25">
      <c r="A87" t="s">
        <v>191</v>
      </c>
      <c r="B87" t="s">
        <v>233</v>
      </c>
      <c r="C87" t="s">
        <v>334</v>
      </c>
      <c r="D87" t="s">
        <v>31</v>
      </c>
      <c r="E87">
        <v>1</v>
      </c>
      <c r="G87">
        <v>0</v>
      </c>
      <c r="H87">
        <v>0</v>
      </c>
      <c r="I87">
        <v>3</v>
      </c>
      <c r="J87">
        <v>7</v>
      </c>
      <c r="K87">
        <v>7</v>
      </c>
    </row>
    <row r="88" spans="1:11" x14ac:dyDescent="0.25">
      <c r="A88" t="s">
        <v>191</v>
      </c>
      <c r="B88" t="s">
        <v>233</v>
      </c>
      <c r="C88" t="s">
        <v>335</v>
      </c>
      <c r="D88" t="s">
        <v>63</v>
      </c>
      <c r="E88">
        <v>1</v>
      </c>
      <c r="G88">
        <v>0</v>
      </c>
      <c r="H88">
        <v>2</v>
      </c>
      <c r="I88">
        <v>1</v>
      </c>
      <c r="J88">
        <v>4</v>
      </c>
      <c r="K88">
        <v>10</v>
      </c>
    </row>
    <row r="89" spans="1:11" x14ac:dyDescent="0.25">
      <c r="A89" t="s">
        <v>191</v>
      </c>
      <c r="B89" t="s">
        <v>233</v>
      </c>
      <c r="C89" t="s">
        <v>337</v>
      </c>
      <c r="D89" t="s">
        <v>64</v>
      </c>
      <c r="E89">
        <v>1</v>
      </c>
      <c r="G89">
        <v>0</v>
      </c>
      <c r="H89">
        <v>1</v>
      </c>
      <c r="I89">
        <v>7</v>
      </c>
      <c r="J89">
        <v>5</v>
      </c>
      <c r="K89">
        <v>7</v>
      </c>
    </row>
    <row r="90" spans="1:11" x14ac:dyDescent="0.25">
      <c r="A90" t="s">
        <v>191</v>
      </c>
      <c r="B90" t="s">
        <v>233</v>
      </c>
      <c r="C90" t="s">
        <v>338</v>
      </c>
      <c r="D90" t="s">
        <v>36</v>
      </c>
      <c r="E90">
        <v>0</v>
      </c>
      <c r="G90">
        <v>0</v>
      </c>
      <c r="H90">
        <v>1</v>
      </c>
      <c r="I90">
        <v>2</v>
      </c>
      <c r="J90">
        <v>5</v>
      </c>
      <c r="K90">
        <v>10</v>
      </c>
    </row>
    <row r="91" spans="1:11" x14ac:dyDescent="0.25">
      <c r="A91" t="s">
        <v>191</v>
      </c>
      <c r="B91" t="s">
        <v>233</v>
      </c>
      <c r="C91" t="s">
        <v>339</v>
      </c>
      <c r="D91" t="s">
        <v>66</v>
      </c>
      <c r="E91">
        <v>1</v>
      </c>
      <c r="G91">
        <v>0</v>
      </c>
      <c r="H91">
        <v>0</v>
      </c>
      <c r="I91">
        <v>7</v>
      </c>
      <c r="J91">
        <v>7</v>
      </c>
      <c r="K91">
        <v>5</v>
      </c>
    </row>
    <row r="92" spans="1:11" x14ac:dyDescent="0.25">
      <c r="A92" t="s">
        <v>191</v>
      </c>
      <c r="B92" t="s">
        <v>233</v>
      </c>
      <c r="C92" t="s">
        <v>340</v>
      </c>
      <c r="D92" t="s">
        <v>67</v>
      </c>
      <c r="E92">
        <v>1</v>
      </c>
      <c r="G92">
        <v>0</v>
      </c>
      <c r="H92">
        <v>4</v>
      </c>
      <c r="I92">
        <v>5</v>
      </c>
      <c r="J92">
        <v>1</v>
      </c>
      <c r="K92">
        <v>6</v>
      </c>
    </row>
    <row r="93" spans="1:11" x14ac:dyDescent="0.25">
      <c r="A93" t="s">
        <v>191</v>
      </c>
      <c r="B93" t="s">
        <v>233</v>
      </c>
      <c r="C93" t="s">
        <v>341</v>
      </c>
      <c r="D93" t="s">
        <v>68</v>
      </c>
      <c r="E93">
        <v>1</v>
      </c>
      <c r="G93">
        <v>0</v>
      </c>
      <c r="H93">
        <v>0</v>
      </c>
      <c r="I93">
        <v>3</v>
      </c>
      <c r="J93">
        <v>5</v>
      </c>
      <c r="K93">
        <v>3</v>
      </c>
    </row>
    <row r="94" spans="1:11" x14ac:dyDescent="0.25">
      <c r="A94" t="s">
        <v>191</v>
      </c>
      <c r="B94" t="s">
        <v>233</v>
      </c>
      <c r="C94" t="s">
        <v>342</v>
      </c>
      <c r="D94" t="s">
        <v>165</v>
      </c>
      <c r="E94">
        <v>2</v>
      </c>
      <c r="G94">
        <v>2</v>
      </c>
      <c r="H94">
        <v>2</v>
      </c>
      <c r="I94">
        <v>8</v>
      </c>
      <c r="J94">
        <v>4</v>
      </c>
      <c r="K94">
        <v>6</v>
      </c>
    </row>
    <row r="95" spans="1:11" x14ac:dyDescent="0.25">
      <c r="A95" t="s">
        <v>191</v>
      </c>
      <c r="B95" t="s">
        <v>233</v>
      </c>
      <c r="C95" t="s">
        <v>343</v>
      </c>
      <c r="D95" t="s">
        <v>69</v>
      </c>
      <c r="E95">
        <v>1</v>
      </c>
      <c r="G95">
        <v>0</v>
      </c>
      <c r="H95">
        <v>1</v>
      </c>
      <c r="I95">
        <v>3</v>
      </c>
      <c r="J95">
        <v>3</v>
      </c>
      <c r="K95">
        <v>5</v>
      </c>
    </row>
    <row r="96" spans="1:11" x14ac:dyDescent="0.25">
      <c r="A96" t="s">
        <v>191</v>
      </c>
      <c r="B96" t="s">
        <v>233</v>
      </c>
      <c r="C96" t="s">
        <v>994</v>
      </c>
      <c r="D96" t="s">
        <v>117</v>
      </c>
      <c r="E96">
        <v>1</v>
      </c>
      <c r="G96">
        <v>1</v>
      </c>
      <c r="H96">
        <v>2</v>
      </c>
      <c r="I96">
        <v>4</v>
      </c>
      <c r="J96">
        <v>8</v>
      </c>
      <c r="K96">
        <v>9</v>
      </c>
    </row>
    <row r="97" spans="1:11" x14ac:dyDescent="0.25">
      <c r="A97" t="s">
        <v>191</v>
      </c>
      <c r="B97" t="s">
        <v>233</v>
      </c>
      <c r="C97" t="s">
        <v>344</v>
      </c>
      <c r="D97" t="s">
        <v>70</v>
      </c>
      <c r="E97">
        <v>1</v>
      </c>
      <c r="G97">
        <v>0</v>
      </c>
      <c r="H97">
        <v>0</v>
      </c>
      <c r="I97">
        <v>6</v>
      </c>
      <c r="J97">
        <v>5</v>
      </c>
      <c r="K97">
        <v>1</v>
      </c>
    </row>
    <row r="98" spans="1:11" x14ac:dyDescent="0.25">
      <c r="A98" t="s">
        <v>191</v>
      </c>
      <c r="B98" t="s">
        <v>233</v>
      </c>
      <c r="C98" t="s">
        <v>995</v>
      </c>
      <c r="D98" t="s">
        <v>50</v>
      </c>
      <c r="E98">
        <v>2</v>
      </c>
      <c r="G98">
        <v>1</v>
      </c>
      <c r="H98">
        <v>1</v>
      </c>
      <c r="I98">
        <v>3</v>
      </c>
      <c r="J98">
        <v>5</v>
      </c>
      <c r="K98">
        <v>4</v>
      </c>
    </row>
    <row r="99" spans="1:11" x14ac:dyDescent="0.25">
      <c r="A99" t="s">
        <v>191</v>
      </c>
      <c r="B99" t="s">
        <v>233</v>
      </c>
      <c r="C99" t="s">
        <v>345</v>
      </c>
      <c r="D99" t="s">
        <v>57</v>
      </c>
      <c r="E99">
        <v>1</v>
      </c>
      <c r="G99">
        <v>0</v>
      </c>
      <c r="H99">
        <v>0</v>
      </c>
      <c r="I99">
        <v>4</v>
      </c>
      <c r="J99">
        <v>2</v>
      </c>
      <c r="K99">
        <v>3</v>
      </c>
    </row>
    <row r="100" spans="1:11" x14ac:dyDescent="0.25">
      <c r="A100" t="s">
        <v>191</v>
      </c>
      <c r="B100" t="s">
        <v>233</v>
      </c>
      <c r="C100" t="s">
        <v>996</v>
      </c>
      <c r="D100" t="s">
        <v>985</v>
      </c>
      <c r="E100">
        <v>0</v>
      </c>
      <c r="G100">
        <v>0</v>
      </c>
      <c r="H100">
        <v>0</v>
      </c>
      <c r="I100">
        <v>1</v>
      </c>
      <c r="J100">
        <v>4</v>
      </c>
      <c r="K100">
        <v>0</v>
      </c>
    </row>
    <row r="101" spans="1:11" x14ac:dyDescent="0.25">
      <c r="A101" t="s">
        <v>191</v>
      </c>
      <c r="B101" t="s">
        <v>233</v>
      </c>
      <c r="C101" t="s">
        <v>346</v>
      </c>
      <c r="D101" t="s">
        <v>71</v>
      </c>
      <c r="E101">
        <v>1</v>
      </c>
      <c r="G101">
        <v>0</v>
      </c>
      <c r="H101">
        <v>0</v>
      </c>
      <c r="I101">
        <v>3</v>
      </c>
      <c r="J101">
        <v>3</v>
      </c>
      <c r="K101">
        <v>0</v>
      </c>
    </row>
    <row r="102" spans="1:11" x14ac:dyDescent="0.25">
      <c r="A102" t="s">
        <v>191</v>
      </c>
      <c r="B102" t="s">
        <v>233</v>
      </c>
      <c r="C102" t="s">
        <v>336</v>
      </c>
      <c r="D102" t="s">
        <v>65</v>
      </c>
      <c r="E102">
        <v>1</v>
      </c>
      <c r="G102">
        <v>0</v>
      </c>
      <c r="H102">
        <v>0</v>
      </c>
      <c r="I102">
        <v>3</v>
      </c>
      <c r="J102">
        <v>5</v>
      </c>
      <c r="K102">
        <v>3</v>
      </c>
    </row>
    <row r="103" spans="1:11" x14ac:dyDescent="0.25">
      <c r="A103" t="s">
        <v>191</v>
      </c>
      <c r="B103" t="s">
        <v>233</v>
      </c>
      <c r="C103" t="s">
        <v>993</v>
      </c>
      <c r="D103" t="s">
        <v>43</v>
      </c>
      <c r="E103">
        <v>2</v>
      </c>
      <c r="G103">
        <v>0</v>
      </c>
      <c r="H103">
        <v>0</v>
      </c>
      <c r="I103">
        <v>2</v>
      </c>
      <c r="J103">
        <v>6</v>
      </c>
      <c r="K103">
        <v>11</v>
      </c>
    </row>
    <row r="104" spans="1:11" x14ac:dyDescent="0.25">
      <c r="A104" t="s">
        <v>191</v>
      </c>
      <c r="B104" t="s">
        <v>234</v>
      </c>
      <c r="C104" t="s">
        <v>362</v>
      </c>
      <c r="D104" t="s">
        <v>163</v>
      </c>
      <c r="E104">
        <v>2</v>
      </c>
      <c r="G104">
        <v>9</v>
      </c>
      <c r="H104">
        <v>0</v>
      </c>
      <c r="I104">
        <v>15</v>
      </c>
      <c r="J104">
        <v>4</v>
      </c>
      <c r="K104">
        <v>75</v>
      </c>
    </row>
    <row r="105" spans="1:11" x14ac:dyDescent="0.25">
      <c r="A105" t="s">
        <v>191</v>
      </c>
      <c r="B105" t="s">
        <v>234</v>
      </c>
      <c r="C105" t="s">
        <v>361</v>
      </c>
      <c r="D105" t="s">
        <v>164</v>
      </c>
      <c r="E105">
        <v>1</v>
      </c>
      <c r="G105">
        <v>4</v>
      </c>
      <c r="H105">
        <v>6</v>
      </c>
      <c r="I105">
        <v>4</v>
      </c>
      <c r="J105">
        <v>17</v>
      </c>
      <c r="K105">
        <v>46</v>
      </c>
    </row>
    <row r="106" spans="1:11" x14ac:dyDescent="0.25">
      <c r="A106" t="s">
        <v>191</v>
      </c>
      <c r="B106" t="s">
        <v>234</v>
      </c>
      <c r="C106" t="s">
        <v>363</v>
      </c>
      <c r="D106" t="s">
        <v>162</v>
      </c>
      <c r="E106">
        <v>1</v>
      </c>
      <c r="G106">
        <v>21</v>
      </c>
      <c r="H106">
        <v>1</v>
      </c>
      <c r="I106">
        <v>7</v>
      </c>
      <c r="J106">
        <v>10</v>
      </c>
      <c r="K106">
        <v>26</v>
      </c>
    </row>
    <row r="107" spans="1:11" x14ac:dyDescent="0.25">
      <c r="A107" t="s">
        <v>191</v>
      </c>
      <c r="B107" t="s">
        <v>235</v>
      </c>
      <c r="C107" t="s">
        <v>347</v>
      </c>
      <c r="D107" t="s">
        <v>244</v>
      </c>
      <c r="E107">
        <v>11</v>
      </c>
      <c r="F107">
        <v>7</v>
      </c>
      <c r="G107">
        <v>4</v>
      </c>
      <c r="H107">
        <v>1</v>
      </c>
      <c r="I107">
        <v>12</v>
      </c>
      <c r="J107">
        <v>6</v>
      </c>
      <c r="K107">
        <v>11</v>
      </c>
    </row>
    <row r="108" spans="1:11" x14ac:dyDescent="0.25">
      <c r="A108" t="s">
        <v>190</v>
      </c>
      <c r="B108" t="s">
        <v>232</v>
      </c>
      <c r="C108" t="s">
        <v>266</v>
      </c>
      <c r="D108" t="s">
        <v>35</v>
      </c>
      <c r="G108">
        <v>5</v>
      </c>
      <c r="H108">
        <v>17</v>
      </c>
      <c r="J108">
        <v>0</v>
      </c>
      <c r="K108">
        <v>4</v>
      </c>
    </row>
    <row r="109" spans="1:11" x14ac:dyDescent="0.25">
      <c r="A109" t="s">
        <v>190</v>
      </c>
      <c r="B109" t="s">
        <v>232</v>
      </c>
      <c r="C109" t="s">
        <v>267</v>
      </c>
      <c r="D109" t="s">
        <v>36</v>
      </c>
      <c r="G109">
        <v>14</v>
      </c>
      <c r="H109">
        <v>48</v>
      </c>
      <c r="J109">
        <v>0</v>
      </c>
      <c r="K109">
        <v>3</v>
      </c>
    </row>
    <row r="110" spans="1:11" x14ac:dyDescent="0.25">
      <c r="A110" t="s">
        <v>190</v>
      </c>
      <c r="B110" t="s">
        <v>232</v>
      </c>
      <c r="C110" t="s">
        <v>268</v>
      </c>
      <c r="D110" t="s">
        <v>38</v>
      </c>
      <c r="G110">
        <v>7</v>
      </c>
      <c r="H110">
        <v>41</v>
      </c>
      <c r="J110">
        <v>0</v>
      </c>
      <c r="K110">
        <v>5</v>
      </c>
    </row>
    <row r="111" spans="1:11" x14ac:dyDescent="0.25">
      <c r="A111" t="s">
        <v>190</v>
      </c>
      <c r="B111" t="s">
        <v>232</v>
      </c>
      <c r="C111" t="s">
        <v>269</v>
      </c>
      <c r="D111" t="s">
        <v>40</v>
      </c>
      <c r="G111">
        <v>4</v>
      </c>
      <c r="H111">
        <v>19</v>
      </c>
      <c r="J111">
        <v>0</v>
      </c>
      <c r="K111">
        <v>4</v>
      </c>
    </row>
    <row r="112" spans="1:11" x14ac:dyDescent="0.25">
      <c r="A112" t="s">
        <v>190</v>
      </c>
      <c r="B112" t="s">
        <v>232</v>
      </c>
      <c r="C112" t="s">
        <v>270</v>
      </c>
      <c r="D112" t="s">
        <v>41</v>
      </c>
      <c r="G112">
        <v>10</v>
      </c>
      <c r="H112">
        <v>34</v>
      </c>
      <c r="J112">
        <v>0</v>
      </c>
      <c r="K112">
        <v>9</v>
      </c>
    </row>
    <row r="113" spans="1:11" x14ac:dyDescent="0.25">
      <c r="A113" t="s">
        <v>190</v>
      </c>
      <c r="B113" t="s">
        <v>232</v>
      </c>
      <c r="C113" t="s">
        <v>271</v>
      </c>
      <c r="D113" t="s">
        <v>48</v>
      </c>
      <c r="G113">
        <v>0</v>
      </c>
      <c r="H113">
        <v>0</v>
      </c>
      <c r="J113">
        <v>0</v>
      </c>
      <c r="K113">
        <v>0</v>
      </c>
    </row>
    <row r="114" spans="1:11" x14ac:dyDescent="0.25">
      <c r="A114" t="s">
        <v>190</v>
      </c>
      <c r="B114" t="s">
        <v>232</v>
      </c>
      <c r="C114" t="s">
        <v>272</v>
      </c>
      <c r="D114" t="s">
        <v>42</v>
      </c>
      <c r="G114">
        <v>17</v>
      </c>
      <c r="H114">
        <v>66</v>
      </c>
      <c r="J114">
        <v>0</v>
      </c>
      <c r="K114">
        <v>12</v>
      </c>
    </row>
    <row r="115" spans="1:11" x14ac:dyDescent="0.25">
      <c r="A115" t="s">
        <v>190</v>
      </c>
      <c r="B115" t="s">
        <v>232</v>
      </c>
      <c r="C115" t="s">
        <v>273</v>
      </c>
      <c r="D115" t="s">
        <v>44</v>
      </c>
      <c r="G115">
        <v>11</v>
      </c>
      <c r="H115">
        <v>53</v>
      </c>
      <c r="J115">
        <v>0</v>
      </c>
      <c r="K115">
        <v>4</v>
      </c>
    </row>
    <row r="116" spans="1:11" x14ac:dyDescent="0.25">
      <c r="A116" t="s">
        <v>190</v>
      </c>
      <c r="B116" t="s">
        <v>232</v>
      </c>
      <c r="C116" t="s">
        <v>274</v>
      </c>
      <c r="D116" t="s">
        <v>45</v>
      </c>
      <c r="G116">
        <v>12</v>
      </c>
      <c r="H116">
        <v>48</v>
      </c>
      <c r="J116">
        <v>1</v>
      </c>
      <c r="K116">
        <v>9</v>
      </c>
    </row>
    <row r="117" spans="1:11" x14ac:dyDescent="0.25">
      <c r="A117" t="s">
        <v>190</v>
      </c>
      <c r="B117" t="s">
        <v>232</v>
      </c>
      <c r="C117" t="s">
        <v>275</v>
      </c>
      <c r="D117" t="s">
        <v>46</v>
      </c>
      <c r="G117">
        <v>4</v>
      </c>
      <c r="H117">
        <v>16</v>
      </c>
      <c r="J117">
        <v>0</v>
      </c>
      <c r="K117">
        <v>3</v>
      </c>
    </row>
    <row r="118" spans="1:11" x14ac:dyDescent="0.25">
      <c r="A118" t="s">
        <v>190</v>
      </c>
      <c r="B118" t="s">
        <v>232</v>
      </c>
      <c r="C118" t="s">
        <v>276</v>
      </c>
      <c r="D118" t="s">
        <v>47</v>
      </c>
      <c r="G118">
        <v>5</v>
      </c>
      <c r="H118">
        <v>21</v>
      </c>
      <c r="J118">
        <v>0</v>
      </c>
      <c r="K118">
        <v>5</v>
      </c>
    </row>
    <row r="119" spans="1:11" x14ac:dyDescent="0.25">
      <c r="A119" t="s">
        <v>190</v>
      </c>
      <c r="B119" t="s">
        <v>232</v>
      </c>
      <c r="C119" t="s">
        <v>277</v>
      </c>
      <c r="D119" t="s">
        <v>49</v>
      </c>
      <c r="G119">
        <v>14</v>
      </c>
      <c r="H119">
        <v>52</v>
      </c>
      <c r="J119">
        <v>0</v>
      </c>
      <c r="K119">
        <v>12</v>
      </c>
    </row>
    <row r="120" spans="1:11" x14ac:dyDescent="0.25">
      <c r="A120" t="s">
        <v>190</v>
      </c>
      <c r="B120" t="s">
        <v>232</v>
      </c>
      <c r="C120" t="s">
        <v>278</v>
      </c>
      <c r="D120" t="s">
        <v>51</v>
      </c>
      <c r="G120">
        <v>0</v>
      </c>
      <c r="H120">
        <v>0</v>
      </c>
      <c r="J120">
        <v>0</v>
      </c>
      <c r="K120">
        <v>0</v>
      </c>
    </row>
    <row r="121" spans="1:11" x14ac:dyDescent="0.25">
      <c r="A121" t="s">
        <v>190</v>
      </c>
      <c r="B121" t="s">
        <v>232</v>
      </c>
      <c r="C121" t="s">
        <v>279</v>
      </c>
      <c r="D121" t="s">
        <v>52</v>
      </c>
      <c r="G121">
        <v>13</v>
      </c>
      <c r="H121">
        <v>56</v>
      </c>
      <c r="J121">
        <v>0</v>
      </c>
      <c r="K121">
        <v>4</v>
      </c>
    </row>
    <row r="122" spans="1:11" x14ac:dyDescent="0.25">
      <c r="A122" t="s">
        <v>190</v>
      </c>
      <c r="B122" t="s">
        <v>232</v>
      </c>
      <c r="C122" t="s">
        <v>280</v>
      </c>
      <c r="D122" t="s">
        <v>54</v>
      </c>
      <c r="G122">
        <v>12</v>
      </c>
      <c r="H122">
        <v>50</v>
      </c>
      <c r="J122">
        <v>0</v>
      </c>
      <c r="K122">
        <v>9</v>
      </c>
    </row>
    <row r="123" spans="1:11" x14ac:dyDescent="0.25">
      <c r="A123" t="s">
        <v>190</v>
      </c>
      <c r="B123" t="s">
        <v>232</v>
      </c>
      <c r="C123" t="s">
        <v>281</v>
      </c>
      <c r="D123" t="s">
        <v>55</v>
      </c>
      <c r="G123">
        <v>0</v>
      </c>
      <c r="H123">
        <v>0</v>
      </c>
      <c r="J123">
        <v>0</v>
      </c>
      <c r="K123">
        <v>0</v>
      </c>
    </row>
    <row r="124" spans="1:11" x14ac:dyDescent="0.25">
      <c r="A124" t="s">
        <v>190</v>
      </c>
      <c r="B124" t="s">
        <v>232</v>
      </c>
      <c r="C124" t="s">
        <v>282</v>
      </c>
      <c r="D124" t="s">
        <v>56</v>
      </c>
      <c r="G124">
        <v>10</v>
      </c>
      <c r="H124">
        <v>40</v>
      </c>
      <c r="J124">
        <v>0</v>
      </c>
      <c r="K124">
        <v>5</v>
      </c>
    </row>
    <row r="125" spans="1:11" x14ac:dyDescent="0.25">
      <c r="A125" t="s">
        <v>190</v>
      </c>
      <c r="B125" t="s">
        <v>232</v>
      </c>
      <c r="C125" t="s">
        <v>283</v>
      </c>
      <c r="D125" t="s">
        <v>57</v>
      </c>
      <c r="G125">
        <v>28</v>
      </c>
      <c r="H125">
        <v>132</v>
      </c>
      <c r="J125">
        <v>0</v>
      </c>
      <c r="K125">
        <v>18</v>
      </c>
    </row>
    <row r="126" spans="1:11" x14ac:dyDescent="0.25">
      <c r="A126" t="s">
        <v>190</v>
      </c>
      <c r="B126" t="s">
        <v>232</v>
      </c>
      <c r="C126" t="s">
        <v>284</v>
      </c>
      <c r="D126" t="s">
        <v>58</v>
      </c>
      <c r="G126">
        <v>9</v>
      </c>
      <c r="H126">
        <v>40</v>
      </c>
      <c r="J126">
        <v>0</v>
      </c>
      <c r="K126">
        <v>2</v>
      </c>
    </row>
    <row r="127" spans="1:11" x14ac:dyDescent="0.25">
      <c r="A127" t="s">
        <v>190</v>
      </c>
      <c r="B127" t="s">
        <v>232</v>
      </c>
      <c r="C127" t="s">
        <v>285</v>
      </c>
      <c r="D127" t="s">
        <v>31</v>
      </c>
      <c r="G127">
        <v>22</v>
      </c>
      <c r="H127">
        <v>109</v>
      </c>
      <c r="J127">
        <v>0</v>
      </c>
      <c r="K127">
        <v>13</v>
      </c>
    </row>
    <row r="128" spans="1:11" x14ac:dyDescent="0.25">
      <c r="A128" t="s">
        <v>190</v>
      </c>
      <c r="B128" t="s">
        <v>232</v>
      </c>
      <c r="C128" t="s">
        <v>286</v>
      </c>
      <c r="D128" t="s">
        <v>32</v>
      </c>
      <c r="G128">
        <v>6</v>
      </c>
      <c r="H128">
        <v>22</v>
      </c>
      <c r="J128">
        <v>0</v>
      </c>
      <c r="K128">
        <v>4</v>
      </c>
    </row>
    <row r="129" spans="1:11" x14ac:dyDescent="0.25">
      <c r="A129" t="s">
        <v>190</v>
      </c>
      <c r="B129" t="s">
        <v>232</v>
      </c>
      <c r="C129" t="s">
        <v>287</v>
      </c>
      <c r="D129" t="s">
        <v>34</v>
      </c>
      <c r="G129">
        <v>8</v>
      </c>
      <c r="H129">
        <v>37</v>
      </c>
      <c r="J129">
        <v>0</v>
      </c>
      <c r="K129">
        <v>10</v>
      </c>
    </row>
    <row r="130" spans="1:11" x14ac:dyDescent="0.25">
      <c r="A130" t="s">
        <v>190</v>
      </c>
      <c r="B130" t="s">
        <v>232</v>
      </c>
      <c r="C130" t="s">
        <v>288</v>
      </c>
      <c r="D130" t="s">
        <v>243</v>
      </c>
      <c r="G130">
        <v>48</v>
      </c>
      <c r="H130">
        <v>248</v>
      </c>
      <c r="J130">
        <v>0</v>
      </c>
      <c r="K130">
        <v>19</v>
      </c>
    </row>
    <row r="131" spans="1:11" x14ac:dyDescent="0.25">
      <c r="A131" t="s">
        <v>190</v>
      </c>
      <c r="B131" t="s">
        <v>232</v>
      </c>
      <c r="C131" t="s">
        <v>289</v>
      </c>
      <c r="D131" t="s">
        <v>53</v>
      </c>
      <c r="G131">
        <v>15</v>
      </c>
      <c r="H131">
        <v>62</v>
      </c>
      <c r="J131">
        <v>0</v>
      </c>
      <c r="K131">
        <v>15</v>
      </c>
    </row>
    <row r="132" spans="1:11" x14ac:dyDescent="0.25">
      <c r="A132" t="s">
        <v>190</v>
      </c>
      <c r="B132" t="s">
        <v>232</v>
      </c>
      <c r="C132" t="s">
        <v>290</v>
      </c>
      <c r="D132" t="s">
        <v>59</v>
      </c>
      <c r="G132">
        <v>11</v>
      </c>
      <c r="H132">
        <v>49</v>
      </c>
      <c r="J132">
        <v>0</v>
      </c>
      <c r="K132">
        <v>10</v>
      </c>
    </row>
    <row r="133" spans="1:11" x14ac:dyDescent="0.25">
      <c r="A133" t="s">
        <v>190</v>
      </c>
      <c r="B133" t="s">
        <v>232</v>
      </c>
      <c r="C133" t="s">
        <v>291</v>
      </c>
      <c r="D133" t="s">
        <v>60</v>
      </c>
      <c r="G133">
        <v>9</v>
      </c>
      <c r="H133">
        <v>44</v>
      </c>
      <c r="J133">
        <v>0</v>
      </c>
      <c r="K133">
        <v>8</v>
      </c>
    </row>
    <row r="134" spans="1:11" x14ac:dyDescent="0.25">
      <c r="A134" t="s">
        <v>190</v>
      </c>
      <c r="B134" t="s">
        <v>232</v>
      </c>
      <c r="C134" t="s">
        <v>292</v>
      </c>
      <c r="D134" t="s">
        <v>33</v>
      </c>
      <c r="G134">
        <v>8</v>
      </c>
      <c r="H134">
        <v>25</v>
      </c>
      <c r="J134">
        <v>0</v>
      </c>
      <c r="K134">
        <v>3</v>
      </c>
    </row>
    <row r="135" spans="1:11" x14ac:dyDescent="0.25">
      <c r="A135" t="s">
        <v>190</v>
      </c>
      <c r="B135" t="s">
        <v>232</v>
      </c>
      <c r="C135" t="s">
        <v>293</v>
      </c>
      <c r="D135" t="s">
        <v>37</v>
      </c>
      <c r="G135">
        <v>26</v>
      </c>
      <c r="H135">
        <v>135</v>
      </c>
      <c r="J135">
        <v>1</v>
      </c>
      <c r="K135">
        <v>14</v>
      </c>
    </row>
    <row r="136" spans="1:11" x14ac:dyDescent="0.25">
      <c r="A136" t="s">
        <v>190</v>
      </c>
      <c r="B136" t="s">
        <v>232</v>
      </c>
      <c r="C136" t="s">
        <v>294</v>
      </c>
      <c r="D136" t="s">
        <v>50</v>
      </c>
      <c r="G136">
        <v>28</v>
      </c>
      <c r="H136">
        <v>136</v>
      </c>
      <c r="J136">
        <v>0</v>
      </c>
      <c r="K136">
        <v>16</v>
      </c>
    </row>
    <row r="137" spans="1:11" x14ac:dyDescent="0.25">
      <c r="A137" t="s">
        <v>190</v>
      </c>
      <c r="B137" t="s">
        <v>232</v>
      </c>
      <c r="C137" t="s">
        <v>295</v>
      </c>
      <c r="D137" t="s">
        <v>39</v>
      </c>
      <c r="G137">
        <v>9</v>
      </c>
      <c r="H137">
        <v>46</v>
      </c>
      <c r="J137">
        <v>0</v>
      </c>
      <c r="K137">
        <v>15</v>
      </c>
    </row>
    <row r="138" spans="1:11" x14ac:dyDescent="0.25">
      <c r="A138" t="s">
        <v>190</v>
      </c>
      <c r="B138" t="s">
        <v>232</v>
      </c>
      <c r="C138" t="s">
        <v>296</v>
      </c>
      <c r="D138" t="s">
        <v>117</v>
      </c>
      <c r="G138">
        <v>99</v>
      </c>
      <c r="H138">
        <v>350</v>
      </c>
      <c r="J138">
        <v>0</v>
      </c>
      <c r="K138">
        <v>50</v>
      </c>
    </row>
    <row r="139" spans="1:11" x14ac:dyDescent="0.25">
      <c r="A139" t="s">
        <v>190</v>
      </c>
      <c r="B139" t="s">
        <v>232</v>
      </c>
      <c r="C139" t="s">
        <v>297</v>
      </c>
      <c r="D139" t="s">
        <v>43</v>
      </c>
      <c r="G139">
        <v>47</v>
      </c>
      <c r="H139">
        <v>211</v>
      </c>
      <c r="J139">
        <v>0</v>
      </c>
      <c r="K139">
        <v>20</v>
      </c>
    </row>
    <row r="140" spans="1:11" x14ac:dyDescent="0.25">
      <c r="A140" t="s">
        <v>190</v>
      </c>
      <c r="B140" t="s">
        <v>233</v>
      </c>
      <c r="C140" t="s">
        <v>334</v>
      </c>
      <c r="D140" t="s">
        <v>31</v>
      </c>
      <c r="E140">
        <v>1</v>
      </c>
      <c r="G140">
        <v>0</v>
      </c>
      <c r="H140">
        <v>3</v>
      </c>
      <c r="I140">
        <v>3</v>
      </c>
      <c r="J140">
        <v>2</v>
      </c>
      <c r="K140">
        <v>7</v>
      </c>
    </row>
    <row r="141" spans="1:11" x14ac:dyDescent="0.25">
      <c r="A141" t="s">
        <v>190</v>
      </c>
      <c r="B141" t="s">
        <v>233</v>
      </c>
      <c r="C141" t="s">
        <v>335</v>
      </c>
      <c r="D141" t="s">
        <v>63</v>
      </c>
      <c r="E141">
        <v>1</v>
      </c>
      <c r="G141">
        <v>7</v>
      </c>
      <c r="H141">
        <v>1</v>
      </c>
      <c r="I141">
        <v>2</v>
      </c>
      <c r="J141">
        <v>6</v>
      </c>
      <c r="K141">
        <v>10</v>
      </c>
    </row>
    <row r="142" spans="1:11" x14ac:dyDescent="0.25">
      <c r="A142" t="s">
        <v>190</v>
      </c>
      <c r="B142" t="s">
        <v>233</v>
      </c>
      <c r="C142" t="s">
        <v>337</v>
      </c>
      <c r="D142" t="s">
        <v>64</v>
      </c>
      <c r="E142">
        <v>1</v>
      </c>
      <c r="G142">
        <v>2</v>
      </c>
      <c r="H142">
        <v>4</v>
      </c>
      <c r="I142">
        <v>5</v>
      </c>
      <c r="J142">
        <v>7</v>
      </c>
      <c r="K142">
        <v>6</v>
      </c>
    </row>
    <row r="143" spans="1:11" x14ac:dyDescent="0.25">
      <c r="A143" t="s">
        <v>190</v>
      </c>
      <c r="B143" t="s">
        <v>233</v>
      </c>
      <c r="C143" t="s">
        <v>338</v>
      </c>
      <c r="D143" t="s">
        <v>36</v>
      </c>
      <c r="E143">
        <v>0</v>
      </c>
      <c r="G143">
        <v>0</v>
      </c>
      <c r="H143">
        <v>2</v>
      </c>
      <c r="I143">
        <v>2</v>
      </c>
      <c r="J143">
        <v>5</v>
      </c>
      <c r="K143">
        <v>10</v>
      </c>
    </row>
    <row r="144" spans="1:11" x14ac:dyDescent="0.25">
      <c r="A144" t="s">
        <v>190</v>
      </c>
      <c r="B144" t="s">
        <v>233</v>
      </c>
      <c r="C144" t="s">
        <v>339</v>
      </c>
      <c r="D144" t="s">
        <v>66</v>
      </c>
      <c r="E144">
        <v>1</v>
      </c>
      <c r="G144">
        <v>4</v>
      </c>
      <c r="H144">
        <v>2</v>
      </c>
      <c r="I144">
        <v>6</v>
      </c>
      <c r="J144">
        <v>7</v>
      </c>
      <c r="K144">
        <v>9</v>
      </c>
    </row>
    <row r="145" spans="1:11" x14ac:dyDescent="0.25">
      <c r="A145" t="s">
        <v>190</v>
      </c>
      <c r="B145" t="s">
        <v>233</v>
      </c>
      <c r="C145" t="s">
        <v>340</v>
      </c>
      <c r="D145" t="s">
        <v>67</v>
      </c>
      <c r="E145">
        <v>1</v>
      </c>
      <c r="G145">
        <v>10</v>
      </c>
      <c r="H145">
        <v>5</v>
      </c>
      <c r="I145">
        <v>5</v>
      </c>
      <c r="J145">
        <v>6</v>
      </c>
      <c r="K145">
        <v>11</v>
      </c>
    </row>
    <row r="146" spans="1:11" x14ac:dyDescent="0.25">
      <c r="A146" t="s">
        <v>190</v>
      </c>
      <c r="B146" t="s">
        <v>233</v>
      </c>
      <c r="C146" t="s">
        <v>341</v>
      </c>
      <c r="D146" t="s">
        <v>68</v>
      </c>
      <c r="E146">
        <v>1</v>
      </c>
      <c r="G146">
        <v>1</v>
      </c>
      <c r="H146">
        <v>3</v>
      </c>
      <c r="I146">
        <v>2</v>
      </c>
      <c r="J146">
        <v>3</v>
      </c>
      <c r="K146">
        <v>7</v>
      </c>
    </row>
    <row r="147" spans="1:11" x14ac:dyDescent="0.25">
      <c r="A147" t="s">
        <v>190</v>
      </c>
      <c r="B147" t="s">
        <v>233</v>
      </c>
      <c r="C147" t="s">
        <v>342</v>
      </c>
      <c r="D147" t="s">
        <v>165</v>
      </c>
      <c r="E147">
        <v>0</v>
      </c>
      <c r="G147">
        <v>5</v>
      </c>
      <c r="H147">
        <v>4</v>
      </c>
      <c r="I147">
        <v>7</v>
      </c>
      <c r="J147">
        <v>2</v>
      </c>
      <c r="K147">
        <v>9</v>
      </c>
    </row>
    <row r="148" spans="1:11" x14ac:dyDescent="0.25">
      <c r="A148" t="s">
        <v>190</v>
      </c>
      <c r="B148" t="s">
        <v>233</v>
      </c>
      <c r="C148" t="s">
        <v>343</v>
      </c>
      <c r="D148" t="s">
        <v>69</v>
      </c>
      <c r="E148">
        <v>1</v>
      </c>
      <c r="G148">
        <v>1</v>
      </c>
      <c r="H148">
        <v>2</v>
      </c>
      <c r="I148">
        <v>2</v>
      </c>
      <c r="J148">
        <v>3</v>
      </c>
      <c r="K148">
        <v>7</v>
      </c>
    </row>
    <row r="149" spans="1:11" x14ac:dyDescent="0.25">
      <c r="A149" t="s">
        <v>190</v>
      </c>
      <c r="B149" t="s">
        <v>233</v>
      </c>
      <c r="C149" t="s">
        <v>994</v>
      </c>
      <c r="D149" t="s">
        <v>117</v>
      </c>
      <c r="E149">
        <v>1</v>
      </c>
      <c r="G149">
        <v>1</v>
      </c>
      <c r="H149">
        <v>2</v>
      </c>
      <c r="I149">
        <v>5</v>
      </c>
      <c r="J149">
        <v>8</v>
      </c>
      <c r="K149">
        <v>15</v>
      </c>
    </row>
    <row r="150" spans="1:11" x14ac:dyDescent="0.25">
      <c r="A150" t="s">
        <v>190</v>
      </c>
      <c r="B150" t="s">
        <v>233</v>
      </c>
      <c r="C150" t="s">
        <v>344</v>
      </c>
      <c r="D150" t="s">
        <v>70</v>
      </c>
      <c r="E150">
        <v>1</v>
      </c>
      <c r="G150">
        <v>7</v>
      </c>
      <c r="H150">
        <v>0</v>
      </c>
      <c r="I150">
        <v>6</v>
      </c>
      <c r="J150">
        <v>8</v>
      </c>
      <c r="K150">
        <v>7</v>
      </c>
    </row>
    <row r="151" spans="1:11" x14ac:dyDescent="0.25">
      <c r="A151" t="s">
        <v>190</v>
      </c>
      <c r="B151" t="s">
        <v>233</v>
      </c>
      <c r="C151" t="s">
        <v>995</v>
      </c>
      <c r="D151" t="s">
        <v>50</v>
      </c>
      <c r="E151">
        <v>1</v>
      </c>
      <c r="G151">
        <v>3</v>
      </c>
      <c r="H151">
        <v>0</v>
      </c>
      <c r="I151">
        <v>3</v>
      </c>
      <c r="J151">
        <v>4</v>
      </c>
      <c r="K151">
        <v>9</v>
      </c>
    </row>
    <row r="152" spans="1:11" x14ac:dyDescent="0.25">
      <c r="A152" t="s">
        <v>190</v>
      </c>
      <c r="B152" t="s">
        <v>233</v>
      </c>
      <c r="C152" t="s">
        <v>345</v>
      </c>
      <c r="D152" t="s">
        <v>57</v>
      </c>
      <c r="E152">
        <v>1</v>
      </c>
      <c r="G152">
        <v>3</v>
      </c>
      <c r="H152">
        <v>1</v>
      </c>
      <c r="I152">
        <v>3</v>
      </c>
      <c r="J152">
        <v>5</v>
      </c>
      <c r="K152">
        <v>3</v>
      </c>
    </row>
    <row r="153" spans="1:11" x14ac:dyDescent="0.25">
      <c r="A153" t="s">
        <v>190</v>
      </c>
      <c r="B153" t="s">
        <v>233</v>
      </c>
      <c r="C153" t="s">
        <v>996</v>
      </c>
      <c r="D153" t="s">
        <v>985</v>
      </c>
      <c r="E153">
        <v>0</v>
      </c>
      <c r="G153">
        <v>2</v>
      </c>
      <c r="H153">
        <v>1</v>
      </c>
      <c r="I153">
        <v>2</v>
      </c>
      <c r="J153">
        <v>5</v>
      </c>
      <c r="K153">
        <v>3</v>
      </c>
    </row>
    <row r="154" spans="1:11" x14ac:dyDescent="0.25">
      <c r="A154" t="s">
        <v>190</v>
      </c>
      <c r="B154" t="s">
        <v>233</v>
      </c>
      <c r="C154" t="s">
        <v>346</v>
      </c>
      <c r="D154" t="s">
        <v>71</v>
      </c>
      <c r="E154">
        <v>1</v>
      </c>
      <c r="G154">
        <v>1</v>
      </c>
      <c r="H154">
        <v>0</v>
      </c>
      <c r="I154">
        <v>3</v>
      </c>
      <c r="J154">
        <v>5</v>
      </c>
      <c r="K154">
        <v>1</v>
      </c>
    </row>
    <row r="155" spans="1:11" x14ac:dyDescent="0.25">
      <c r="A155" t="s">
        <v>190</v>
      </c>
      <c r="B155" t="s">
        <v>233</v>
      </c>
      <c r="C155" t="s">
        <v>336</v>
      </c>
      <c r="D155" t="s">
        <v>65</v>
      </c>
      <c r="E155">
        <v>1</v>
      </c>
      <c r="G155">
        <v>0</v>
      </c>
      <c r="H155">
        <v>1</v>
      </c>
      <c r="I155">
        <v>4</v>
      </c>
      <c r="J155">
        <v>10</v>
      </c>
      <c r="K155">
        <v>8</v>
      </c>
    </row>
    <row r="156" spans="1:11" x14ac:dyDescent="0.25">
      <c r="A156" t="s">
        <v>190</v>
      </c>
      <c r="B156" t="s">
        <v>233</v>
      </c>
      <c r="C156" t="s">
        <v>993</v>
      </c>
      <c r="D156" t="s">
        <v>43</v>
      </c>
      <c r="E156">
        <v>1</v>
      </c>
      <c r="G156">
        <v>3</v>
      </c>
      <c r="H156">
        <v>4</v>
      </c>
      <c r="I156">
        <v>2</v>
      </c>
      <c r="J156">
        <v>5</v>
      </c>
      <c r="K156">
        <v>11</v>
      </c>
    </row>
    <row r="157" spans="1:11" x14ac:dyDescent="0.25">
      <c r="A157" t="s">
        <v>190</v>
      </c>
      <c r="B157" t="s">
        <v>234</v>
      </c>
      <c r="C157" t="s">
        <v>362</v>
      </c>
      <c r="D157" t="s">
        <v>163</v>
      </c>
      <c r="E157">
        <v>1</v>
      </c>
      <c r="G157">
        <v>3</v>
      </c>
      <c r="I157">
        <v>5</v>
      </c>
      <c r="J157">
        <v>3</v>
      </c>
      <c r="K157">
        <v>4</v>
      </c>
    </row>
    <row r="158" spans="1:11" x14ac:dyDescent="0.25">
      <c r="A158" t="s">
        <v>190</v>
      </c>
      <c r="B158" t="s">
        <v>234</v>
      </c>
      <c r="C158" t="s">
        <v>361</v>
      </c>
      <c r="D158" t="s">
        <v>164</v>
      </c>
      <c r="E158">
        <v>1</v>
      </c>
      <c r="G158">
        <v>2</v>
      </c>
      <c r="I158">
        <v>2</v>
      </c>
      <c r="J158">
        <v>3</v>
      </c>
      <c r="K158">
        <v>17</v>
      </c>
    </row>
    <row r="159" spans="1:11" x14ac:dyDescent="0.25">
      <c r="A159" t="s">
        <v>190</v>
      </c>
      <c r="B159" t="s">
        <v>234</v>
      </c>
      <c r="C159" t="s">
        <v>363</v>
      </c>
      <c r="D159" t="s">
        <v>162</v>
      </c>
      <c r="E159">
        <v>1</v>
      </c>
      <c r="G159">
        <v>8</v>
      </c>
      <c r="I159">
        <v>2</v>
      </c>
      <c r="J159">
        <v>8</v>
      </c>
      <c r="K159">
        <v>25</v>
      </c>
    </row>
    <row r="160" spans="1:11" x14ac:dyDescent="0.25">
      <c r="A160" t="s">
        <v>190</v>
      </c>
      <c r="B160" t="s">
        <v>235</v>
      </c>
      <c r="C160" t="s">
        <v>347</v>
      </c>
      <c r="D160" t="s">
        <v>244</v>
      </c>
      <c r="E160">
        <v>18</v>
      </c>
      <c r="F160">
        <v>4</v>
      </c>
      <c r="G160">
        <v>26</v>
      </c>
      <c r="H160">
        <v>16</v>
      </c>
      <c r="I160">
        <v>19</v>
      </c>
      <c r="J160">
        <v>19</v>
      </c>
      <c r="K160">
        <v>93</v>
      </c>
    </row>
    <row r="161" spans="1:11" x14ac:dyDescent="0.25">
      <c r="A161" t="s">
        <v>257</v>
      </c>
      <c r="B161" t="s">
        <v>232</v>
      </c>
      <c r="C161" t="s">
        <v>266</v>
      </c>
      <c r="D161" t="s">
        <v>35</v>
      </c>
      <c r="G161">
        <v>4</v>
      </c>
      <c r="H161">
        <v>14</v>
      </c>
      <c r="K161">
        <v>4</v>
      </c>
    </row>
    <row r="162" spans="1:11" x14ac:dyDescent="0.25">
      <c r="A162" t="s">
        <v>257</v>
      </c>
      <c r="B162" t="s">
        <v>232</v>
      </c>
      <c r="C162" t="s">
        <v>267</v>
      </c>
      <c r="D162" t="s">
        <v>36</v>
      </c>
      <c r="G162">
        <v>11</v>
      </c>
      <c r="H162">
        <v>48</v>
      </c>
      <c r="K162">
        <v>4</v>
      </c>
    </row>
    <row r="163" spans="1:11" x14ac:dyDescent="0.25">
      <c r="A163" t="s">
        <v>257</v>
      </c>
      <c r="B163" t="s">
        <v>232</v>
      </c>
      <c r="C163" t="s">
        <v>268</v>
      </c>
      <c r="D163" t="s">
        <v>38</v>
      </c>
      <c r="G163">
        <v>9</v>
      </c>
      <c r="H163">
        <v>32</v>
      </c>
      <c r="K163">
        <v>5</v>
      </c>
    </row>
    <row r="164" spans="1:11" x14ac:dyDescent="0.25">
      <c r="A164" t="s">
        <v>257</v>
      </c>
      <c r="B164" t="s">
        <v>232</v>
      </c>
      <c r="C164" t="s">
        <v>269</v>
      </c>
      <c r="D164" t="s">
        <v>40</v>
      </c>
      <c r="G164">
        <v>4</v>
      </c>
      <c r="H164">
        <v>19</v>
      </c>
      <c r="K164">
        <v>4</v>
      </c>
    </row>
    <row r="165" spans="1:11" x14ac:dyDescent="0.25">
      <c r="A165" t="s">
        <v>257</v>
      </c>
      <c r="B165" t="s">
        <v>232</v>
      </c>
      <c r="C165" t="s">
        <v>270</v>
      </c>
      <c r="D165" t="s">
        <v>41</v>
      </c>
      <c r="G165">
        <v>10</v>
      </c>
      <c r="H165">
        <v>30</v>
      </c>
      <c r="K165">
        <v>10</v>
      </c>
    </row>
    <row r="166" spans="1:11" x14ac:dyDescent="0.25">
      <c r="A166" t="s">
        <v>257</v>
      </c>
      <c r="B166" t="s">
        <v>232</v>
      </c>
      <c r="C166" t="s">
        <v>271</v>
      </c>
      <c r="D166" t="s">
        <v>48</v>
      </c>
      <c r="G166">
        <v>0</v>
      </c>
      <c r="H166">
        <v>0</v>
      </c>
      <c r="K166">
        <v>0</v>
      </c>
    </row>
    <row r="167" spans="1:11" x14ac:dyDescent="0.25">
      <c r="A167" t="s">
        <v>257</v>
      </c>
      <c r="B167" t="s">
        <v>232</v>
      </c>
      <c r="C167" t="s">
        <v>272</v>
      </c>
      <c r="D167" t="s">
        <v>42</v>
      </c>
      <c r="G167">
        <v>16</v>
      </c>
      <c r="H167">
        <v>57</v>
      </c>
      <c r="K167">
        <v>13</v>
      </c>
    </row>
    <row r="168" spans="1:11" x14ac:dyDescent="0.25">
      <c r="A168" t="s">
        <v>257</v>
      </c>
      <c r="B168" t="s">
        <v>232</v>
      </c>
      <c r="C168" t="s">
        <v>273</v>
      </c>
      <c r="D168" t="s">
        <v>44</v>
      </c>
      <c r="G168">
        <v>11</v>
      </c>
      <c r="H168">
        <v>52</v>
      </c>
      <c r="K168">
        <v>4</v>
      </c>
    </row>
    <row r="169" spans="1:11" x14ac:dyDescent="0.25">
      <c r="A169" t="s">
        <v>257</v>
      </c>
      <c r="B169" t="s">
        <v>232</v>
      </c>
      <c r="C169" t="s">
        <v>274</v>
      </c>
      <c r="D169" t="s">
        <v>45</v>
      </c>
      <c r="G169">
        <v>13</v>
      </c>
      <c r="H169">
        <v>43</v>
      </c>
      <c r="J169">
        <v>1</v>
      </c>
      <c r="K169">
        <v>11</v>
      </c>
    </row>
    <row r="170" spans="1:11" x14ac:dyDescent="0.25">
      <c r="A170" t="s">
        <v>257</v>
      </c>
      <c r="B170" t="s">
        <v>232</v>
      </c>
      <c r="C170" t="s">
        <v>275</v>
      </c>
      <c r="D170" t="s">
        <v>46</v>
      </c>
      <c r="G170">
        <v>4</v>
      </c>
      <c r="H170">
        <v>14</v>
      </c>
      <c r="K170">
        <v>4</v>
      </c>
    </row>
    <row r="171" spans="1:11" x14ac:dyDescent="0.25">
      <c r="A171" t="s">
        <v>257</v>
      </c>
      <c r="B171" t="s">
        <v>232</v>
      </c>
      <c r="C171" t="s">
        <v>276</v>
      </c>
      <c r="D171" t="s">
        <v>47</v>
      </c>
      <c r="G171">
        <v>4</v>
      </c>
      <c r="H171">
        <v>19</v>
      </c>
      <c r="K171">
        <v>4</v>
      </c>
    </row>
    <row r="172" spans="1:11" x14ac:dyDescent="0.25">
      <c r="A172" t="s">
        <v>257</v>
      </c>
      <c r="B172" t="s">
        <v>232</v>
      </c>
      <c r="C172" t="s">
        <v>277</v>
      </c>
      <c r="D172" t="s">
        <v>49</v>
      </c>
      <c r="G172">
        <v>17</v>
      </c>
      <c r="H172">
        <v>46</v>
      </c>
      <c r="K172">
        <v>15</v>
      </c>
    </row>
    <row r="173" spans="1:11" x14ac:dyDescent="0.25">
      <c r="A173" t="s">
        <v>257</v>
      </c>
      <c r="B173" t="s">
        <v>232</v>
      </c>
      <c r="C173" t="s">
        <v>278</v>
      </c>
      <c r="D173" t="s">
        <v>51</v>
      </c>
      <c r="G173">
        <v>0</v>
      </c>
      <c r="H173">
        <v>0</v>
      </c>
      <c r="K173">
        <v>0</v>
      </c>
    </row>
    <row r="174" spans="1:11" x14ac:dyDescent="0.25">
      <c r="A174" t="s">
        <v>257</v>
      </c>
      <c r="B174" t="s">
        <v>232</v>
      </c>
      <c r="C174" t="s">
        <v>279</v>
      </c>
      <c r="D174" t="s">
        <v>52</v>
      </c>
      <c r="G174">
        <v>12</v>
      </c>
      <c r="H174">
        <v>52</v>
      </c>
      <c r="K174">
        <v>4</v>
      </c>
    </row>
    <row r="175" spans="1:11" x14ac:dyDescent="0.25">
      <c r="A175" t="s">
        <v>257</v>
      </c>
      <c r="B175" t="s">
        <v>232</v>
      </c>
      <c r="C175" t="s">
        <v>280</v>
      </c>
      <c r="D175" t="s">
        <v>54</v>
      </c>
      <c r="G175">
        <v>8</v>
      </c>
      <c r="H175">
        <v>40</v>
      </c>
      <c r="K175">
        <v>8</v>
      </c>
    </row>
    <row r="176" spans="1:11" x14ac:dyDescent="0.25">
      <c r="A176" t="s">
        <v>257</v>
      </c>
      <c r="B176" t="s">
        <v>232</v>
      </c>
      <c r="C176" t="s">
        <v>281</v>
      </c>
      <c r="D176" t="s">
        <v>55</v>
      </c>
      <c r="G176">
        <v>0</v>
      </c>
      <c r="H176">
        <v>0</v>
      </c>
      <c r="K176">
        <v>0</v>
      </c>
    </row>
    <row r="177" spans="1:11" x14ac:dyDescent="0.25">
      <c r="A177" t="s">
        <v>257</v>
      </c>
      <c r="B177" t="s">
        <v>232</v>
      </c>
      <c r="C177" t="s">
        <v>282</v>
      </c>
      <c r="D177" t="s">
        <v>56</v>
      </c>
      <c r="G177">
        <v>10</v>
      </c>
      <c r="H177">
        <v>39</v>
      </c>
      <c r="K177">
        <v>5</v>
      </c>
    </row>
    <row r="178" spans="1:11" x14ac:dyDescent="0.25">
      <c r="A178" t="s">
        <v>257</v>
      </c>
      <c r="B178" t="s">
        <v>232</v>
      </c>
      <c r="C178" t="s">
        <v>283</v>
      </c>
      <c r="D178" t="s">
        <v>57</v>
      </c>
      <c r="G178">
        <v>34</v>
      </c>
      <c r="H178">
        <v>117</v>
      </c>
      <c r="K178">
        <v>20</v>
      </c>
    </row>
    <row r="179" spans="1:11" x14ac:dyDescent="0.25">
      <c r="A179" t="s">
        <v>257</v>
      </c>
      <c r="B179" t="s">
        <v>232</v>
      </c>
      <c r="C179" t="s">
        <v>284</v>
      </c>
      <c r="D179" t="s">
        <v>58</v>
      </c>
      <c r="G179">
        <v>9</v>
      </c>
      <c r="H179">
        <v>40</v>
      </c>
      <c r="K179">
        <v>4</v>
      </c>
    </row>
    <row r="180" spans="1:11" x14ac:dyDescent="0.25">
      <c r="A180" t="s">
        <v>257</v>
      </c>
      <c r="B180" t="s">
        <v>232</v>
      </c>
      <c r="C180" t="s">
        <v>285</v>
      </c>
      <c r="D180" t="s">
        <v>31</v>
      </c>
      <c r="G180">
        <v>26</v>
      </c>
      <c r="H180">
        <v>113</v>
      </c>
      <c r="K180">
        <v>16</v>
      </c>
    </row>
    <row r="181" spans="1:11" x14ac:dyDescent="0.25">
      <c r="A181" t="s">
        <v>257</v>
      </c>
      <c r="B181" t="s">
        <v>232</v>
      </c>
      <c r="C181" t="s">
        <v>286</v>
      </c>
      <c r="D181" t="s">
        <v>32</v>
      </c>
      <c r="G181">
        <v>4</v>
      </c>
      <c r="H181">
        <v>17</v>
      </c>
      <c r="K181">
        <v>4</v>
      </c>
    </row>
    <row r="182" spans="1:11" x14ac:dyDescent="0.25">
      <c r="A182" t="s">
        <v>257</v>
      </c>
      <c r="B182" t="s">
        <v>232</v>
      </c>
      <c r="C182" t="s">
        <v>287</v>
      </c>
      <c r="D182" t="s">
        <v>34</v>
      </c>
      <c r="G182">
        <v>9</v>
      </c>
      <c r="H182">
        <v>24</v>
      </c>
      <c r="K182">
        <v>10</v>
      </c>
    </row>
    <row r="183" spans="1:11" x14ac:dyDescent="0.25">
      <c r="A183" t="s">
        <v>257</v>
      </c>
      <c r="B183" t="s">
        <v>232</v>
      </c>
      <c r="C183" t="s">
        <v>288</v>
      </c>
      <c r="D183" t="s">
        <v>243</v>
      </c>
      <c r="G183">
        <v>60</v>
      </c>
      <c r="H183">
        <v>227</v>
      </c>
      <c r="K183">
        <v>26</v>
      </c>
    </row>
    <row r="184" spans="1:11" x14ac:dyDescent="0.25">
      <c r="A184" t="s">
        <v>257</v>
      </c>
      <c r="B184" t="s">
        <v>232</v>
      </c>
      <c r="C184" t="s">
        <v>289</v>
      </c>
      <c r="D184" t="s">
        <v>53</v>
      </c>
      <c r="G184">
        <v>21</v>
      </c>
      <c r="H184">
        <v>60</v>
      </c>
      <c r="K184">
        <v>16</v>
      </c>
    </row>
    <row r="185" spans="1:11" x14ac:dyDescent="0.25">
      <c r="A185" t="s">
        <v>257</v>
      </c>
      <c r="B185" t="s">
        <v>232</v>
      </c>
      <c r="C185" t="s">
        <v>290</v>
      </c>
      <c r="D185" t="s">
        <v>59</v>
      </c>
      <c r="G185">
        <v>15</v>
      </c>
      <c r="H185">
        <v>44</v>
      </c>
      <c r="K185">
        <v>10</v>
      </c>
    </row>
    <row r="186" spans="1:11" x14ac:dyDescent="0.25">
      <c r="A186" t="s">
        <v>257</v>
      </c>
      <c r="B186" t="s">
        <v>232</v>
      </c>
      <c r="C186" t="s">
        <v>291</v>
      </c>
      <c r="D186" t="s">
        <v>60</v>
      </c>
      <c r="G186">
        <v>10</v>
      </c>
      <c r="H186">
        <v>42</v>
      </c>
      <c r="K186">
        <v>8</v>
      </c>
    </row>
    <row r="187" spans="1:11" x14ac:dyDescent="0.25">
      <c r="A187" t="s">
        <v>257</v>
      </c>
      <c r="B187" t="s">
        <v>232</v>
      </c>
      <c r="C187" t="s">
        <v>292</v>
      </c>
      <c r="D187" t="s">
        <v>33</v>
      </c>
      <c r="G187">
        <v>4</v>
      </c>
      <c r="H187">
        <v>18</v>
      </c>
      <c r="K187">
        <v>3</v>
      </c>
    </row>
    <row r="188" spans="1:11" x14ac:dyDescent="0.25">
      <c r="A188" t="s">
        <v>257</v>
      </c>
      <c r="B188" t="s">
        <v>232</v>
      </c>
      <c r="C188" t="s">
        <v>293</v>
      </c>
      <c r="D188" t="s">
        <v>37</v>
      </c>
      <c r="G188">
        <v>30</v>
      </c>
      <c r="H188">
        <v>144</v>
      </c>
      <c r="K188">
        <v>18</v>
      </c>
    </row>
    <row r="189" spans="1:11" x14ac:dyDescent="0.25">
      <c r="A189" t="s">
        <v>257</v>
      </c>
      <c r="B189" t="s">
        <v>232</v>
      </c>
      <c r="C189" t="s">
        <v>294</v>
      </c>
      <c r="D189" t="s">
        <v>50</v>
      </c>
      <c r="G189">
        <v>30</v>
      </c>
      <c r="H189">
        <v>123</v>
      </c>
      <c r="K189">
        <v>20</v>
      </c>
    </row>
    <row r="190" spans="1:11" x14ac:dyDescent="0.25">
      <c r="A190" t="s">
        <v>257</v>
      </c>
      <c r="B190" t="s">
        <v>232</v>
      </c>
      <c r="C190" t="s">
        <v>295</v>
      </c>
      <c r="D190" t="s">
        <v>39</v>
      </c>
      <c r="G190">
        <v>14</v>
      </c>
      <c r="H190">
        <v>39</v>
      </c>
      <c r="K190">
        <v>15</v>
      </c>
    </row>
    <row r="191" spans="1:11" x14ac:dyDescent="0.25">
      <c r="A191" t="s">
        <v>257</v>
      </c>
      <c r="B191" t="s">
        <v>232</v>
      </c>
      <c r="C191" t="s">
        <v>296</v>
      </c>
      <c r="D191" t="s">
        <v>117</v>
      </c>
      <c r="G191">
        <v>105</v>
      </c>
      <c r="H191">
        <v>313</v>
      </c>
      <c r="K191">
        <v>57</v>
      </c>
    </row>
    <row r="192" spans="1:11" x14ac:dyDescent="0.25">
      <c r="A192" t="s">
        <v>257</v>
      </c>
      <c r="B192" t="s">
        <v>232</v>
      </c>
      <c r="C192" t="s">
        <v>297</v>
      </c>
      <c r="D192" t="s">
        <v>43</v>
      </c>
      <c r="G192">
        <v>48</v>
      </c>
      <c r="H192">
        <v>201</v>
      </c>
      <c r="K192">
        <v>21</v>
      </c>
    </row>
    <row r="193" spans="1:11" x14ac:dyDescent="0.25">
      <c r="A193" t="s">
        <v>257</v>
      </c>
      <c r="B193" t="s">
        <v>233</v>
      </c>
      <c r="C193" t="s">
        <v>334</v>
      </c>
      <c r="D193" t="s">
        <v>31</v>
      </c>
      <c r="E193">
        <v>1</v>
      </c>
      <c r="G193">
        <v>2</v>
      </c>
      <c r="H193">
        <v>2</v>
      </c>
      <c r="I193">
        <v>1</v>
      </c>
      <c r="J193">
        <v>3</v>
      </c>
      <c r="K193">
        <v>5</v>
      </c>
    </row>
    <row r="194" spans="1:11" x14ac:dyDescent="0.25">
      <c r="A194" t="s">
        <v>257</v>
      </c>
      <c r="B194" t="s">
        <v>233</v>
      </c>
      <c r="C194" t="s">
        <v>335</v>
      </c>
      <c r="D194" t="s">
        <v>63</v>
      </c>
      <c r="E194">
        <v>1</v>
      </c>
      <c r="G194">
        <v>5</v>
      </c>
      <c r="H194">
        <v>0</v>
      </c>
      <c r="I194">
        <v>2</v>
      </c>
      <c r="J194">
        <v>8</v>
      </c>
      <c r="K194">
        <v>9</v>
      </c>
    </row>
    <row r="195" spans="1:11" x14ac:dyDescent="0.25">
      <c r="A195" t="s">
        <v>257</v>
      </c>
      <c r="B195" t="s">
        <v>233</v>
      </c>
      <c r="C195" t="s">
        <v>337</v>
      </c>
      <c r="D195" t="s">
        <v>64</v>
      </c>
      <c r="E195">
        <v>1</v>
      </c>
      <c r="G195">
        <v>4</v>
      </c>
      <c r="H195">
        <v>2</v>
      </c>
      <c r="I195">
        <v>3</v>
      </c>
      <c r="J195">
        <v>9</v>
      </c>
      <c r="K195">
        <v>7</v>
      </c>
    </row>
    <row r="196" spans="1:11" x14ac:dyDescent="0.25">
      <c r="A196" t="s">
        <v>257</v>
      </c>
      <c r="B196" t="s">
        <v>233</v>
      </c>
      <c r="C196" t="s">
        <v>338</v>
      </c>
      <c r="D196" t="s">
        <v>36</v>
      </c>
      <c r="E196">
        <v>1</v>
      </c>
      <c r="G196">
        <v>3</v>
      </c>
      <c r="H196">
        <v>1</v>
      </c>
      <c r="I196">
        <v>2</v>
      </c>
      <c r="J196">
        <v>6</v>
      </c>
      <c r="K196">
        <v>9</v>
      </c>
    </row>
    <row r="197" spans="1:11" x14ac:dyDescent="0.25">
      <c r="A197" t="s">
        <v>257</v>
      </c>
      <c r="B197" t="s">
        <v>233</v>
      </c>
      <c r="C197" t="s">
        <v>339</v>
      </c>
      <c r="D197" t="s">
        <v>66</v>
      </c>
      <c r="E197">
        <v>1</v>
      </c>
      <c r="G197">
        <v>5</v>
      </c>
      <c r="H197">
        <v>2</v>
      </c>
      <c r="I197">
        <v>4</v>
      </c>
      <c r="J197">
        <v>9</v>
      </c>
      <c r="K197">
        <v>9</v>
      </c>
    </row>
    <row r="198" spans="1:11" x14ac:dyDescent="0.25">
      <c r="A198" t="s">
        <v>257</v>
      </c>
      <c r="B198" t="s">
        <v>233</v>
      </c>
      <c r="C198" t="s">
        <v>340</v>
      </c>
      <c r="D198" t="s">
        <v>67</v>
      </c>
      <c r="E198">
        <v>1</v>
      </c>
      <c r="G198">
        <v>5</v>
      </c>
      <c r="H198">
        <v>5</v>
      </c>
      <c r="I198">
        <v>4</v>
      </c>
      <c r="J198">
        <v>8</v>
      </c>
      <c r="K198">
        <v>8</v>
      </c>
    </row>
    <row r="199" spans="1:11" x14ac:dyDescent="0.25">
      <c r="A199" t="s">
        <v>257</v>
      </c>
      <c r="B199" t="s">
        <v>233</v>
      </c>
      <c r="C199" t="s">
        <v>341</v>
      </c>
      <c r="D199" t="s">
        <v>68</v>
      </c>
      <c r="E199">
        <v>1</v>
      </c>
      <c r="G199">
        <v>2</v>
      </c>
      <c r="H199">
        <v>1</v>
      </c>
      <c r="I199">
        <v>3</v>
      </c>
      <c r="J199">
        <v>4</v>
      </c>
      <c r="K199">
        <v>7</v>
      </c>
    </row>
    <row r="200" spans="1:11" x14ac:dyDescent="0.25">
      <c r="A200" t="s">
        <v>257</v>
      </c>
      <c r="B200" t="s">
        <v>233</v>
      </c>
      <c r="C200" t="s">
        <v>342</v>
      </c>
      <c r="D200" t="s">
        <v>165</v>
      </c>
      <c r="E200">
        <v>1</v>
      </c>
      <c r="G200">
        <v>2</v>
      </c>
      <c r="H200">
        <v>4</v>
      </c>
      <c r="I200">
        <v>3</v>
      </c>
      <c r="J200">
        <v>6</v>
      </c>
      <c r="K200">
        <v>11</v>
      </c>
    </row>
    <row r="201" spans="1:11" x14ac:dyDescent="0.25">
      <c r="A201" t="s">
        <v>257</v>
      </c>
      <c r="B201" t="s">
        <v>233</v>
      </c>
      <c r="C201" t="s">
        <v>343</v>
      </c>
      <c r="D201" t="s">
        <v>69</v>
      </c>
      <c r="E201">
        <v>1</v>
      </c>
      <c r="G201">
        <v>3</v>
      </c>
      <c r="H201">
        <v>2</v>
      </c>
      <c r="I201">
        <v>2</v>
      </c>
      <c r="J201">
        <v>6</v>
      </c>
      <c r="K201">
        <v>7</v>
      </c>
    </row>
    <row r="202" spans="1:11" x14ac:dyDescent="0.25">
      <c r="A202" t="s">
        <v>257</v>
      </c>
      <c r="B202" t="s">
        <v>233</v>
      </c>
      <c r="C202" t="s">
        <v>994</v>
      </c>
      <c r="D202" t="s">
        <v>117</v>
      </c>
      <c r="E202">
        <v>1</v>
      </c>
      <c r="G202">
        <v>3</v>
      </c>
      <c r="H202">
        <v>2</v>
      </c>
      <c r="I202">
        <v>4</v>
      </c>
      <c r="J202">
        <v>9</v>
      </c>
      <c r="K202">
        <v>6</v>
      </c>
    </row>
    <row r="203" spans="1:11" x14ac:dyDescent="0.25">
      <c r="A203" t="s">
        <v>257</v>
      </c>
      <c r="B203" t="s">
        <v>233</v>
      </c>
      <c r="C203" t="s">
        <v>344</v>
      </c>
      <c r="D203" t="s">
        <v>70</v>
      </c>
      <c r="E203">
        <v>1</v>
      </c>
      <c r="G203">
        <v>10</v>
      </c>
      <c r="H203">
        <v>1</v>
      </c>
      <c r="I203">
        <v>4</v>
      </c>
      <c r="J203">
        <v>13</v>
      </c>
      <c r="K203">
        <v>8</v>
      </c>
    </row>
    <row r="204" spans="1:11" x14ac:dyDescent="0.25">
      <c r="A204" t="s">
        <v>257</v>
      </c>
      <c r="B204" t="s">
        <v>233</v>
      </c>
      <c r="C204" t="s">
        <v>995</v>
      </c>
      <c r="D204" t="s">
        <v>50</v>
      </c>
      <c r="E204">
        <v>1</v>
      </c>
      <c r="G204">
        <v>1</v>
      </c>
      <c r="H204">
        <v>1</v>
      </c>
      <c r="I204">
        <v>2</v>
      </c>
      <c r="J204">
        <v>5</v>
      </c>
      <c r="K204">
        <v>5</v>
      </c>
    </row>
    <row r="205" spans="1:11" x14ac:dyDescent="0.25">
      <c r="A205" t="s">
        <v>257</v>
      </c>
      <c r="B205" t="s">
        <v>233</v>
      </c>
      <c r="C205" t="s">
        <v>345</v>
      </c>
      <c r="D205" t="s">
        <v>57</v>
      </c>
      <c r="E205">
        <v>1</v>
      </c>
      <c r="G205">
        <v>2</v>
      </c>
      <c r="H205">
        <v>1</v>
      </c>
      <c r="I205">
        <v>2</v>
      </c>
      <c r="J205">
        <v>5</v>
      </c>
      <c r="K205">
        <v>4</v>
      </c>
    </row>
    <row r="206" spans="1:11" x14ac:dyDescent="0.25">
      <c r="A206" t="s">
        <v>257</v>
      </c>
      <c r="B206" t="s">
        <v>233</v>
      </c>
      <c r="C206" t="s">
        <v>996</v>
      </c>
      <c r="D206" t="s">
        <v>985</v>
      </c>
      <c r="E206">
        <v>0</v>
      </c>
      <c r="G206">
        <v>3</v>
      </c>
      <c r="H206">
        <v>1</v>
      </c>
      <c r="I206">
        <v>2</v>
      </c>
      <c r="J206">
        <v>4</v>
      </c>
      <c r="K206">
        <v>5</v>
      </c>
    </row>
    <row r="207" spans="1:11" x14ac:dyDescent="0.25">
      <c r="A207" t="s">
        <v>257</v>
      </c>
      <c r="B207" t="s">
        <v>233</v>
      </c>
      <c r="C207" t="s">
        <v>346</v>
      </c>
      <c r="D207" t="s">
        <v>71</v>
      </c>
      <c r="E207">
        <v>1</v>
      </c>
      <c r="G207">
        <v>6</v>
      </c>
      <c r="H207">
        <v>0</v>
      </c>
      <c r="I207">
        <v>3</v>
      </c>
      <c r="J207">
        <v>5</v>
      </c>
      <c r="K207">
        <v>1</v>
      </c>
    </row>
    <row r="208" spans="1:11" x14ac:dyDescent="0.25">
      <c r="A208" t="s">
        <v>257</v>
      </c>
      <c r="B208" t="s">
        <v>233</v>
      </c>
      <c r="C208" t="s">
        <v>336</v>
      </c>
      <c r="D208" t="s">
        <v>65</v>
      </c>
      <c r="E208">
        <v>1</v>
      </c>
      <c r="G208">
        <v>2</v>
      </c>
      <c r="H208">
        <v>2</v>
      </c>
      <c r="I208">
        <v>4</v>
      </c>
      <c r="J208">
        <v>9</v>
      </c>
      <c r="K208">
        <v>10</v>
      </c>
    </row>
    <row r="209" spans="1:11" x14ac:dyDescent="0.25">
      <c r="A209" t="s">
        <v>257</v>
      </c>
      <c r="B209" t="s">
        <v>233</v>
      </c>
      <c r="C209" t="s">
        <v>993</v>
      </c>
      <c r="D209" t="s">
        <v>43</v>
      </c>
      <c r="E209">
        <v>1</v>
      </c>
      <c r="G209">
        <v>3</v>
      </c>
      <c r="H209">
        <v>3</v>
      </c>
      <c r="I209">
        <v>2</v>
      </c>
      <c r="J209">
        <v>7</v>
      </c>
      <c r="K209">
        <v>8</v>
      </c>
    </row>
    <row r="210" spans="1:11" x14ac:dyDescent="0.25">
      <c r="A210" t="s">
        <v>257</v>
      </c>
      <c r="B210" t="s">
        <v>234</v>
      </c>
      <c r="C210" t="s">
        <v>362</v>
      </c>
      <c r="D210" t="s">
        <v>163</v>
      </c>
      <c r="E210">
        <v>1</v>
      </c>
      <c r="G210">
        <v>10</v>
      </c>
      <c r="H210">
        <v>1</v>
      </c>
      <c r="I210">
        <v>3</v>
      </c>
      <c r="J210">
        <v>11</v>
      </c>
      <c r="K210">
        <v>42</v>
      </c>
    </row>
    <row r="211" spans="1:11" x14ac:dyDescent="0.25">
      <c r="A211" t="s">
        <v>257</v>
      </c>
      <c r="B211" t="s">
        <v>234</v>
      </c>
      <c r="C211" t="s">
        <v>361</v>
      </c>
      <c r="D211" t="s">
        <v>164</v>
      </c>
      <c r="E211">
        <v>1</v>
      </c>
      <c r="G211">
        <v>6</v>
      </c>
      <c r="H211">
        <v>1</v>
      </c>
      <c r="I211">
        <v>5</v>
      </c>
      <c r="J211">
        <v>5</v>
      </c>
      <c r="K211">
        <v>20</v>
      </c>
    </row>
    <row r="212" spans="1:11" x14ac:dyDescent="0.25">
      <c r="A212" t="s">
        <v>257</v>
      </c>
      <c r="B212" t="s">
        <v>234</v>
      </c>
      <c r="C212" t="s">
        <v>363</v>
      </c>
      <c r="D212" t="s">
        <v>162</v>
      </c>
      <c r="E212">
        <v>1</v>
      </c>
      <c r="G212">
        <v>6</v>
      </c>
      <c r="H212">
        <v>1</v>
      </c>
      <c r="I212">
        <v>4</v>
      </c>
      <c r="J212">
        <v>9</v>
      </c>
      <c r="K212">
        <v>24</v>
      </c>
    </row>
    <row r="213" spans="1:11" x14ac:dyDescent="0.25">
      <c r="A213" t="s">
        <v>257</v>
      </c>
      <c r="B213" t="s">
        <v>235</v>
      </c>
      <c r="C213" t="s">
        <v>347</v>
      </c>
      <c r="D213" t="s">
        <v>244</v>
      </c>
      <c r="E213">
        <v>15</v>
      </c>
      <c r="F213">
        <v>4</v>
      </c>
      <c r="G213">
        <v>0</v>
      </c>
      <c r="H213">
        <v>101</v>
      </c>
      <c r="I213">
        <v>11</v>
      </c>
      <c r="J213">
        <v>9</v>
      </c>
      <c r="K213">
        <v>42</v>
      </c>
    </row>
    <row r="214" spans="1:11" x14ac:dyDescent="0.25">
      <c r="A214" t="s">
        <v>240</v>
      </c>
      <c r="B214" t="s">
        <v>232</v>
      </c>
      <c r="C214" t="s">
        <v>266</v>
      </c>
      <c r="D214" t="s">
        <v>35</v>
      </c>
      <c r="G214">
        <v>5</v>
      </c>
      <c r="H214">
        <v>15</v>
      </c>
      <c r="K214">
        <v>5</v>
      </c>
    </row>
    <row r="215" spans="1:11" x14ac:dyDescent="0.25">
      <c r="A215" t="s">
        <v>240</v>
      </c>
      <c r="B215" t="s">
        <v>232</v>
      </c>
      <c r="C215" t="s">
        <v>267</v>
      </c>
      <c r="D215" t="s">
        <v>36</v>
      </c>
      <c r="G215">
        <v>11</v>
      </c>
      <c r="H215">
        <v>38</v>
      </c>
      <c r="K215">
        <v>5</v>
      </c>
    </row>
    <row r="216" spans="1:11" x14ac:dyDescent="0.25">
      <c r="A216" t="s">
        <v>240</v>
      </c>
      <c r="B216" t="s">
        <v>232</v>
      </c>
      <c r="C216" t="s">
        <v>268</v>
      </c>
      <c r="D216" t="s">
        <v>38</v>
      </c>
      <c r="G216">
        <v>10</v>
      </c>
      <c r="H216">
        <v>34</v>
      </c>
      <c r="K216">
        <v>5</v>
      </c>
    </row>
    <row r="217" spans="1:11" x14ac:dyDescent="0.25">
      <c r="A217" t="s">
        <v>240</v>
      </c>
      <c r="B217" t="s">
        <v>232</v>
      </c>
      <c r="C217" t="s">
        <v>269</v>
      </c>
      <c r="D217" t="s">
        <v>40</v>
      </c>
      <c r="G217">
        <v>5</v>
      </c>
      <c r="H217">
        <v>13</v>
      </c>
      <c r="K217">
        <v>5</v>
      </c>
    </row>
    <row r="218" spans="1:11" x14ac:dyDescent="0.25">
      <c r="A218" t="s">
        <v>240</v>
      </c>
      <c r="B218" t="s">
        <v>232</v>
      </c>
      <c r="C218" t="s">
        <v>270</v>
      </c>
      <c r="D218" t="s">
        <v>41</v>
      </c>
      <c r="G218">
        <v>10</v>
      </c>
      <c r="H218">
        <v>30</v>
      </c>
      <c r="K218">
        <v>11</v>
      </c>
    </row>
    <row r="219" spans="1:11" x14ac:dyDescent="0.25">
      <c r="A219" t="s">
        <v>240</v>
      </c>
      <c r="B219" t="s">
        <v>232</v>
      </c>
      <c r="C219" t="s">
        <v>272</v>
      </c>
      <c r="D219" t="s">
        <v>42</v>
      </c>
      <c r="G219">
        <v>22</v>
      </c>
      <c r="H219">
        <v>49</v>
      </c>
      <c r="K219">
        <v>16</v>
      </c>
    </row>
    <row r="220" spans="1:11" x14ac:dyDescent="0.25">
      <c r="A220" t="s">
        <v>240</v>
      </c>
      <c r="B220" t="s">
        <v>232</v>
      </c>
      <c r="C220" t="s">
        <v>273</v>
      </c>
      <c r="D220" t="s">
        <v>44</v>
      </c>
      <c r="G220">
        <v>15</v>
      </c>
      <c r="H220">
        <v>49</v>
      </c>
      <c r="K220">
        <v>4</v>
      </c>
    </row>
    <row r="221" spans="1:11" x14ac:dyDescent="0.25">
      <c r="A221" t="s">
        <v>240</v>
      </c>
      <c r="B221" t="s">
        <v>232</v>
      </c>
      <c r="C221" t="s">
        <v>274</v>
      </c>
      <c r="D221" t="s">
        <v>45</v>
      </c>
      <c r="G221">
        <v>15</v>
      </c>
      <c r="H221">
        <v>44</v>
      </c>
      <c r="K221">
        <v>13</v>
      </c>
    </row>
    <row r="222" spans="1:11" x14ac:dyDescent="0.25">
      <c r="A222" t="s">
        <v>240</v>
      </c>
      <c r="B222" t="s">
        <v>232</v>
      </c>
      <c r="C222" t="s">
        <v>275</v>
      </c>
      <c r="D222" t="s">
        <v>46</v>
      </c>
      <c r="G222">
        <v>5</v>
      </c>
      <c r="H222">
        <v>18</v>
      </c>
      <c r="K222">
        <v>5</v>
      </c>
    </row>
    <row r="223" spans="1:11" x14ac:dyDescent="0.25">
      <c r="A223" t="s">
        <v>240</v>
      </c>
      <c r="B223" t="s">
        <v>232</v>
      </c>
      <c r="C223" t="s">
        <v>276</v>
      </c>
      <c r="D223" t="s">
        <v>47</v>
      </c>
      <c r="G223">
        <v>5</v>
      </c>
      <c r="H223">
        <v>19</v>
      </c>
      <c r="K223">
        <v>5</v>
      </c>
    </row>
    <row r="224" spans="1:11" x14ac:dyDescent="0.25">
      <c r="A224" t="s">
        <v>240</v>
      </c>
      <c r="B224" t="s">
        <v>232</v>
      </c>
      <c r="C224" t="s">
        <v>277</v>
      </c>
      <c r="D224" t="s">
        <v>49</v>
      </c>
      <c r="G224">
        <v>16</v>
      </c>
      <c r="H224">
        <v>45</v>
      </c>
      <c r="K224">
        <v>15</v>
      </c>
    </row>
    <row r="225" spans="1:11" x14ac:dyDescent="0.25">
      <c r="A225" t="s">
        <v>240</v>
      </c>
      <c r="B225" t="s">
        <v>232</v>
      </c>
      <c r="C225" t="s">
        <v>279</v>
      </c>
      <c r="D225" t="s">
        <v>52</v>
      </c>
      <c r="G225">
        <v>10</v>
      </c>
      <c r="H225">
        <v>54</v>
      </c>
      <c r="K225">
        <v>5</v>
      </c>
    </row>
    <row r="226" spans="1:11" x14ac:dyDescent="0.25">
      <c r="A226" t="s">
        <v>240</v>
      </c>
      <c r="B226" t="s">
        <v>232</v>
      </c>
      <c r="C226" t="s">
        <v>280</v>
      </c>
      <c r="D226" t="s">
        <v>54</v>
      </c>
      <c r="G226">
        <v>9</v>
      </c>
      <c r="H226">
        <v>32</v>
      </c>
      <c r="K226">
        <v>10</v>
      </c>
    </row>
    <row r="227" spans="1:11" x14ac:dyDescent="0.25">
      <c r="A227" t="s">
        <v>240</v>
      </c>
      <c r="B227" t="s">
        <v>232</v>
      </c>
      <c r="C227" t="s">
        <v>282</v>
      </c>
      <c r="D227" t="s">
        <v>56</v>
      </c>
      <c r="G227">
        <v>10</v>
      </c>
      <c r="H227">
        <v>35</v>
      </c>
      <c r="K227">
        <v>5</v>
      </c>
    </row>
    <row r="228" spans="1:11" x14ac:dyDescent="0.25">
      <c r="A228" t="s">
        <v>240</v>
      </c>
      <c r="B228" t="s">
        <v>232</v>
      </c>
      <c r="C228" t="s">
        <v>283</v>
      </c>
      <c r="D228" t="s">
        <v>57</v>
      </c>
      <c r="G228">
        <v>35</v>
      </c>
      <c r="H228">
        <v>111</v>
      </c>
      <c r="K228">
        <v>20</v>
      </c>
    </row>
    <row r="229" spans="1:11" x14ac:dyDescent="0.25">
      <c r="A229" t="s">
        <v>240</v>
      </c>
      <c r="B229" t="s">
        <v>232</v>
      </c>
      <c r="C229" t="s">
        <v>284</v>
      </c>
      <c r="D229" t="s">
        <v>58</v>
      </c>
      <c r="G229">
        <v>9</v>
      </c>
      <c r="H229">
        <v>34</v>
      </c>
      <c r="K229">
        <v>5</v>
      </c>
    </row>
    <row r="230" spans="1:11" x14ac:dyDescent="0.25">
      <c r="A230" t="s">
        <v>240</v>
      </c>
      <c r="B230" t="s">
        <v>232</v>
      </c>
      <c r="C230" t="s">
        <v>285</v>
      </c>
      <c r="D230" t="s">
        <v>31</v>
      </c>
      <c r="G230">
        <v>33</v>
      </c>
      <c r="H230">
        <v>97</v>
      </c>
      <c r="K230">
        <v>15</v>
      </c>
    </row>
    <row r="231" spans="1:11" x14ac:dyDescent="0.25">
      <c r="A231" t="s">
        <v>240</v>
      </c>
      <c r="B231" t="s">
        <v>232</v>
      </c>
      <c r="C231" t="s">
        <v>286</v>
      </c>
      <c r="D231" t="s">
        <v>32</v>
      </c>
      <c r="G231">
        <v>5</v>
      </c>
      <c r="H231">
        <v>14</v>
      </c>
      <c r="K231">
        <v>5</v>
      </c>
    </row>
    <row r="232" spans="1:11" x14ac:dyDescent="0.25">
      <c r="A232" t="s">
        <v>240</v>
      </c>
      <c r="B232" t="s">
        <v>232</v>
      </c>
      <c r="C232" t="s">
        <v>287</v>
      </c>
      <c r="D232" t="s">
        <v>34</v>
      </c>
      <c r="G232">
        <v>10</v>
      </c>
      <c r="H232">
        <v>30</v>
      </c>
      <c r="K232">
        <v>10</v>
      </c>
    </row>
    <row r="233" spans="1:11" x14ac:dyDescent="0.25">
      <c r="A233" t="s">
        <v>240</v>
      </c>
      <c r="B233" t="s">
        <v>232</v>
      </c>
      <c r="C233" t="s">
        <v>288</v>
      </c>
      <c r="D233" t="s">
        <v>243</v>
      </c>
      <c r="G233">
        <v>54</v>
      </c>
      <c r="H233">
        <v>204</v>
      </c>
      <c r="K233">
        <v>35</v>
      </c>
    </row>
    <row r="234" spans="1:11" x14ac:dyDescent="0.25">
      <c r="A234" t="s">
        <v>240</v>
      </c>
      <c r="B234" t="s">
        <v>232</v>
      </c>
      <c r="C234" t="s">
        <v>289</v>
      </c>
      <c r="D234" t="s">
        <v>53</v>
      </c>
      <c r="G234">
        <v>20</v>
      </c>
      <c r="H234">
        <v>59</v>
      </c>
      <c r="K234">
        <v>15</v>
      </c>
    </row>
    <row r="235" spans="1:11" x14ac:dyDescent="0.25">
      <c r="A235" t="s">
        <v>240</v>
      </c>
      <c r="B235" t="s">
        <v>232</v>
      </c>
      <c r="C235" t="s">
        <v>290</v>
      </c>
      <c r="D235" t="s">
        <v>59</v>
      </c>
      <c r="G235">
        <v>15</v>
      </c>
      <c r="H235">
        <v>43</v>
      </c>
      <c r="K235">
        <v>10</v>
      </c>
    </row>
    <row r="236" spans="1:11" x14ac:dyDescent="0.25">
      <c r="A236" t="s">
        <v>240</v>
      </c>
      <c r="B236" t="s">
        <v>232</v>
      </c>
      <c r="C236" t="s">
        <v>291</v>
      </c>
      <c r="D236" t="s">
        <v>60</v>
      </c>
      <c r="G236">
        <v>11</v>
      </c>
      <c r="H236">
        <v>37</v>
      </c>
      <c r="K236">
        <v>10</v>
      </c>
    </row>
    <row r="237" spans="1:11" x14ac:dyDescent="0.25">
      <c r="A237" t="s">
        <v>240</v>
      </c>
      <c r="B237" t="s">
        <v>232</v>
      </c>
      <c r="C237" t="s">
        <v>292</v>
      </c>
      <c r="D237" t="s">
        <v>33</v>
      </c>
      <c r="G237">
        <v>5</v>
      </c>
      <c r="H237">
        <v>18</v>
      </c>
      <c r="K237">
        <v>5</v>
      </c>
    </row>
    <row r="238" spans="1:11" x14ac:dyDescent="0.25">
      <c r="A238" t="s">
        <v>240</v>
      </c>
      <c r="B238" t="s">
        <v>232</v>
      </c>
      <c r="C238" t="s">
        <v>293</v>
      </c>
      <c r="D238" t="s">
        <v>37</v>
      </c>
      <c r="G238">
        <v>35</v>
      </c>
      <c r="H238">
        <v>122</v>
      </c>
      <c r="K238">
        <v>21</v>
      </c>
    </row>
    <row r="239" spans="1:11" x14ac:dyDescent="0.25">
      <c r="A239" t="s">
        <v>240</v>
      </c>
      <c r="B239" t="s">
        <v>232</v>
      </c>
      <c r="C239" t="s">
        <v>294</v>
      </c>
      <c r="D239" t="s">
        <v>50</v>
      </c>
      <c r="G239">
        <v>31</v>
      </c>
      <c r="H239">
        <v>113</v>
      </c>
      <c r="K239">
        <v>19</v>
      </c>
    </row>
    <row r="240" spans="1:11" x14ac:dyDescent="0.25">
      <c r="A240" t="s">
        <v>240</v>
      </c>
      <c r="B240" t="s">
        <v>232</v>
      </c>
      <c r="C240" t="s">
        <v>295</v>
      </c>
      <c r="D240" t="s">
        <v>39</v>
      </c>
      <c r="G240">
        <v>15</v>
      </c>
      <c r="H240">
        <v>48</v>
      </c>
      <c r="K240">
        <v>15</v>
      </c>
    </row>
    <row r="241" spans="1:11" x14ac:dyDescent="0.25">
      <c r="A241" t="s">
        <v>240</v>
      </c>
      <c r="B241" t="s">
        <v>232</v>
      </c>
      <c r="C241" t="s">
        <v>296</v>
      </c>
      <c r="D241" t="s">
        <v>117</v>
      </c>
      <c r="G241">
        <v>113</v>
      </c>
      <c r="H241">
        <v>319</v>
      </c>
      <c r="K241">
        <v>57</v>
      </c>
    </row>
    <row r="242" spans="1:11" x14ac:dyDescent="0.25">
      <c r="A242" t="s">
        <v>240</v>
      </c>
      <c r="B242" t="s">
        <v>232</v>
      </c>
      <c r="C242" t="s">
        <v>297</v>
      </c>
      <c r="D242" t="s">
        <v>43</v>
      </c>
      <c r="G242">
        <v>49</v>
      </c>
      <c r="H242">
        <v>181</v>
      </c>
      <c r="K242">
        <v>24</v>
      </c>
    </row>
    <row r="243" spans="1:11" x14ac:dyDescent="0.25">
      <c r="A243" t="s">
        <v>240</v>
      </c>
      <c r="B243" t="s">
        <v>233</v>
      </c>
      <c r="C243" t="s">
        <v>334</v>
      </c>
      <c r="D243" t="s">
        <v>31</v>
      </c>
      <c r="E243">
        <v>1</v>
      </c>
      <c r="G243">
        <v>2</v>
      </c>
      <c r="H243">
        <v>2</v>
      </c>
      <c r="I243">
        <v>2</v>
      </c>
      <c r="J243">
        <v>3</v>
      </c>
      <c r="K243">
        <v>5</v>
      </c>
    </row>
    <row r="244" spans="1:11" x14ac:dyDescent="0.25">
      <c r="A244" t="s">
        <v>240</v>
      </c>
      <c r="B244" t="s">
        <v>233</v>
      </c>
      <c r="C244" t="s">
        <v>335</v>
      </c>
      <c r="D244" t="s">
        <v>63</v>
      </c>
      <c r="E244">
        <v>1</v>
      </c>
      <c r="G244">
        <v>7</v>
      </c>
      <c r="I244">
        <v>2</v>
      </c>
      <c r="J244">
        <v>7</v>
      </c>
      <c r="K244">
        <v>8</v>
      </c>
    </row>
    <row r="245" spans="1:11" x14ac:dyDescent="0.25">
      <c r="A245" t="s">
        <v>240</v>
      </c>
      <c r="B245" t="s">
        <v>233</v>
      </c>
      <c r="C245" t="s">
        <v>337</v>
      </c>
      <c r="D245" t="s">
        <v>64</v>
      </c>
      <c r="E245">
        <v>1</v>
      </c>
      <c r="G245">
        <v>6</v>
      </c>
      <c r="H245">
        <v>1</v>
      </c>
      <c r="I245">
        <v>3</v>
      </c>
      <c r="J245">
        <v>9</v>
      </c>
      <c r="K245">
        <v>6</v>
      </c>
    </row>
    <row r="246" spans="1:11" x14ac:dyDescent="0.25">
      <c r="A246" t="s">
        <v>240</v>
      </c>
      <c r="B246" t="s">
        <v>233</v>
      </c>
      <c r="C246" t="s">
        <v>338</v>
      </c>
      <c r="D246" t="s">
        <v>36</v>
      </c>
      <c r="E246">
        <v>1</v>
      </c>
      <c r="G246">
        <v>4</v>
      </c>
      <c r="H246">
        <v>2</v>
      </c>
      <c r="I246">
        <v>2</v>
      </c>
      <c r="J246">
        <v>6</v>
      </c>
      <c r="K246">
        <v>7</v>
      </c>
    </row>
    <row r="247" spans="1:11" x14ac:dyDescent="0.25">
      <c r="A247" t="s">
        <v>240</v>
      </c>
      <c r="B247" t="s">
        <v>233</v>
      </c>
      <c r="C247" t="s">
        <v>339</v>
      </c>
      <c r="D247" t="s">
        <v>66</v>
      </c>
      <c r="E247">
        <v>1</v>
      </c>
      <c r="G247">
        <v>5</v>
      </c>
      <c r="H247">
        <v>1</v>
      </c>
      <c r="I247">
        <v>3</v>
      </c>
      <c r="J247">
        <v>9</v>
      </c>
      <c r="K247">
        <v>8</v>
      </c>
    </row>
    <row r="248" spans="1:11" x14ac:dyDescent="0.25">
      <c r="A248" t="s">
        <v>240</v>
      </c>
      <c r="B248" t="s">
        <v>233</v>
      </c>
      <c r="C248" t="s">
        <v>340</v>
      </c>
      <c r="D248" t="s">
        <v>67</v>
      </c>
      <c r="E248">
        <v>1</v>
      </c>
      <c r="G248">
        <v>3</v>
      </c>
      <c r="H248">
        <v>5</v>
      </c>
      <c r="I248">
        <v>3</v>
      </c>
      <c r="J248">
        <v>7</v>
      </c>
      <c r="K248">
        <v>8</v>
      </c>
    </row>
    <row r="249" spans="1:11" x14ac:dyDescent="0.25">
      <c r="A249" t="s">
        <v>240</v>
      </c>
      <c r="B249" t="s">
        <v>233</v>
      </c>
      <c r="C249" t="s">
        <v>341</v>
      </c>
      <c r="D249" t="s">
        <v>68</v>
      </c>
      <c r="E249">
        <v>1</v>
      </c>
      <c r="G249">
        <v>2</v>
      </c>
      <c r="H249">
        <v>2</v>
      </c>
      <c r="I249">
        <v>3</v>
      </c>
      <c r="J249">
        <v>4</v>
      </c>
      <c r="K249">
        <v>4</v>
      </c>
    </row>
    <row r="250" spans="1:11" x14ac:dyDescent="0.25">
      <c r="A250" t="s">
        <v>240</v>
      </c>
      <c r="B250" t="s">
        <v>233</v>
      </c>
      <c r="C250" t="s">
        <v>342</v>
      </c>
      <c r="D250" t="s">
        <v>165</v>
      </c>
      <c r="E250">
        <v>1</v>
      </c>
      <c r="G250">
        <v>6</v>
      </c>
      <c r="H250">
        <v>3</v>
      </c>
      <c r="I250">
        <v>3</v>
      </c>
      <c r="J250">
        <v>7</v>
      </c>
      <c r="K250">
        <v>11</v>
      </c>
    </row>
    <row r="251" spans="1:11" x14ac:dyDescent="0.25">
      <c r="A251" t="s">
        <v>240</v>
      </c>
      <c r="B251" t="s">
        <v>233</v>
      </c>
      <c r="C251" t="s">
        <v>343</v>
      </c>
      <c r="D251" t="s">
        <v>69</v>
      </c>
      <c r="E251">
        <v>1</v>
      </c>
      <c r="G251">
        <v>3</v>
      </c>
      <c r="H251">
        <v>2</v>
      </c>
      <c r="I251">
        <v>2</v>
      </c>
      <c r="J251">
        <v>5</v>
      </c>
      <c r="K251">
        <v>6</v>
      </c>
    </row>
    <row r="252" spans="1:11" x14ac:dyDescent="0.25">
      <c r="A252" t="s">
        <v>240</v>
      </c>
      <c r="B252" t="s">
        <v>233</v>
      </c>
      <c r="C252" t="s">
        <v>994</v>
      </c>
      <c r="D252" t="s">
        <v>117</v>
      </c>
      <c r="E252">
        <v>1</v>
      </c>
      <c r="G252">
        <v>2</v>
      </c>
      <c r="H252">
        <v>1</v>
      </c>
      <c r="I252">
        <v>4</v>
      </c>
      <c r="J252">
        <v>8</v>
      </c>
      <c r="K252">
        <v>6</v>
      </c>
    </row>
    <row r="253" spans="1:11" x14ac:dyDescent="0.25">
      <c r="A253" t="s">
        <v>240</v>
      </c>
      <c r="B253" t="s">
        <v>233</v>
      </c>
      <c r="C253" t="s">
        <v>344</v>
      </c>
      <c r="D253" t="s">
        <v>70</v>
      </c>
      <c r="E253">
        <v>1</v>
      </c>
      <c r="G253">
        <v>7</v>
      </c>
      <c r="H253">
        <v>1</v>
      </c>
      <c r="I253">
        <v>4</v>
      </c>
      <c r="J253">
        <v>12</v>
      </c>
      <c r="K253">
        <v>7</v>
      </c>
    </row>
    <row r="254" spans="1:11" x14ac:dyDescent="0.25">
      <c r="A254" t="s">
        <v>240</v>
      </c>
      <c r="B254" t="s">
        <v>233</v>
      </c>
      <c r="C254" t="s">
        <v>995</v>
      </c>
      <c r="D254" t="s">
        <v>50</v>
      </c>
      <c r="E254">
        <v>1</v>
      </c>
      <c r="G254">
        <v>2</v>
      </c>
      <c r="H254">
        <v>1</v>
      </c>
      <c r="I254">
        <v>2</v>
      </c>
      <c r="J254">
        <v>6</v>
      </c>
      <c r="K254">
        <v>5</v>
      </c>
    </row>
    <row r="255" spans="1:11" x14ac:dyDescent="0.25">
      <c r="A255" t="s">
        <v>240</v>
      </c>
      <c r="B255" t="s">
        <v>233</v>
      </c>
      <c r="C255" t="s">
        <v>345</v>
      </c>
      <c r="D255" t="s">
        <v>57</v>
      </c>
      <c r="E255">
        <v>1</v>
      </c>
      <c r="G255">
        <v>2</v>
      </c>
      <c r="H255">
        <v>1</v>
      </c>
      <c r="I255">
        <v>2</v>
      </c>
      <c r="J255">
        <v>6</v>
      </c>
      <c r="K255">
        <v>4</v>
      </c>
    </row>
    <row r="256" spans="1:11" x14ac:dyDescent="0.25">
      <c r="A256" t="s">
        <v>240</v>
      </c>
      <c r="B256" t="s">
        <v>233</v>
      </c>
      <c r="C256" t="s">
        <v>996</v>
      </c>
      <c r="D256" t="s">
        <v>985</v>
      </c>
      <c r="E256">
        <v>1</v>
      </c>
      <c r="G256">
        <v>3</v>
      </c>
      <c r="H256">
        <v>1</v>
      </c>
      <c r="I256">
        <v>3</v>
      </c>
      <c r="J256">
        <v>5</v>
      </c>
      <c r="K256">
        <v>5</v>
      </c>
    </row>
    <row r="257" spans="1:11" x14ac:dyDescent="0.25">
      <c r="A257" t="s">
        <v>240</v>
      </c>
      <c r="B257" t="s">
        <v>233</v>
      </c>
      <c r="C257" t="s">
        <v>346</v>
      </c>
      <c r="D257" t="s">
        <v>71</v>
      </c>
      <c r="E257">
        <v>1</v>
      </c>
      <c r="G257">
        <v>5</v>
      </c>
      <c r="I257">
        <v>2</v>
      </c>
      <c r="J257">
        <v>6</v>
      </c>
      <c r="K257">
        <v>5</v>
      </c>
    </row>
    <row r="258" spans="1:11" x14ac:dyDescent="0.25">
      <c r="A258" t="s">
        <v>240</v>
      </c>
      <c r="B258" t="s">
        <v>233</v>
      </c>
      <c r="C258" t="s">
        <v>336</v>
      </c>
      <c r="D258" t="s">
        <v>65</v>
      </c>
      <c r="E258">
        <v>1</v>
      </c>
      <c r="G258">
        <v>3</v>
      </c>
      <c r="H258">
        <v>2</v>
      </c>
      <c r="I258">
        <v>4</v>
      </c>
      <c r="J258">
        <v>9</v>
      </c>
      <c r="K258">
        <v>9</v>
      </c>
    </row>
    <row r="259" spans="1:11" x14ac:dyDescent="0.25">
      <c r="A259" t="s">
        <v>240</v>
      </c>
      <c r="B259" t="s">
        <v>233</v>
      </c>
      <c r="C259" t="s">
        <v>993</v>
      </c>
      <c r="D259" t="s">
        <v>43</v>
      </c>
      <c r="G259">
        <v>1</v>
      </c>
      <c r="H259">
        <v>4</v>
      </c>
      <c r="I259">
        <v>2</v>
      </c>
      <c r="J259">
        <v>6</v>
      </c>
      <c r="K259">
        <v>6</v>
      </c>
    </row>
    <row r="260" spans="1:11" x14ac:dyDescent="0.25">
      <c r="A260" t="s">
        <v>240</v>
      </c>
      <c r="B260" t="s">
        <v>234</v>
      </c>
      <c r="C260" t="s">
        <v>362</v>
      </c>
      <c r="D260" t="s">
        <v>163</v>
      </c>
      <c r="E260">
        <v>1</v>
      </c>
      <c r="G260">
        <v>18</v>
      </c>
      <c r="I260">
        <v>4</v>
      </c>
      <c r="J260">
        <v>13</v>
      </c>
      <c r="K260">
        <v>37</v>
      </c>
    </row>
    <row r="261" spans="1:11" x14ac:dyDescent="0.25">
      <c r="A261" t="s">
        <v>240</v>
      </c>
      <c r="B261" t="s">
        <v>234</v>
      </c>
      <c r="C261" t="s">
        <v>361</v>
      </c>
      <c r="D261" t="s">
        <v>164</v>
      </c>
      <c r="E261">
        <v>1</v>
      </c>
      <c r="G261">
        <v>9</v>
      </c>
      <c r="I261">
        <v>5</v>
      </c>
      <c r="J261">
        <v>6</v>
      </c>
      <c r="K261">
        <v>16</v>
      </c>
    </row>
    <row r="262" spans="1:11" x14ac:dyDescent="0.25">
      <c r="A262" t="s">
        <v>240</v>
      </c>
      <c r="B262" t="s">
        <v>234</v>
      </c>
      <c r="C262" t="s">
        <v>363</v>
      </c>
      <c r="D262" t="s">
        <v>162</v>
      </c>
      <c r="E262">
        <v>1</v>
      </c>
      <c r="G262">
        <v>11</v>
      </c>
      <c r="I262">
        <v>6</v>
      </c>
      <c r="J262">
        <v>10</v>
      </c>
      <c r="K262">
        <v>18</v>
      </c>
    </row>
    <row r="263" spans="1:11" x14ac:dyDescent="0.25">
      <c r="A263" t="s">
        <v>240</v>
      </c>
      <c r="B263" t="s">
        <v>235</v>
      </c>
      <c r="C263" t="s">
        <v>347</v>
      </c>
      <c r="D263" t="s">
        <v>244</v>
      </c>
      <c r="E263">
        <v>15</v>
      </c>
      <c r="F263">
        <v>4</v>
      </c>
      <c r="H263">
        <v>55</v>
      </c>
      <c r="I263">
        <v>13</v>
      </c>
      <c r="J263">
        <v>9</v>
      </c>
      <c r="K263">
        <v>47</v>
      </c>
    </row>
    <row r="264" spans="1:11" x14ac:dyDescent="0.25">
      <c r="A264" t="s">
        <v>239</v>
      </c>
      <c r="B264" t="s">
        <v>232</v>
      </c>
      <c r="C264" t="s">
        <v>267</v>
      </c>
      <c r="D264" t="s">
        <v>36</v>
      </c>
      <c r="E264">
        <v>0</v>
      </c>
      <c r="F264">
        <v>0</v>
      </c>
      <c r="G264">
        <v>10</v>
      </c>
      <c r="H264">
        <v>38</v>
      </c>
      <c r="I264">
        <v>0</v>
      </c>
      <c r="J264">
        <v>0</v>
      </c>
      <c r="K264">
        <v>5</v>
      </c>
    </row>
    <row r="265" spans="1:11" x14ac:dyDescent="0.25">
      <c r="A265" t="s">
        <v>239</v>
      </c>
      <c r="B265" t="s">
        <v>232</v>
      </c>
      <c r="C265" t="s">
        <v>268</v>
      </c>
      <c r="D265" t="s">
        <v>38</v>
      </c>
      <c r="E265">
        <v>0</v>
      </c>
      <c r="F265">
        <v>0</v>
      </c>
      <c r="G265">
        <v>10</v>
      </c>
      <c r="H265">
        <v>32</v>
      </c>
      <c r="I265">
        <v>0</v>
      </c>
      <c r="J265">
        <v>0</v>
      </c>
      <c r="K265">
        <v>5</v>
      </c>
    </row>
    <row r="266" spans="1:11" x14ac:dyDescent="0.25">
      <c r="A266" t="s">
        <v>239</v>
      </c>
      <c r="B266" t="s">
        <v>232</v>
      </c>
      <c r="C266" t="s">
        <v>270</v>
      </c>
      <c r="D266" t="s">
        <v>41</v>
      </c>
      <c r="E266">
        <v>0</v>
      </c>
      <c r="F266">
        <v>0</v>
      </c>
      <c r="G266">
        <v>10</v>
      </c>
      <c r="H266">
        <v>31</v>
      </c>
      <c r="I266">
        <v>0</v>
      </c>
      <c r="J266">
        <v>0</v>
      </c>
      <c r="K266">
        <v>11</v>
      </c>
    </row>
    <row r="267" spans="1:11" x14ac:dyDescent="0.25">
      <c r="A267" t="s">
        <v>239</v>
      </c>
      <c r="B267" t="s">
        <v>232</v>
      </c>
      <c r="C267" t="s">
        <v>273</v>
      </c>
      <c r="D267" t="s">
        <v>44</v>
      </c>
      <c r="E267">
        <v>0</v>
      </c>
      <c r="F267">
        <v>0</v>
      </c>
      <c r="G267">
        <v>15</v>
      </c>
      <c r="H267">
        <v>50</v>
      </c>
      <c r="I267">
        <v>0</v>
      </c>
      <c r="J267">
        <v>0</v>
      </c>
      <c r="K267">
        <v>5</v>
      </c>
    </row>
    <row r="268" spans="1:11" x14ac:dyDescent="0.25">
      <c r="A268" t="s">
        <v>239</v>
      </c>
      <c r="B268" t="s">
        <v>232</v>
      </c>
      <c r="C268" t="s">
        <v>274</v>
      </c>
      <c r="D268" t="s">
        <v>45</v>
      </c>
      <c r="E268">
        <v>0</v>
      </c>
      <c r="F268">
        <v>0</v>
      </c>
      <c r="G268">
        <v>15</v>
      </c>
      <c r="H268">
        <v>47</v>
      </c>
      <c r="I268">
        <v>0</v>
      </c>
      <c r="J268">
        <v>0</v>
      </c>
      <c r="K268">
        <v>10</v>
      </c>
    </row>
    <row r="269" spans="1:11" x14ac:dyDescent="0.25">
      <c r="A269" t="s">
        <v>239</v>
      </c>
      <c r="B269" t="s">
        <v>232</v>
      </c>
      <c r="C269" t="s">
        <v>276</v>
      </c>
      <c r="D269" t="s">
        <v>47</v>
      </c>
      <c r="E269">
        <v>0</v>
      </c>
      <c r="F269">
        <v>0</v>
      </c>
      <c r="G269">
        <v>5</v>
      </c>
      <c r="H269">
        <v>20</v>
      </c>
      <c r="I269">
        <v>0</v>
      </c>
      <c r="J269">
        <v>0</v>
      </c>
      <c r="K269">
        <v>5</v>
      </c>
    </row>
    <row r="270" spans="1:11" x14ac:dyDescent="0.25">
      <c r="A270" t="s">
        <v>239</v>
      </c>
      <c r="B270" t="s">
        <v>232</v>
      </c>
      <c r="C270" t="s">
        <v>277</v>
      </c>
      <c r="D270" t="s">
        <v>49</v>
      </c>
      <c r="E270">
        <v>0</v>
      </c>
      <c r="F270">
        <v>0</v>
      </c>
      <c r="G270">
        <v>15</v>
      </c>
      <c r="H270">
        <v>45</v>
      </c>
      <c r="I270">
        <v>0</v>
      </c>
      <c r="J270">
        <v>0</v>
      </c>
      <c r="K270">
        <v>16</v>
      </c>
    </row>
    <row r="271" spans="1:11" x14ac:dyDescent="0.25">
      <c r="A271" t="s">
        <v>239</v>
      </c>
      <c r="B271" t="s">
        <v>232</v>
      </c>
      <c r="C271" t="s">
        <v>282</v>
      </c>
      <c r="D271" t="s">
        <v>56</v>
      </c>
      <c r="E271">
        <v>0</v>
      </c>
      <c r="F271">
        <v>0</v>
      </c>
      <c r="G271">
        <v>11</v>
      </c>
      <c r="H271">
        <v>34</v>
      </c>
      <c r="I271">
        <v>0</v>
      </c>
      <c r="J271">
        <v>0</v>
      </c>
      <c r="K271">
        <v>5</v>
      </c>
    </row>
    <row r="272" spans="1:11" x14ac:dyDescent="0.25">
      <c r="A272" t="s">
        <v>239</v>
      </c>
      <c r="B272" t="s">
        <v>232</v>
      </c>
      <c r="C272" t="s">
        <v>283</v>
      </c>
      <c r="D272" t="s">
        <v>57</v>
      </c>
      <c r="E272">
        <v>0</v>
      </c>
      <c r="F272">
        <v>0</v>
      </c>
      <c r="G272">
        <v>36</v>
      </c>
      <c r="H272">
        <v>111</v>
      </c>
      <c r="I272">
        <v>0</v>
      </c>
      <c r="J272">
        <v>0</v>
      </c>
      <c r="K272">
        <v>20</v>
      </c>
    </row>
    <row r="273" spans="1:11" x14ac:dyDescent="0.25">
      <c r="A273" t="s">
        <v>239</v>
      </c>
      <c r="B273" t="s">
        <v>232</v>
      </c>
      <c r="C273" t="s">
        <v>285</v>
      </c>
      <c r="D273" t="s">
        <v>31</v>
      </c>
      <c r="E273">
        <v>0</v>
      </c>
      <c r="F273">
        <v>0</v>
      </c>
      <c r="G273">
        <v>35</v>
      </c>
      <c r="H273">
        <v>104</v>
      </c>
      <c r="I273">
        <v>0</v>
      </c>
      <c r="J273">
        <v>0</v>
      </c>
      <c r="K273">
        <v>15</v>
      </c>
    </row>
    <row r="274" spans="1:11" x14ac:dyDescent="0.25">
      <c r="A274" t="s">
        <v>239</v>
      </c>
      <c r="B274" t="s">
        <v>232</v>
      </c>
      <c r="C274" t="s">
        <v>286</v>
      </c>
      <c r="D274" t="s">
        <v>32</v>
      </c>
      <c r="E274">
        <v>0</v>
      </c>
      <c r="F274">
        <v>0</v>
      </c>
      <c r="G274">
        <v>5</v>
      </c>
      <c r="H274">
        <v>20</v>
      </c>
      <c r="I274">
        <v>0</v>
      </c>
      <c r="J274">
        <v>0</v>
      </c>
      <c r="K274">
        <v>5</v>
      </c>
    </row>
    <row r="275" spans="1:11" x14ac:dyDescent="0.25">
      <c r="A275" t="s">
        <v>239</v>
      </c>
      <c r="B275" t="s">
        <v>232</v>
      </c>
      <c r="C275" t="s">
        <v>287</v>
      </c>
      <c r="D275" t="s">
        <v>34</v>
      </c>
      <c r="E275">
        <v>0</v>
      </c>
      <c r="F275">
        <v>0</v>
      </c>
      <c r="G275">
        <v>11</v>
      </c>
      <c r="H275">
        <v>33</v>
      </c>
      <c r="I275">
        <v>0</v>
      </c>
      <c r="J275">
        <v>0</v>
      </c>
      <c r="K275">
        <v>10</v>
      </c>
    </row>
    <row r="276" spans="1:11" x14ac:dyDescent="0.25">
      <c r="A276" t="s">
        <v>239</v>
      </c>
      <c r="B276" t="s">
        <v>232</v>
      </c>
      <c r="C276" t="s">
        <v>289</v>
      </c>
      <c r="D276" t="s">
        <v>53</v>
      </c>
      <c r="E276">
        <v>0</v>
      </c>
      <c r="F276">
        <v>0</v>
      </c>
      <c r="G276">
        <v>18</v>
      </c>
      <c r="H276">
        <v>65</v>
      </c>
      <c r="I276">
        <v>0</v>
      </c>
      <c r="J276">
        <v>0</v>
      </c>
      <c r="K276">
        <v>16</v>
      </c>
    </row>
    <row r="277" spans="1:11" x14ac:dyDescent="0.25">
      <c r="A277" t="s">
        <v>239</v>
      </c>
      <c r="B277" t="s">
        <v>232</v>
      </c>
      <c r="C277" t="s">
        <v>290</v>
      </c>
      <c r="D277" t="s">
        <v>59</v>
      </c>
      <c r="E277">
        <v>0</v>
      </c>
      <c r="F277">
        <v>0</v>
      </c>
      <c r="G277">
        <v>15</v>
      </c>
      <c r="H277">
        <v>48</v>
      </c>
      <c r="I277">
        <v>0</v>
      </c>
      <c r="J277">
        <v>0</v>
      </c>
      <c r="K277">
        <v>10</v>
      </c>
    </row>
    <row r="278" spans="1:11" x14ac:dyDescent="0.25">
      <c r="A278" t="s">
        <v>239</v>
      </c>
      <c r="B278" t="s">
        <v>232</v>
      </c>
      <c r="C278" t="s">
        <v>292</v>
      </c>
      <c r="D278" t="s">
        <v>33</v>
      </c>
      <c r="E278">
        <v>0</v>
      </c>
      <c r="F278">
        <v>0</v>
      </c>
      <c r="G278">
        <v>5</v>
      </c>
      <c r="H278">
        <v>18</v>
      </c>
      <c r="I278">
        <v>0</v>
      </c>
      <c r="J278">
        <v>0</v>
      </c>
      <c r="K278">
        <v>5</v>
      </c>
    </row>
    <row r="279" spans="1:11" x14ac:dyDescent="0.25">
      <c r="A279" t="s">
        <v>239</v>
      </c>
      <c r="B279" t="s">
        <v>232</v>
      </c>
      <c r="C279" t="s">
        <v>293</v>
      </c>
      <c r="D279" t="s">
        <v>37</v>
      </c>
      <c r="E279">
        <v>0</v>
      </c>
      <c r="F279">
        <v>0</v>
      </c>
      <c r="G279">
        <v>35</v>
      </c>
      <c r="H279">
        <v>122</v>
      </c>
      <c r="I279">
        <v>0</v>
      </c>
      <c r="J279">
        <v>0</v>
      </c>
      <c r="K279">
        <v>20</v>
      </c>
    </row>
    <row r="280" spans="1:11" x14ac:dyDescent="0.25">
      <c r="A280" t="s">
        <v>239</v>
      </c>
      <c r="B280" t="s">
        <v>232</v>
      </c>
      <c r="C280" t="s">
        <v>294</v>
      </c>
      <c r="D280" t="s">
        <v>50</v>
      </c>
      <c r="E280">
        <v>0</v>
      </c>
      <c r="F280">
        <v>0</v>
      </c>
      <c r="G280">
        <v>35</v>
      </c>
      <c r="H280">
        <v>111</v>
      </c>
      <c r="I280">
        <v>0</v>
      </c>
      <c r="J280">
        <v>0</v>
      </c>
      <c r="K280">
        <v>20</v>
      </c>
    </row>
    <row r="281" spans="1:11" x14ac:dyDescent="0.25">
      <c r="A281" t="s">
        <v>239</v>
      </c>
      <c r="B281" t="s">
        <v>232</v>
      </c>
      <c r="C281" t="s">
        <v>295</v>
      </c>
      <c r="D281" t="s">
        <v>39</v>
      </c>
      <c r="E281">
        <v>0</v>
      </c>
      <c r="F281">
        <v>0</v>
      </c>
      <c r="G281">
        <v>15</v>
      </c>
      <c r="H281">
        <v>47</v>
      </c>
      <c r="I281">
        <v>0</v>
      </c>
      <c r="J281">
        <v>0</v>
      </c>
      <c r="K281">
        <v>16</v>
      </c>
    </row>
    <row r="282" spans="1:11" x14ac:dyDescent="0.25">
      <c r="A282" t="s">
        <v>239</v>
      </c>
      <c r="B282" t="s">
        <v>232</v>
      </c>
      <c r="C282" t="s">
        <v>296</v>
      </c>
      <c r="D282" t="s">
        <v>117</v>
      </c>
      <c r="E282">
        <v>0</v>
      </c>
      <c r="F282">
        <v>0</v>
      </c>
      <c r="G282">
        <v>110</v>
      </c>
      <c r="H282">
        <v>349</v>
      </c>
      <c r="I282">
        <v>0</v>
      </c>
      <c r="J282">
        <v>0</v>
      </c>
      <c r="K282">
        <v>56</v>
      </c>
    </row>
    <row r="283" spans="1:11" x14ac:dyDescent="0.25">
      <c r="A283" t="s">
        <v>239</v>
      </c>
      <c r="B283" t="s">
        <v>232</v>
      </c>
      <c r="C283" t="s">
        <v>945</v>
      </c>
      <c r="D283" t="s">
        <v>52</v>
      </c>
      <c r="E283">
        <v>0</v>
      </c>
      <c r="F283">
        <v>0</v>
      </c>
      <c r="G283">
        <v>10</v>
      </c>
      <c r="H283">
        <v>54</v>
      </c>
      <c r="I283">
        <v>0</v>
      </c>
      <c r="J283">
        <v>0</v>
      </c>
      <c r="K283">
        <v>5</v>
      </c>
    </row>
    <row r="284" spans="1:11" x14ac:dyDescent="0.25">
      <c r="A284" t="s">
        <v>239</v>
      </c>
      <c r="B284" t="s">
        <v>232</v>
      </c>
      <c r="C284" t="s">
        <v>361</v>
      </c>
      <c r="D284" t="s">
        <v>243</v>
      </c>
      <c r="E284">
        <v>0</v>
      </c>
      <c r="F284">
        <v>0</v>
      </c>
      <c r="G284">
        <v>59</v>
      </c>
      <c r="H284">
        <v>203</v>
      </c>
      <c r="I284">
        <v>0</v>
      </c>
      <c r="J284">
        <v>0</v>
      </c>
      <c r="K284">
        <v>35</v>
      </c>
    </row>
    <row r="285" spans="1:11" x14ac:dyDescent="0.25">
      <c r="A285" t="s">
        <v>239</v>
      </c>
      <c r="B285" t="s">
        <v>232</v>
      </c>
      <c r="C285" t="s">
        <v>361</v>
      </c>
      <c r="D285" t="s">
        <v>35</v>
      </c>
      <c r="E285">
        <v>0</v>
      </c>
      <c r="F285">
        <v>0</v>
      </c>
      <c r="G285">
        <v>5</v>
      </c>
      <c r="H285">
        <v>15</v>
      </c>
      <c r="I285">
        <v>0</v>
      </c>
      <c r="J285">
        <v>0</v>
      </c>
      <c r="K285">
        <v>5</v>
      </c>
    </row>
    <row r="286" spans="1:11" x14ac:dyDescent="0.25">
      <c r="A286" t="s">
        <v>239</v>
      </c>
      <c r="B286" t="s">
        <v>232</v>
      </c>
      <c r="C286" t="s">
        <v>361</v>
      </c>
      <c r="D286" t="s">
        <v>40</v>
      </c>
      <c r="E286">
        <v>0</v>
      </c>
      <c r="F286">
        <v>0</v>
      </c>
      <c r="G286">
        <v>5</v>
      </c>
      <c r="H286">
        <v>14</v>
      </c>
      <c r="I286">
        <v>0</v>
      </c>
      <c r="J286">
        <v>0</v>
      </c>
      <c r="K286">
        <v>5</v>
      </c>
    </row>
    <row r="287" spans="1:11" x14ac:dyDescent="0.25">
      <c r="A287" t="s">
        <v>239</v>
      </c>
      <c r="B287" t="s">
        <v>232</v>
      </c>
      <c r="C287" t="s">
        <v>361</v>
      </c>
      <c r="D287" t="s">
        <v>42</v>
      </c>
      <c r="E287">
        <v>0</v>
      </c>
      <c r="F287">
        <v>0</v>
      </c>
      <c r="G287">
        <v>20</v>
      </c>
      <c r="H287">
        <v>53</v>
      </c>
      <c r="I287">
        <v>0</v>
      </c>
      <c r="J287">
        <v>0</v>
      </c>
      <c r="K287">
        <v>15</v>
      </c>
    </row>
    <row r="288" spans="1:11" x14ac:dyDescent="0.25">
      <c r="A288" t="s">
        <v>239</v>
      </c>
      <c r="B288" t="s">
        <v>232</v>
      </c>
      <c r="C288" t="s">
        <v>361</v>
      </c>
      <c r="D288" t="s">
        <v>43</v>
      </c>
      <c r="E288">
        <v>0</v>
      </c>
      <c r="F288">
        <v>0</v>
      </c>
      <c r="G288">
        <v>48</v>
      </c>
      <c r="H288">
        <v>199</v>
      </c>
      <c r="I288">
        <v>0</v>
      </c>
      <c r="J288">
        <v>0</v>
      </c>
      <c r="K288">
        <v>27</v>
      </c>
    </row>
    <row r="289" spans="1:11" x14ac:dyDescent="0.25">
      <c r="A289" t="s">
        <v>239</v>
      </c>
      <c r="B289" t="s">
        <v>232</v>
      </c>
      <c r="C289" t="s">
        <v>361</v>
      </c>
      <c r="D289" t="s">
        <v>46</v>
      </c>
      <c r="E289">
        <v>0</v>
      </c>
      <c r="F289">
        <v>0</v>
      </c>
      <c r="G289">
        <v>4</v>
      </c>
      <c r="H289">
        <v>17</v>
      </c>
      <c r="I289">
        <v>0</v>
      </c>
      <c r="J289">
        <v>0</v>
      </c>
      <c r="K289">
        <v>5</v>
      </c>
    </row>
    <row r="290" spans="1:11" x14ac:dyDescent="0.25">
      <c r="A290" t="s">
        <v>239</v>
      </c>
      <c r="B290" t="s">
        <v>232</v>
      </c>
      <c r="C290" t="s">
        <v>361</v>
      </c>
      <c r="D290" t="s">
        <v>54</v>
      </c>
      <c r="E290">
        <v>0</v>
      </c>
      <c r="F290">
        <v>0</v>
      </c>
      <c r="G290">
        <v>10</v>
      </c>
      <c r="H290">
        <v>36</v>
      </c>
      <c r="I290">
        <v>0</v>
      </c>
      <c r="J290">
        <v>0</v>
      </c>
      <c r="K290">
        <v>10</v>
      </c>
    </row>
    <row r="291" spans="1:11" x14ac:dyDescent="0.25">
      <c r="A291" t="s">
        <v>239</v>
      </c>
      <c r="B291" t="s">
        <v>232</v>
      </c>
      <c r="C291" t="s">
        <v>361</v>
      </c>
      <c r="D291" t="s">
        <v>58</v>
      </c>
      <c r="E291">
        <v>0</v>
      </c>
      <c r="F291">
        <v>0</v>
      </c>
      <c r="G291">
        <v>10</v>
      </c>
      <c r="H291">
        <v>34</v>
      </c>
      <c r="I291">
        <v>0</v>
      </c>
      <c r="J291">
        <v>0</v>
      </c>
      <c r="K291">
        <v>5</v>
      </c>
    </row>
    <row r="292" spans="1:11" x14ac:dyDescent="0.25">
      <c r="A292" t="s">
        <v>239</v>
      </c>
      <c r="B292" t="s">
        <v>232</v>
      </c>
      <c r="C292" t="s">
        <v>361</v>
      </c>
      <c r="D292" t="s">
        <v>60</v>
      </c>
      <c r="E292">
        <v>0</v>
      </c>
      <c r="F292">
        <v>0</v>
      </c>
      <c r="G292">
        <v>10</v>
      </c>
      <c r="H292">
        <v>36</v>
      </c>
      <c r="I292">
        <v>0</v>
      </c>
      <c r="J292">
        <v>0</v>
      </c>
      <c r="K292">
        <v>10</v>
      </c>
    </row>
    <row r="293" spans="1:11" x14ac:dyDescent="0.25">
      <c r="A293" t="s">
        <v>239</v>
      </c>
      <c r="B293" t="s">
        <v>233</v>
      </c>
      <c r="C293" t="s">
        <v>334</v>
      </c>
      <c r="D293" t="s">
        <v>31</v>
      </c>
      <c r="E293">
        <v>1</v>
      </c>
      <c r="F293">
        <v>0</v>
      </c>
      <c r="G293">
        <v>2</v>
      </c>
      <c r="H293">
        <v>1</v>
      </c>
      <c r="I293">
        <v>2</v>
      </c>
      <c r="J293">
        <v>4</v>
      </c>
      <c r="K293">
        <v>6</v>
      </c>
    </row>
    <row r="294" spans="1:11" x14ac:dyDescent="0.25">
      <c r="A294" t="s">
        <v>239</v>
      </c>
      <c r="B294" t="s">
        <v>233</v>
      </c>
      <c r="C294" t="s">
        <v>335</v>
      </c>
      <c r="D294" t="s">
        <v>63</v>
      </c>
      <c r="E294">
        <v>1</v>
      </c>
      <c r="F294">
        <v>0</v>
      </c>
      <c r="G294">
        <v>6</v>
      </c>
      <c r="H294">
        <v>0</v>
      </c>
      <c r="I294">
        <v>2</v>
      </c>
      <c r="J294">
        <v>8</v>
      </c>
      <c r="K294">
        <v>8</v>
      </c>
    </row>
    <row r="295" spans="1:11" x14ac:dyDescent="0.25">
      <c r="A295" t="s">
        <v>239</v>
      </c>
      <c r="B295" t="s">
        <v>233</v>
      </c>
      <c r="C295" t="s">
        <v>337</v>
      </c>
      <c r="D295" t="s">
        <v>64</v>
      </c>
      <c r="E295">
        <v>1</v>
      </c>
      <c r="F295">
        <v>0</v>
      </c>
      <c r="G295">
        <v>6</v>
      </c>
      <c r="H295">
        <v>2</v>
      </c>
      <c r="I295">
        <v>3</v>
      </c>
      <c r="J295">
        <v>8</v>
      </c>
      <c r="K295">
        <v>6</v>
      </c>
    </row>
    <row r="296" spans="1:11" x14ac:dyDescent="0.25">
      <c r="A296" t="s">
        <v>239</v>
      </c>
      <c r="B296" t="s">
        <v>233</v>
      </c>
      <c r="C296" t="s">
        <v>338</v>
      </c>
      <c r="D296" t="s">
        <v>36</v>
      </c>
      <c r="E296">
        <v>1</v>
      </c>
      <c r="F296">
        <v>0</v>
      </c>
      <c r="G296">
        <v>4</v>
      </c>
      <c r="H296">
        <v>2</v>
      </c>
      <c r="I296">
        <v>2</v>
      </c>
      <c r="J296">
        <v>6</v>
      </c>
      <c r="K296">
        <v>7</v>
      </c>
    </row>
    <row r="297" spans="1:11" x14ac:dyDescent="0.25">
      <c r="A297" t="s">
        <v>239</v>
      </c>
      <c r="B297" t="s">
        <v>233</v>
      </c>
      <c r="C297" t="s">
        <v>339</v>
      </c>
      <c r="D297" t="s">
        <v>66</v>
      </c>
      <c r="E297">
        <v>1</v>
      </c>
      <c r="F297">
        <v>0</v>
      </c>
      <c r="G297">
        <v>2</v>
      </c>
      <c r="H297">
        <v>2</v>
      </c>
      <c r="I297">
        <v>3</v>
      </c>
      <c r="J297">
        <v>9</v>
      </c>
      <c r="K297">
        <v>8</v>
      </c>
    </row>
    <row r="298" spans="1:11" x14ac:dyDescent="0.25">
      <c r="A298" t="s">
        <v>239</v>
      </c>
      <c r="B298" t="s">
        <v>233</v>
      </c>
      <c r="C298" t="s">
        <v>340</v>
      </c>
      <c r="D298" t="s">
        <v>67</v>
      </c>
      <c r="E298">
        <v>1</v>
      </c>
      <c r="F298">
        <v>0</v>
      </c>
      <c r="G298">
        <v>2</v>
      </c>
      <c r="H298">
        <v>3</v>
      </c>
      <c r="I298">
        <v>3</v>
      </c>
      <c r="J298">
        <v>7</v>
      </c>
      <c r="K298">
        <v>9</v>
      </c>
    </row>
    <row r="299" spans="1:11" x14ac:dyDescent="0.25">
      <c r="A299" t="s">
        <v>239</v>
      </c>
      <c r="B299" t="s">
        <v>233</v>
      </c>
      <c r="C299" t="s">
        <v>341</v>
      </c>
      <c r="D299" t="s">
        <v>68</v>
      </c>
      <c r="E299">
        <v>1</v>
      </c>
      <c r="F299">
        <v>0</v>
      </c>
      <c r="G299">
        <v>0</v>
      </c>
      <c r="H299">
        <v>2</v>
      </c>
      <c r="I299">
        <v>4</v>
      </c>
      <c r="J299">
        <v>4</v>
      </c>
      <c r="K299">
        <v>3</v>
      </c>
    </row>
    <row r="300" spans="1:11" x14ac:dyDescent="0.25">
      <c r="A300" t="s">
        <v>239</v>
      </c>
      <c r="B300" t="s">
        <v>233</v>
      </c>
      <c r="C300" t="s">
        <v>342</v>
      </c>
      <c r="D300" t="s">
        <v>165</v>
      </c>
      <c r="E300">
        <v>1</v>
      </c>
      <c r="F300">
        <v>0</v>
      </c>
      <c r="G300">
        <v>5</v>
      </c>
      <c r="H300">
        <v>3</v>
      </c>
      <c r="I300">
        <v>5</v>
      </c>
      <c r="J300">
        <v>4</v>
      </c>
      <c r="K300">
        <v>12</v>
      </c>
    </row>
    <row r="301" spans="1:11" x14ac:dyDescent="0.25">
      <c r="A301" t="s">
        <v>239</v>
      </c>
      <c r="B301" t="s">
        <v>233</v>
      </c>
      <c r="C301" t="s">
        <v>343</v>
      </c>
      <c r="D301" t="s">
        <v>69</v>
      </c>
      <c r="E301">
        <v>1</v>
      </c>
      <c r="F301">
        <v>0</v>
      </c>
      <c r="G301">
        <v>3</v>
      </c>
      <c r="H301">
        <v>2</v>
      </c>
      <c r="I301">
        <v>2</v>
      </c>
      <c r="J301">
        <v>6</v>
      </c>
      <c r="K301">
        <v>6</v>
      </c>
    </row>
    <row r="302" spans="1:11" x14ac:dyDescent="0.25">
      <c r="A302" t="s">
        <v>239</v>
      </c>
      <c r="B302" t="s">
        <v>233</v>
      </c>
      <c r="C302" t="s">
        <v>994</v>
      </c>
      <c r="D302" t="s">
        <v>117</v>
      </c>
      <c r="E302">
        <v>1</v>
      </c>
      <c r="F302">
        <v>0</v>
      </c>
      <c r="G302">
        <v>2</v>
      </c>
      <c r="H302">
        <v>2</v>
      </c>
      <c r="I302">
        <v>4</v>
      </c>
      <c r="J302">
        <v>9</v>
      </c>
      <c r="K302">
        <v>7</v>
      </c>
    </row>
    <row r="303" spans="1:11" x14ac:dyDescent="0.25">
      <c r="A303" t="s">
        <v>239</v>
      </c>
      <c r="B303" t="s">
        <v>233</v>
      </c>
      <c r="C303" t="s">
        <v>344</v>
      </c>
      <c r="D303" t="s">
        <v>70</v>
      </c>
      <c r="E303">
        <v>1</v>
      </c>
      <c r="F303">
        <v>0</v>
      </c>
      <c r="G303">
        <v>9</v>
      </c>
      <c r="H303">
        <v>1</v>
      </c>
      <c r="I303">
        <v>4</v>
      </c>
      <c r="J303">
        <v>14</v>
      </c>
      <c r="K303">
        <v>16</v>
      </c>
    </row>
    <row r="304" spans="1:11" x14ac:dyDescent="0.25">
      <c r="A304" t="s">
        <v>239</v>
      </c>
      <c r="B304" t="s">
        <v>233</v>
      </c>
      <c r="C304" t="s">
        <v>995</v>
      </c>
      <c r="D304" t="s">
        <v>50</v>
      </c>
      <c r="E304">
        <v>1</v>
      </c>
      <c r="F304">
        <v>0</v>
      </c>
      <c r="G304">
        <v>2</v>
      </c>
      <c r="H304">
        <v>1</v>
      </c>
      <c r="I304">
        <v>2</v>
      </c>
      <c r="J304">
        <v>5</v>
      </c>
      <c r="K304">
        <v>6</v>
      </c>
    </row>
    <row r="305" spans="1:11" x14ac:dyDescent="0.25">
      <c r="A305" t="s">
        <v>239</v>
      </c>
      <c r="B305" t="s">
        <v>233</v>
      </c>
      <c r="C305" t="s">
        <v>345</v>
      </c>
      <c r="D305" t="s">
        <v>57</v>
      </c>
      <c r="E305">
        <v>1</v>
      </c>
      <c r="F305">
        <v>0</v>
      </c>
      <c r="G305">
        <v>2</v>
      </c>
      <c r="H305">
        <v>1</v>
      </c>
      <c r="I305">
        <v>2</v>
      </c>
      <c r="J305">
        <v>6</v>
      </c>
      <c r="K305">
        <v>4</v>
      </c>
    </row>
    <row r="306" spans="1:11" x14ac:dyDescent="0.25">
      <c r="A306" t="s">
        <v>239</v>
      </c>
      <c r="B306" t="s">
        <v>233</v>
      </c>
      <c r="C306" t="s">
        <v>996</v>
      </c>
      <c r="D306" t="s">
        <v>985</v>
      </c>
      <c r="E306">
        <v>1</v>
      </c>
      <c r="F306">
        <v>0</v>
      </c>
      <c r="G306">
        <v>3</v>
      </c>
      <c r="H306">
        <v>1</v>
      </c>
      <c r="I306">
        <v>2</v>
      </c>
      <c r="J306">
        <v>6</v>
      </c>
      <c r="K306">
        <v>5</v>
      </c>
    </row>
    <row r="307" spans="1:11" x14ac:dyDescent="0.25">
      <c r="A307" t="s">
        <v>239</v>
      </c>
      <c r="B307" t="s">
        <v>233</v>
      </c>
      <c r="C307" t="s">
        <v>346</v>
      </c>
      <c r="D307" t="s">
        <v>71</v>
      </c>
      <c r="E307">
        <v>1</v>
      </c>
      <c r="F307">
        <v>0</v>
      </c>
      <c r="G307">
        <v>3</v>
      </c>
      <c r="H307">
        <v>0</v>
      </c>
      <c r="I307">
        <v>3</v>
      </c>
      <c r="J307">
        <v>5</v>
      </c>
      <c r="K307">
        <v>4</v>
      </c>
    </row>
    <row r="308" spans="1:11" x14ac:dyDescent="0.25">
      <c r="A308" t="s">
        <v>239</v>
      </c>
      <c r="B308" t="s">
        <v>233</v>
      </c>
      <c r="C308" t="s">
        <v>336</v>
      </c>
      <c r="D308" t="s">
        <v>65</v>
      </c>
      <c r="E308">
        <v>1</v>
      </c>
      <c r="F308">
        <v>0</v>
      </c>
      <c r="G308">
        <v>3</v>
      </c>
      <c r="H308">
        <v>2</v>
      </c>
      <c r="I308">
        <v>4</v>
      </c>
      <c r="J308">
        <v>8</v>
      </c>
      <c r="K308">
        <v>11</v>
      </c>
    </row>
    <row r="309" spans="1:11" x14ac:dyDescent="0.25">
      <c r="A309" t="s">
        <v>239</v>
      </c>
      <c r="B309" t="s">
        <v>233</v>
      </c>
      <c r="C309" t="s">
        <v>993</v>
      </c>
      <c r="D309" t="s">
        <v>43</v>
      </c>
      <c r="E309">
        <v>0</v>
      </c>
      <c r="F309">
        <v>0</v>
      </c>
      <c r="G309">
        <v>0</v>
      </c>
      <c r="H309">
        <v>4</v>
      </c>
      <c r="I309">
        <v>2</v>
      </c>
      <c r="J309">
        <v>6</v>
      </c>
      <c r="K309">
        <v>6</v>
      </c>
    </row>
    <row r="310" spans="1:11" x14ac:dyDescent="0.25">
      <c r="A310" t="s">
        <v>239</v>
      </c>
      <c r="B310" t="s">
        <v>234</v>
      </c>
      <c r="C310" t="s">
        <v>362</v>
      </c>
      <c r="D310" t="s">
        <v>163</v>
      </c>
      <c r="E310">
        <v>1</v>
      </c>
      <c r="F310">
        <v>0</v>
      </c>
      <c r="G310">
        <v>26</v>
      </c>
      <c r="H310">
        <v>0</v>
      </c>
      <c r="I310">
        <v>5</v>
      </c>
      <c r="J310">
        <v>12</v>
      </c>
      <c r="K310">
        <v>35</v>
      </c>
    </row>
    <row r="311" spans="1:11" x14ac:dyDescent="0.25">
      <c r="A311" t="s">
        <v>239</v>
      </c>
      <c r="B311" t="s">
        <v>234</v>
      </c>
      <c r="C311" t="s">
        <v>361</v>
      </c>
      <c r="D311" t="s">
        <v>164</v>
      </c>
      <c r="E311">
        <v>1</v>
      </c>
      <c r="F311">
        <v>0</v>
      </c>
      <c r="G311">
        <v>8</v>
      </c>
      <c r="H311">
        <v>0</v>
      </c>
      <c r="I311">
        <v>5</v>
      </c>
      <c r="J311">
        <v>5</v>
      </c>
      <c r="K311">
        <v>18</v>
      </c>
    </row>
    <row r="312" spans="1:11" x14ac:dyDescent="0.25">
      <c r="A312" t="s">
        <v>239</v>
      </c>
      <c r="B312" t="s">
        <v>234</v>
      </c>
      <c r="C312" t="s">
        <v>363</v>
      </c>
      <c r="D312" t="s">
        <v>162</v>
      </c>
      <c r="E312">
        <v>1</v>
      </c>
      <c r="F312">
        <v>0</v>
      </c>
      <c r="G312">
        <v>7</v>
      </c>
      <c r="H312">
        <v>0</v>
      </c>
      <c r="I312">
        <v>4</v>
      </c>
      <c r="J312">
        <v>7</v>
      </c>
      <c r="K312">
        <v>11</v>
      </c>
    </row>
    <row r="313" spans="1:11" x14ac:dyDescent="0.25">
      <c r="A313" t="s">
        <v>239</v>
      </c>
      <c r="B313" t="s">
        <v>235</v>
      </c>
      <c r="C313" t="s">
        <v>347</v>
      </c>
      <c r="D313" t="s">
        <v>244</v>
      </c>
      <c r="E313">
        <v>14</v>
      </c>
      <c r="F313">
        <v>4</v>
      </c>
      <c r="G313">
        <v>0</v>
      </c>
      <c r="H313">
        <v>60</v>
      </c>
      <c r="I313">
        <v>17</v>
      </c>
      <c r="J313">
        <v>8</v>
      </c>
      <c r="K313">
        <v>46</v>
      </c>
    </row>
    <row r="314" spans="1:11" x14ac:dyDescent="0.25">
      <c r="A314" t="s">
        <v>760</v>
      </c>
      <c r="B314" t="s">
        <v>232</v>
      </c>
      <c r="C314" t="s">
        <v>362</v>
      </c>
      <c r="D314" t="s">
        <v>34</v>
      </c>
      <c r="E314">
        <v>0</v>
      </c>
      <c r="F314">
        <v>0</v>
      </c>
      <c r="G314">
        <v>10</v>
      </c>
      <c r="H314">
        <v>33</v>
      </c>
      <c r="I314">
        <v>0</v>
      </c>
      <c r="J314">
        <v>0</v>
      </c>
      <c r="K314">
        <v>10</v>
      </c>
    </row>
    <row r="315" spans="1:11" x14ac:dyDescent="0.25">
      <c r="A315" t="s">
        <v>760</v>
      </c>
      <c r="B315" t="s">
        <v>232</v>
      </c>
      <c r="C315" t="s">
        <v>362</v>
      </c>
      <c r="D315" t="s">
        <v>36</v>
      </c>
      <c r="E315">
        <v>0</v>
      </c>
      <c r="F315">
        <v>0</v>
      </c>
      <c r="G315">
        <v>10</v>
      </c>
      <c r="H315">
        <v>37</v>
      </c>
      <c r="I315">
        <v>0</v>
      </c>
      <c r="J315">
        <v>0</v>
      </c>
      <c r="K315">
        <v>5</v>
      </c>
    </row>
    <row r="316" spans="1:11" x14ac:dyDescent="0.25">
      <c r="A316" t="s">
        <v>760</v>
      </c>
      <c r="B316" t="s">
        <v>232</v>
      </c>
      <c r="C316" t="s">
        <v>362</v>
      </c>
      <c r="D316" t="s">
        <v>38</v>
      </c>
      <c r="E316">
        <v>0</v>
      </c>
      <c r="F316">
        <v>0</v>
      </c>
      <c r="G316">
        <v>10</v>
      </c>
      <c r="H316">
        <v>34</v>
      </c>
      <c r="I316">
        <v>0</v>
      </c>
      <c r="J316">
        <v>0</v>
      </c>
      <c r="K316">
        <v>5</v>
      </c>
    </row>
    <row r="317" spans="1:11" x14ac:dyDescent="0.25">
      <c r="A317" t="s">
        <v>760</v>
      </c>
      <c r="B317" t="s">
        <v>232</v>
      </c>
      <c r="C317" t="s">
        <v>362</v>
      </c>
      <c r="D317" t="s">
        <v>39</v>
      </c>
      <c r="E317">
        <v>0</v>
      </c>
      <c r="F317">
        <v>0</v>
      </c>
      <c r="G317">
        <v>15</v>
      </c>
      <c r="H317">
        <v>49</v>
      </c>
      <c r="I317">
        <v>0</v>
      </c>
      <c r="J317">
        <v>0</v>
      </c>
      <c r="K317">
        <v>15</v>
      </c>
    </row>
    <row r="318" spans="1:11" x14ac:dyDescent="0.25">
      <c r="A318" t="s">
        <v>760</v>
      </c>
      <c r="B318" t="s">
        <v>232</v>
      </c>
      <c r="C318" t="s">
        <v>362</v>
      </c>
      <c r="D318" t="s">
        <v>41</v>
      </c>
      <c r="E318">
        <v>0</v>
      </c>
      <c r="F318">
        <v>0</v>
      </c>
      <c r="G318">
        <v>10</v>
      </c>
      <c r="H318">
        <v>30</v>
      </c>
      <c r="I318">
        <v>0</v>
      </c>
      <c r="J318">
        <v>0</v>
      </c>
      <c r="K318">
        <v>10</v>
      </c>
    </row>
    <row r="319" spans="1:11" x14ac:dyDescent="0.25">
      <c r="A319" t="s">
        <v>760</v>
      </c>
      <c r="B319" t="s">
        <v>232</v>
      </c>
      <c r="C319" t="s">
        <v>362</v>
      </c>
      <c r="D319" t="s">
        <v>117</v>
      </c>
      <c r="E319">
        <v>0</v>
      </c>
      <c r="F319">
        <v>0</v>
      </c>
      <c r="G319">
        <v>114</v>
      </c>
      <c r="H319">
        <v>346</v>
      </c>
      <c r="I319">
        <v>0</v>
      </c>
      <c r="J319">
        <v>0</v>
      </c>
      <c r="K319">
        <v>57</v>
      </c>
    </row>
    <row r="320" spans="1:11" x14ac:dyDescent="0.25">
      <c r="A320" t="s">
        <v>760</v>
      </c>
      <c r="B320" t="s">
        <v>232</v>
      </c>
      <c r="C320" t="s">
        <v>362</v>
      </c>
      <c r="D320" t="s">
        <v>45</v>
      </c>
      <c r="E320">
        <v>0</v>
      </c>
      <c r="F320">
        <v>0</v>
      </c>
      <c r="G320">
        <v>15</v>
      </c>
      <c r="H320">
        <v>45</v>
      </c>
      <c r="I320">
        <v>0</v>
      </c>
      <c r="J320">
        <v>0</v>
      </c>
      <c r="K320">
        <v>10</v>
      </c>
    </row>
    <row r="321" spans="1:11" x14ac:dyDescent="0.25">
      <c r="A321" t="s">
        <v>760</v>
      </c>
      <c r="B321" t="s">
        <v>232</v>
      </c>
      <c r="C321" t="s">
        <v>362</v>
      </c>
      <c r="D321" t="s">
        <v>49</v>
      </c>
      <c r="E321">
        <v>0</v>
      </c>
      <c r="F321">
        <v>0</v>
      </c>
      <c r="G321">
        <v>15</v>
      </c>
      <c r="H321">
        <v>45</v>
      </c>
      <c r="I321">
        <v>0</v>
      </c>
      <c r="J321">
        <v>0</v>
      </c>
      <c r="K321">
        <v>15</v>
      </c>
    </row>
    <row r="322" spans="1:11" x14ac:dyDescent="0.25">
      <c r="A322" t="s">
        <v>760</v>
      </c>
      <c r="B322" t="s">
        <v>232</v>
      </c>
      <c r="C322" t="s">
        <v>362</v>
      </c>
      <c r="D322" t="s">
        <v>50</v>
      </c>
      <c r="E322">
        <v>0</v>
      </c>
      <c r="F322">
        <v>0</v>
      </c>
      <c r="G322">
        <v>37</v>
      </c>
      <c r="H322">
        <v>105</v>
      </c>
      <c r="I322">
        <v>0</v>
      </c>
      <c r="J322">
        <v>0</v>
      </c>
      <c r="K322">
        <v>21</v>
      </c>
    </row>
    <row r="323" spans="1:11" x14ac:dyDescent="0.25">
      <c r="A323" t="s">
        <v>760</v>
      </c>
      <c r="B323" t="s">
        <v>232</v>
      </c>
      <c r="C323" t="s">
        <v>362</v>
      </c>
      <c r="D323" t="s">
        <v>53</v>
      </c>
      <c r="E323">
        <v>0</v>
      </c>
      <c r="F323">
        <v>0</v>
      </c>
      <c r="G323">
        <v>21</v>
      </c>
      <c r="H323">
        <v>66</v>
      </c>
      <c r="I323">
        <v>0</v>
      </c>
      <c r="J323">
        <v>0</v>
      </c>
      <c r="K323">
        <v>15</v>
      </c>
    </row>
    <row r="324" spans="1:11" x14ac:dyDescent="0.25">
      <c r="A324" t="s">
        <v>760</v>
      </c>
      <c r="B324" t="s">
        <v>232</v>
      </c>
      <c r="C324" t="s">
        <v>362</v>
      </c>
      <c r="D324" t="s">
        <v>56</v>
      </c>
      <c r="E324">
        <v>0</v>
      </c>
      <c r="F324">
        <v>0</v>
      </c>
      <c r="G324">
        <v>9</v>
      </c>
      <c r="H324">
        <v>36</v>
      </c>
      <c r="I324">
        <v>0</v>
      </c>
      <c r="J324">
        <v>0</v>
      </c>
      <c r="K324">
        <v>5</v>
      </c>
    </row>
    <row r="325" spans="1:11" x14ac:dyDescent="0.25">
      <c r="A325" t="s">
        <v>760</v>
      </c>
      <c r="B325" t="s">
        <v>232</v>
      </c>
      <c r="C325" t="s">
        <v>362</v>
      </c>
      <c r="D325" t="s">
        <v>57</v>
      </c>
      <c r="E325">
        <v>0</v>
      </c>
      <c r="F325">
        <v>0</v>
      </c>
      <c r="G325">
        <v>37</v>
      </c>
      <c r="H325">
        <v>111</v>
      </c>
      <c r="I325">
        <v>0</v>
      </c>
      <c r="J325">
        <v>0</v>
      </c>
      <c r="K325">
        <v>20</v>
      </c>
    </row>
    <row r="326" spans="1:11" x14ac:dyDescent="0.25">
      <c r="A326" t="s">
        <v>760</v>
      </c>
      <c r="B326" t="s">
        <v>232</v>
      </c>
      <c r="C326" t="s">
        <v>362</v>
      </c>
      <c r="D326" t="s">
        <v>59</v>
      </c>
      <c r="E326">
        <v>0</v>
      </c>
      <c r="F326">
        <v>0</v>
      </c>
      <c r="G326">
        <v>15</v>
      </c>
      <c r="H326">
        <v>48</v>
      </c>
      <c r="I326">
        <v>0</v>
      </c>
      <c r="J326">
        <v>0</v>
      </c>
      <c r="K326">
        <v>10</v>
      </c>
    </row>
    <row r="327" spans="1:11" x14ac:dyDescent="0.25">
      <c r="A327" t="s">
        <v>760</v>
      </c>
      <c r="B327" t="s">
        <v>232</v>
      </c>
      <c r="C327" t="s">
        <v>361</v>
      </c>
      <c r="D327" t="s">
        <v>243</v>
      </c>
      <c r="E327">
        <v>0</v>
      </c>
      <c r="F327">
        <v>0</v>
      </c>
      <c r="G327">
        <v>56</v>
      </c>
      <c r="H327">
        <v>214</v>
      </c>
      <c r="I327">
        <v>0</v>
      </c>
      <c r="J327">
        <v>0</v>
      </c>
      <c r="K327">
        <v>36</v>
      </c>
    </row>
    <row r="328" spans="1:11" x14ac:dyDescent="0.25">
      <c r="A328" t="s">
        <v>760</v>
      </c>
      <c r="B328" t="s">
        <v>232</v>
      </c>
      <c r="C328" t="s">
        <v>361</v>
      </c>
      <c r="D328" t="s">
        <v>35</v>
      </c>
      <c r="E328">
        <v>0</v>
      </c>
      <c r="F328">
        <v>0</v>
      </c>
      <c r="G328">
        <v>5</v>
      </c>
      <c r="H328">
        <v>15</v>
      </c>
      <c r="I328">
        <v>0</v>
      </c>
      <c r="J328">
        <v>0</v>
      </c>
      <c r="K328">
        <v>5</v>
      </c>
    </row>
    <row r="329" spans="1:11" x14ac:dyDescent="0.25">
      <c r="A329" t="s">
        <v>760</v>
      </c>
      <c r="B329" t="s">
        <v>232</v>
      </c>
      <c r="C329" t="s">
        <v>361</v>
      </c>
      <c r="D329" t="s">
        <v>40</v>
      </c>
      <c r="E329">
        <v>0</v>
      </c>
      <c r="F329">
        <v>0</v>
      </c>
      <c r="G329">
        <v>5</v>
      </c>
      <c r="H329">
        <v>15</v>
      </c>
      <c r="I329">
        <v>0</v>
      </c>
      <c r="J329">
        <v>0</v>
      </c>
      <c r="K329">
        <v>5</v>
      </c>
    </row>
    <row r="330" spans="1:11" x14ac:dyDescent="0.25">
      <c r="A330" t="s">
        <v>760</v>
      </c>
      <c r="B330" t="s">
        <v>232</v>
      </c>
      <c r="C330" t="s">
        <v>361</v>
      </c>
      <c r="D330" t="s">
        <v>42</v>
      </c>
      <c r="E330">
        <v>0</v>
      </c>
      <c r="F330">
        <v>0</v>
      </c>
      <c r="G330">
        <v>19</v>
      </c>
      <c r="H330">
        <v>54</v>
      </c>
      <c r="I330">
        <v>0</v>
      </c>
      <c r="J330">
        <v>0</v>
      </c>
      <c r="K330">
        <v>15</v>
      </c>
    </row>
    <row r="331" spans="1:11" x14ac:dyDescent="0.25">
      <c r="A331" t="s">
        <v>760</v>
      </c>
      <c r="B331" t="s">
        <v>232</v>
      </c>
      <c r="C331" t="s">
        <v>361</v>
      </c>
      <c r="D331" t="s">
        <v>43</v>
      </c>
      <c r="E331">
        <v>0</v>
      </c>
      <c r="F331">
        <v>0</v>
      </c>
      <c r="G331">
        <v>51</v>
      </c>
      <c r="H331">
        <v>192</v>
      </c>
      <c r="I331">
        <v>0</v>
      </c>
      <c r="J331">
        <v>0</v>
      </c>
      <c r="K331">
        <v>26</v>
      </c>
    </row>
    <row r="332" spans="1:11" x14ac:dyDescent="0.25">
      <c r="A332" t="s">
        <v>760</v>
      </c>
      <c r="B332" t="s">
        <v>232</v>
      </c>
      <c r="C332" t="s">
        <v>361</v>
      </c>
      <c r="D332" t="s">
        <v>46</v>
      </c>
      <c r="E332">
        <v>0</v>
      </c>
      <c r="F332">
        <v>0</v>
      </c>
      <c r="G332">
        <v>4</v>
      </c>
      <c r="H332">
        <v>17</v>
      </c>
      <c r="I332">
        <v>0</v>
      </c>
      <c r="J332">
        <v>0</v>
      </c>
      <c r="K332">
        <v>5</v>
      </c>
    </row>
    <row r="333" spans="1:11" x14ac:dyDescent="0.25">
      <c r="A333" t="s">
        <v>760</v>
      </c>
      <c r="B333" t="s">
        <v>232</v>
      </c>
      <c r="C333" t="s">
        <v>361</v>
      </c>
      <c r="D333" t="s">
        <v>54</v>
      </c>
      <c r="E333">
        <v>0</v>
      </c>
      <c r="F333">
        <v>0</v>
      </c>
      <c r="G333">
        <v>10</v>
      </c>
      <c r="H333">
        <v>33</v>
      </c>
      <c r="I333">
        <v>0</v>
      </c>
      <c r="J333">
        <v>0</v>
      </c>
      <c r="K333">
        <v>10</v>
      </c>
    </row>
    <row r="334" spans="1:11" x14ac:dyDescent="0.25">
      <c r="A334" t="s">
        <v>760</v>
      </c>
      <c r="B334" t="s">
        <v>232</v>
      </c>
      <c r="C334" t="s">
        <v>361</v>
      </c>
      <c r="D334" t="s">
        <v>58</v>
      </c>
      <c r="E334">
        <v>0</v>
      </c>
      <c r="F334">
        <v>0</v>
      </c>
      <c r="G334">
        <v>10</v>
      </c>
      <c r="H334">
        <v>36</v>
      </c>
      <c r="I334">
        <v>0</v>
      </c>
      <c r="J334">
        <v>0</v>
      </c>
      <c r="K334">
        <v>5</v>
      </c>
    </row>
    <row r="335" spans="1:11" x14ac:dyDescent="0.25">
      <c r="A335" t="s">
        <v>760</v>
      </c>
      <c r="B335" t="s">
        <v>232</v>
      </c>
      <c r="C335" t="s">
        <v>361</v>
      </c>
      <c r="D335" t="s">
        <v>60</v>
      </c>
      <c r="E335">
        <v>0</v>
      </c>
      <c r="F335">
        <v>0</v>
      </c>
      <c r="G335">
        <v>10</v>
      </c>
      <c r="H335">
        <v>38</v>
      </c>
      <c r="I335">
        <v>0</v>
      </c>
      <c r="J335">
        <v>0</v>
      </c>
      <c r="K335">
        <v>10</v>
      </c>
    </row>
    <row r="336" spans="1:11" x14ac:dyDescent="0.25">
      <c r="A336" t="s">
        <v>760</v>
      </c>
      <c r="B336" t="s">
        <v>232</v>
      </c>
      <c r="C336" t="s">
        <v>363</v>
      </c>
      <c r="D336" t="s">
        <v>31</v>
      </c>
      <c r="E336">
        <v>0</v>
      </c>
      <c r="F336">
        <v>0</v>
      </c>
      <c r="G336">
        <v>35</v>
      </c>
      <c r="H336">
        <v>105</v>
      </c>
      <c r="I336">
        <v>0</v>
      </c>
      <c r="J336">
        <v>0</v>
      </c>
      <c r="K336">
        <v>15</v>
      </c>
    </row>
    <row r="337" spans="1:11" x14ac:dyDescent="0.25">
      <c r="A337" t="s">
        <v>760</v>
      </c>
      <c r="B337" t="s">
        <v>232</v>
      </c>
      <c r="C337" t="s">
        <v>363</v>
      </c>
      <c r="D337" t="s">
        <v>32</v>
      </c>
      <c r="E337">
        <v>0</v>
      </c>
      <c r="F337">
        <v>0</v>
      </c>
      <c r="G337">
        <v>4</v>
      </c>
      <c r="H337">
        <v>22</v>
      </c>
      <c r="I337">
        <v>0</v>
      </c>
      <c r="J337">
        <v>0</v>
      </c>
      <c r="K337">
        <v>6</v>
      </c>
    </row>
    <row r="338" spans="1:11" x14ac:dyDescent="0.25">
      <c r="A338" t="s">
        <v>760</v>
      </c>
      <c r="B338" t="s">
        <v>232</v>
      </c>
      <c r="C338" t="s">
        <v>363</v>
      </c>
      <c r="D338" t="s">
        <v>33</v>
      </c>
      <c r="E338">
        <v>0</v>
      </c>
      <c r="F338">
        <v>0</v>
      </c>
      <c r="G338">
        <v>5</v>
      </c>
      <c r="H338">
        <v>17</v>
      </c>
      <c r="I338">
        <v>0</v>
      </c>
      <c r="J338">
        <v>0</v>
      </c>
      <c r="K338">
        <v>5</v>
      </c>
    </row>
    <row r="339" spans="1:11" x14ac:dyDescent="0.25">
      <c r="A339" t="s">
        <v>760</v>
      </c>
      <c r="B339" t="s">
        <v>232</v>
      </c>
      <c r="C339" t="s">
        <v>363</v>
      </c>
      <c r="D339" t="s">
        <v>37</v>
      </c>
      <c r="E339">
        <v>0</v>
      </c>
      <c r="F339">
        <v>0</v>
      </c>
      <c r="G339">
        <v>36</v>
      </c>
      <c r="H339">
        <v>126</v>
      </c>
      <c r="I339">
        <v>0</v>
      </c>
      <c r="J339">
        <v>0</v>
      </c>
      <c r="K339">
        <v>20</v>
      </c>
    </row>
    <row r="340" spans="1:11" x14ac:dyDescent="0.25">
      <c r="A340" t="s">
        <v>760</v>
      </c>
      <c r="B340" t="s">
        <v>232</v>
      </c>
      <c r="C340" t="s">
        <v>363</v>
      </c>
      <c r="D340" t="s">
        <v>44</v>
      </c>
      <c r="E340">
        <v>0</v>
      </c>
      <c r="F340">
        <v>0</v>
      </c>
      <c r="G340">
        <v>14</v>
      </c>
      <c r="H340">
        <v>52</v>
      </c>
      <c r="I340">
        <v>0</v>
      </c>
      <c r="J340">
        <v>0</v>
      </c>
      <c r="K340">
        <v>5</v>
      </c>
    </row>
    <row r="341" spans="1:11" x14ac:dyDescent="0.25">
      <c r="A341" t="s">
        <v>760</v>
      </c>
      <c r="B341" t="s">
        <v>232</v>
      </c>
      <c r="C341" t="s">
        <v>363</v>
      </c>
      <c r="D341" t="s">
        <v>47</v>
      </c>
      <c r="E341">
        <v>0</v>
      </c>
      <c r="F341">
        <v>0</v>
      </c>
      <c r="G341">
        <v>5</v>
      </c>
      <c r="H341">
        <v>20</v>
      </c>
      <c r="I341">
        <v>0</v>
      </c>
      <c r="J341">
        <v>0</v>
      </c>
      <c r="K341">
        <v>5</v>
      </c>
    </row>
    <row r="342" spans="1:11" x14ac:dyDescent="0.25">
      <c r="A342" t="s">
        <v>760</v>
      </c>
      <c r="B342" t="s">
        <v>232</v>
      </c>
      <c r="C342" t="s">
        <v>363</v>
      </c>
      <c r="D342" t="s">
        <v>52</v>
      </c>
      <c r="E342">
        <v>0</v>
      </c>
      <c r="F342">
        <v>0</v>
      </c>
      <c r="G342">
        <v>10</v>
      </c>
      <c r="H342">
        <v>52</v>
      </c>
      <c r="I342">
        <v>0</v>
      </c>
      <c r="J342">
        <v>0</v>
      </c>
      <c r="K342">
        <v>5</v>
      </c>
    </row>
    <row r="343" spans="1:11" x14ac:dyDescent="0.25">
      <c r="A343" t="s">
        <v>760</v>
      </c>
      <c r="B343" t="s">
        <v>233</v>
      </c>
      <c r="D343" t="s">
        <v>762</v>
      </c>
      <c r="E343">
        <v>1</v>
      </c>
      <c r="F343">
        <v>0</v>
      </c>
      <c r="G343">
        <v>6</v>
      </c>
      <c r="H343">
        <v>4</v>
      </c>
      <c r="I343">
        <v>4</v>
      </c>
      <c r="J343">
        <v>12</v>
      </c>
      <c r="K343">
        <v>11</v>
      </c>
    </row>
    <row r="344" spans="1:11" x14ac:dyDescent="0.25">
      <c r="A344" t="s">
        <v>760</v>
      </c>
      <c r="B344" t="s">
        <v>233</v>
      </c>
      <c r="C344" t="s">
        <v>362</v>
      </c>
      <c r="D344" t="s">
        <v>64</v>
      </c>
      <c r="E344">
        <v>1</v>
      </c>
      <c r="F344">
        <v>0</v>
      </c>
      <c r="G344">
        <v>7</v>
      </c>
      <c r="H344">
        <v>2</v>
      </c>
      <c r="I344">
        <v>3</v>
      </c>
      <c r="J344">
        <v>8</v>
      </c>
      <c r="K344">
        <v>7</v>
      </c>
    </row>
    <row r="345" spans="1:11" x14ac:dyDescent="0.25">
      <c r="A345" t="s">
        <v>760</v>
      </c>
      <c r="B345" t="s">
        <v>233</v>
      </c>
      <c r="C345" t="s">
        <v>362</v>
      </c>
      <c r="D345" t="s">
        <v>36</v>
      </c>
      <c r="E345">
        <v>1</v>
      </c>
      <c r="F345">
        <v>0</v>
      </c>
      <c r="G345">
        <v>3</v>
      </c>
      <c r="H345">
        <v>2</v>
      </c>
      <c r="I345">
        <v>2</v>
      </c>
      <c r="J345">
        <v>6</v>
      </c>
      <c r="K345">
        <v>8</v>
      </c>
    </row>
    <row r="346" spans="1:11" x14ac:dyDescent="0.25">
      <c r="A346" t="s">
        <v>760</v>
      </c>
      <c r="B346" t="s">
        <v>233</v>
      </c>
      <c r="C346" t="s">
        <v>362</v>
      </c>
      <c r="D346" t="s">
        <v>66</v>
      </c>
      <c r="E346">
        <v>1</v>
      </c>
      <c r="F346">
        <v>0</v>
      </c>
      <c r="G346">
        <v>5</v>
      </c>
      <c r="H346">
        <v>1</v>
      </c>
      <c r="I346">
        <v>3</v>
      </c>
      <c r="J346">
        <v>10</v>
      </c>
      <c r="K346">
        <v>8</v>
      </c>
    </row>
    <row r="347" spans="1:11" x14ac:dyDescent="0.25">
      <c r="A347" t="s">
        <v>760</v>
      </c>
      <c r="B347" t="s">
        <v>233</v>
      </c>
      <c r="C347" t="s">
        <v>362</v>
      </c>
      <c r="D347" t="s">
        <v>68</v>
      </c>
      <c r="E347">
        <v>1</v>
      </c>
      <c r="F347">
        <v>0</v>
      </c>
      <c r="G347">
        <v>0</v>
      </c>
      <c r="H347">
        <v>1</v>
      </c>
      <c r="I347">
        <v>4</v>
      </c>
      <c r="J347">
        <v>4</v>
      </c>
      <c r="K347">
        <v>3</v>
      </c>
    </row>
    <row r="348" spans="1:11" x14ac:dyDescent="0.25">
      <c r="A348" t="s">
        <v>760</v>
      </c>
      <c r="B348" t="s">
        <v>233</v>
      </c>
      <c r="C348" t="s">
        <v>362</v>
      </c>
      <c r="D348" t="s">
        <v>117</v>
      </c>
      <c r="E348">
        <v>1</v>
      </c>
      <c r="F348">
        <v>0</v>
      </c>
      <c r="G348">
        <v>2</v>
      </c>
      <c r="H348">
        <v>2</v>
      </c>
      <c r="I348">
        <v>5</v>
      </c>
      <c r="J348">
        <v>10</v>
      </c>
      <c r="K348">
        <v>5</v>
      </c>
    </row>
    <row r="349" spans="1:11" x14ac:dyDescent="0.25">
      <c r="A349" t="s">
        <v>760</v>
      </c>
      <c r="B349" t="s">
        <v>233</v>
      </c>
      <c r="C349" t="s">
        <v>362</v>
      </c>
      <c r="D349" t="s">
        <v>50</v>
      </c>
      <c r="E349">
        <v>1</v>
      </c>
      <c r="F349">
        <v>0</v>
      </c>
      <c r="G349">
        <v>2</v>
      </c>
      <c r="H349">
        <v>1</v>
      </c>
      <c r="I349">
        <v>2</v>
      </c>
      <c r="J349">
        <v>5</v>
      </c>
      <c r="K349">
        <v>5</v>
      </c>
    </row>
    <row r="350" spans="1:11" x14ac:dyDescent="0.25">
      <c r="A350" t="s">
        <v>760</v>
      </c>
      <c r="B350" t="s">
        <v>233</v>
      </c>
      <c r="C350" t="s">
        <v>362</v>
      </c>
      <c r="D350" t="s">
        <v>57</v>
      </c>
      <c r="E350">
        <v>1</v>
      </c>
      <c r="F350">
        <v>0</v>
      </c>
      <c r="G350">
        <v>3</v>
      </c>
      <c r="H350">
        <v>0</v>
      </c>
      <c r="I350">
        <v>2</v>
      </c>
      <c r="J350">
        <v>6</v>
      </c>
      <c r="K350">
        <v>4</v>
      </c>
    </row>
    <row r="351" spans="1:11" x14ac:dyDescent="0.25">
      <c r="A351" t="s">
        <v>760</v>
      </c>
      <c r="B351" t="s">
        <v>233</v>
      </c>
      <c r="C351" t="s">
        <v>361</v>
      </c>
      <c r="D351" t="s">
        <v>67</v>
      </c>
      <c r="E351">
        <v>1</v>
      </c>
      <c r="F351">
        <v>0</v>
      </c>
      <c r="G351">
        <v>5</v>
      </c>
      <c r="H351">
        <v>4</v>
      </c>
      <c r="I351">
        <v>3</v>
      </c>
      <c r="J351">
        <v>7</v>
      </c>
      <c r="K351">
        <v>9</v>
      </c>
    </row>
    <row r="352" spans="1:11" x14ac:dyDescent="0.25">
      <c r="A352" t="s">
        <v>760</v>
      </c>
      <c r="B352" t="s">
        <v>233</v>
      </c>
      <c r="C352" t="s">
        <v>361</v>
      </c>
      <c r="D352" t="s">
        <v>165</v>
      </c>
      <c r="E352">
        <v>1</v>
      </c>
      <c r="F352">
        <v>0</v>
      </c>
      <c r="G352">
        <v>4</v>
      </c>
      <c r="H352">
        <v>4</v>
      </c>
      <c r="I352">
        <v>4</v>
      </c>
      <c r="J352">
        <v>5</v>
      </c>
      <c r="K352">
        <v>10</v>
      </c>
    </row>
    <row r="353" spans="1:11" x14ac:dyDescent="0.25">
      <c r="A353" t="s">
        <v>760</v>
      </c>
      <c r="B353" t="s">
        <v>233</v>
      </c>
      <c r="C353" t="s">
        <v>361</v>
      </c>
      <c r="D353" t="s">
        <v>69</v>
      </c>
      <c r="E353">
        <v>1</v>
      </c>
      <c r="F353">
        <v>0</v>
      </c>
      <c r="G353">
        <v>2</v>
      </c>
      <c r="H353">
        <v>2</v>
      </c>
      <c r="I353">
        <v>2</v>
      </c>
      <c r="J353">
        <v>6</v>
      </c>
      <c r="K353">
        <v>6</v>
      </c>
    </row>
    <row r="354" spans="1:11" x14ac:dyDescent="0.25">
      <c r="A354" t="s">
        <v>760</v>
      </c>
      <c r="B354" t="s">
        <v>233</v>
      </c>
      <c r="C354" t="s">
        <v>363</v>
      </c>
      <c r="D354" t="s">
        <v>31</v>
      </c>
      <c r="E354">
        <v>1</v>
      </c>
      <c r="F354">
        <v>0</v>
      </c>
      <c r="G354">
        <v>2</v>
      </c>
      <c r="H354">
        <v>1</v>
      </c>
      <c r="I354">
        <v>2</v>
      </c>
      <c r="J354">
        <v>3</v>
      </c>
      <c r="K354">
        <v>4</v>
      </c>
    </row>
    <row r="355" spans="1:11" x14ac:dyDescent="0.25">
      <c r="A355" t="s">
        <v>760</v>
      </c>
      <c r="B355" t="s">
        <v>233</v>
      </c>
      <c r="C355" t="s">
        <v>363</v>
      </c>
      <c r="D355" t="s">
        <v>63</v>
      </c>
      <c r="E355">
        <v>1</v>
      </c>
      <c r="F355">
        <v>0</v>
      </c>
      <c r="G355">
        <v>4</v>
      </c>
      <c r="H355">
        <v>1</v>
      </c>
      <c r="I355">
        <v>3</v>
      </c>
      <c r="J355">
        <v>9</v>
      </c>
      <c r="K355">
        <v>7</v>
      </c>
    </row>
    <row r="356" spans="1:11" x14ac:dyDescent="0.25">
      <c r="A356" t="s">
        <v>760</v>
      </c>
      <c r="B356" t="s">
        <v>233</v>
      </c>
      <c r="C356" t="s">
        <v>363</v>
      </c>
      <c r="D356" t="s">
        <v>65</v>
      </c>
      <c r="E356">
        <v>1</v>
      </c>
      <c r="F356">
        <v>0</v>
      </c>
      <c r="G356">
        <v>4</v>
      </c>
      <c r="H356">
        <v>2</v>
      </c>
      <c r="I356">
        <v>4</v>
      </c>
      <c r="J356">
        <v>9</v>
      </c>
      <c r="K356">
        <v>11</v>
      </c>
    </row>
    <row r="357" spans="1:11" x14ac:dyDescent="0.25">
      <c r="A357" t="s">
        <v>760</v>
      </c>
      <c r="B357" t="s">
        <v>233</v>
      </c>
      <c r="C357" t="s">
        <v>363</v>
      </c>
      <c r="D357" t="s">
        <v>70</v>
      </c>
      <c r="E357">
        <v>1</v>
      </c>
      <c r="F357">
        <v>0</v>
      </c>
      <c r="G357">
        <v>8</v>
      </c>
      <c r="H357">
        <v>1</v>
      </c>
      <c r="I357">
        <v>4</v>
      </c>
      <c r="J357">
        <v>13</v>
      </c>
      <c r="K357">
        <v>11</v>
      </c>
    </row>
    <row r="358" spans="1:11" x14ac:dyDescent="0.25">
      <c r="A358" t="s">
        <v>760</v>
      </c>
      <c r="B358" t="s">
        <v>233</v>
      </c>
      <c r="C358" t="s">
        <v>363</v>
      </c>
      <c r="D358" t="s">
        <v>71</v>
      </c>
      <c r="E358">
        <v>1</v>
      </c>
      <c r="F358">
        <v>0</v>
      </c>
      <c r="G358">
        <v>1</v>
      </c>
      <c r="H358">
        <v>0</v>
      </c>
      <c r="I358">
        <v>3</v>
      </c>
      <c r="J358">
        <v>5</v>
      </c>
      <c r="K358">
        <v>4</v>
      </c>
    </row>
    <row r="359" spans="1:11" x14ac:dyDescent="0.25">
      <c r="A359" t="s">
        <v>760</v>
      </c>
      <c r="B359" t="s">
        <v>234</v>
      </c>
      <c r="C359" t="s">
        <v>362</v>
      </c>
      <c r="D359" t="s">
        <v>163</v>
      </c>
      <c r="E359">
        <v>3</v>
      </c>
      <c r="F359">
        <v>0</v>
      </c>
      <c r="G359">
        <v>21</v>
      </c>
      <c r="H359">
        <v>0</v>
      </c>
      <c r="I359">
        <v>10</v>
      </c>
      <c r="J359">
        <v>14</v>
      </c>
      <c r="K359">
        <v>55</v>
      </c>
    </row>
    <row r="360" spans="1:11" x14ac:dyDescent="0.25">
      <c r="A360" t="s">
        <v>760</v>
      </c>
      <c r="B360" t="s">
        <v>234</v>
      </c>
      <c r="C360" t="s">
        <v>361</v>
      </c>
      <c r="D360" t="s">
        <v>164</v>
      </c>
      <c r="E360">
        <v>1</v>
      </c>
      <c r="F360">
        <v>0</v>
      </c>
      <c r="G360">
        <v>6</v>
      </c>
      <c r="H360">
        <v>0</v>
      </c>
      <c r="I360">
        <v>4</v>
      </c>
      <c r="J360">
        <v>8</v>
      </c>
      <c r="K360">
        <v>33</v>
      </c>
    </row>
    <row r="361" spans="1:11" x14ac:dyDescent="0.25">
      <c r="A361" t="s">
        <v>760</v>
      </c>
      <c r="B361" t="s">
        <v>234</v>
      </c>
      <c r="C361" t="s">
        <v>363</v>
      </c>
      <c r="D361" t="s">
        <v>162</v>
      </c>
      <c r="E361">
        <v>2</v>
      </c>
      <c r="F361">
        <v>0</v>
      </c>
      <c r="G361">
        <v>6</v>
      </c>
      <c r="H361">
        <v>0</v>
      </c>
      <c r="I361">
        <v>3</v>
      </c>
      <c r="J361">
        <v>7</v>
      </c>
      <c r="K361">
        <v>24</v>
      </c>
    </row>
    <row r="362" spans="1:11" x14ac:dyDescent="0.25">
      <c r="A362" t="s">
        <v>760</v>
      </c>
      <c r="B362" t="s">
        <v>235</v>
      </c>
      <c r="C362" t="s">
        <v>347</v>
      </c>
      <c r="D362" t="s">
        <v>244</v>
      </c>
      <c r="E362">
        <v>9</v>
      </c>
      <c r="F362">
        <v>6</v>
      </c>
      <c r="G362">
        <v>0</v>
      </c>
      <c r="H362">
        <v>49</v>
      </c>
      <c r="I362">
        <v>13</v>
      </c>
      <c r="J362">
        <v>6</v>
      </c>
      <c r="K362">
        <v>7</v>
      </c>
    </row>
    <row r="363" spans="1:11" x14ac:dyDescent="0.25">
      <c r="A363" t="s">
        <v>917</v>
      </c>
      <c r="B363" t="s">
        <v>232</v>
      </c>
      <c r="C363" t="s">
        <v>362</v>
      </c>
      <c r="D363" t="s">
        <v>34</v>
      </c>
      <c r="E363">
        <v>0</v>
      </c>
      <c r="F363">
        <v>0</v>
      </c>
      <c r="G363">
        <v>10</v>
      </c>
      <c r="H363">
        <v>32</v>
      </c>
      <c r="I363">
        <v>0</v>
      </c>
      <c r="J363">
        <v>0</v>
      </c>
      <c r="K363">
        <v>10</v>
      </c>
    </row>
    <row r="364" spans="1:11" x14ac:dyDescent="0.25">
      <c r="A364" t="s">
        <v>917</v>
      </c>
      <c r="B364" t="s">
        <v>232</v>
      </c>
      <c r="C364" t="s">
        <v>362</v>
      </c>
      <c r="D364" t="s">
        <v>36</v>
      </c>
      <c r="E364">
        <v>0</v>
      </c>
      <c r="F364">
        <v>0</v>
      </c>
      <c r="G364">
        <v>10</v>
      </c>
      <c r="H364">
        <v>36</v>
      </c>
      <c r="I364">
        <v>0</v>
      </c>
      <c r="J364">
        <v>0</v>
      </c>
      <c r="K364">
        <v>5</v>
      </c>
    </row>
    <row r="365" spans="1:11" x14ac:dyDescent="0.25">
      <c r="A365" t="s">
        <v>917</v>
      </c>
      <c r="B365" t="s">
        <v>232</v>
      </c>
      <c r="C365" t="s">
        <v>362</v>
      </c>
      <c r="D365" t="s">
        <v>38</v>
      </c>
      <c r="E365">
        <v>0</v>
      </c>
      <c r="F365">
        <v>0</v>
      </c>
      <c r="G365">
        <v>10</v>
      </c>
      <c r="H365">
        <v>32</v>
      </c>
      <c r="I365">
        <v>0</v>
      </c>
      <c r="J365">
        <v>0</v>
      </c>
      <c r="K365">
        <v>5</v>
      </c>
    </row>
    <row r="366" spans="1:11" x14ac:dyDescent="0.25">
      <c r="A366" t="s">
        <v>917</v>
      </c>
      <c r="B366" t="s">
        <v>232</v>
      </c>
      <c r="C366" t="s">
        <v>362</v>
      </c>
      <c r="D366" t="s">
        <v>39</v>
      </c>
      <c r="E366">
        <v>0</v>
      </c>
      <c r="F366">
        <v>0</v>
      </c>
      <c r="G366">
        <v>14</v>
      </c>
      <c r="H366">
        <v>46</v>
      </c>
      <c r="I366">
        <v>0</v>
      </c>
      <c r="J366">
        <v>0</v>
      </c>
      <c r="K366">
        <v>16</v>
      </c>
    </row>
    <row r="367" spans="1:11" x14ac:dyDescent="0.25">
      <c r="A367" t="s">
        <v>917</v>
      </c>
      <c r="B367" t="s">
        <v>232</v>
      </c>
      <c r="C367" t="s">
        <v>362</v>
      </c>
      <c r="D367" t="s">
        <v>41</v>
      </c>
      <c r="E367">
        <v>0</v>
      </c>
      <c r="F367">
        <v>0</v>
      </c>
      <c r="G367">
        <v>10</v>
      </c>
      <c r="H367">
        <v>28</v>
      </c>
      <c r="I367">
        <v>0</v>
      </c>
      <c r="J367">
        <v>0</v>
      </c>
      <c r="K367">
        <v>10</v>
      </c>
    </row>
    <row r="368" spans="1:11" x14ac:dyDescent="0.25">
      <c r="A368" t="s">
        <v>917</v>
      </c>
      <c r="B368" t="s">
        <v>232</v>
      </c>
      <c r="C368" t="s">
        <v>362</v>
      </c>
      <c r="D368" t="s">
        <v>117</v>
      </c>
      <c r="E368">
        <v>0</v>
      </c>
      <c r="F368">
        <v>0</v>
      </c>
      <c r="G368">
        <v>109</v>
      </c>
      <c r="H368">
        <v>335</v>
      </c>
      <c r="I368">
        <v>0</v>
      </c>
      <c r="J368">
        <v>0</v>
      </c>
      <c r="K368">
        <v>55</v>
      </c>
    </row>
    <row r="369" spans="1:11" x14ac:dyDescent="0.25">
      <c r="A369" t="s">
        <v>917</v>
      </c>
      <c r="B369" t="s">
        <v>232</v>
      </c>
      <c r="C369" t="s">
        <v>362</v>
      </c>
      <c r="D369" t="s">
        <v>45</v>
      </c>
      <c r="E369">
        <v>0</v>
      </c>
      <c r="F369">
        <v>0</v>
      </c>
      <c r="G369">
        <v>15</v>
      </c>
      <c r="H369">
        <v>45</v>
      </c>
      <c r="I369">
        <v>0</v>
      </c>
      <c r="J369">
        <v>0</v>
      </c>
      <c r="K369">
        <v>10</v>
      </c>
    </row>
    <row r="370" spans="1:11" x14ac:dyDescent="0.25">
      <c r="A370" t="s">
        <v>917</v>
      </c>
      <c r="B370" t="s">
        <v>232</v>
      </c>
      <c r="C370" t="s">
        <v>362</v>
      </c>
      <c r="D370" t="s">
        <v>49</v>
      </c>
      <c r="E370">
        <v>0</v>
      </c>
      <c r="F370">
        <v>0</v>
      </c>
      <c r="G370">
        <v>15</v>
      </c>
      <c r="H370">
        <v>45</v>
      </c>
      <c r="I370">
        <v>0</v>
      </c>
      <c r="J370">
        <v>0</v>
      </c>
      <c r="K370">
        <v>15</v>
      </c>
    </row>
    <row r="371" spans="1:11" x14ac:dyDescent="0.25">
      <c r="A371" t="s">
        <v>917</v>
      </c>
      <c r="B371" t="s">
        <v>232</v>
      </c>
      <c r="C371" t="s">
        <v>362</v>
      </c>
      <c r="D371" t="s">
        <v>50</v>
      </c>
      <c r="E371">
        <v>0</v>
      </c>
      <c r="F371">
        <v>0</v>
      </c>
      <c r="G371">
        <v>35</v>
      </c>
      <c r="H371">
        <v>105</v>
      </c>
      <c r="I371">
        <v>0</v>
      </c>
      <c r="J371">
        <v>0</v>
      </c>
      <c r="K371">
        <v>20</v>
      </c>
    </row>
    <row r="372" spans="1:11" x14ac:dyDescent="0.25">
      <c r="A372" t="s">
        <v>917</v>
      </c>
      <c r="B372" t="s">
        <v>232</v>
      </c>
      <c r="C372" t="s">
        <v>362</v>
      </c>
      <c r="D372" t="s">
        <v>53</v>
      </c>
      <c r="E372">
        <v>0</v>
      </c>
      <c r="F372">
        <v>0</v>
      </c>
      <c r="G372">
        <v>21</v>
      </c>
      <c r="H372">
        <v>64</v>
      </c>
      <c r="I372">
        <v>0</v>
      </c>
      <c r="J372">
        <v>0</v>
      </c>
      <c r="K372">
        <v>15</v>
      </c>
    </row>
    <row r="373" spans="1:11" x14ac:dyDescent="0.25">
      <c r="A373" t="s">
        <v>917</v>
      </c>
      <c r="B373" t="s">
        <v>232</v>
      </c>
      <c r="C373" t="s">
        <v>362</v>
      </c>
      <c r="D373" t="s">
        <v>56</v>
      </c>
      <c r="E373">
        <v>0</v>
      </c>
      <c r="F373">
        <v>0</v>
      </c>
      <c r="G373">
        <v>10</v>
      </c>
      <c r="H373">
        <v>36</v>
      </c>
      <c r="I373">
        <v>0</v>
      </c>
      <c r="J373">
        <v>0</v>
      </c>
      <c r="K373">
        <v>5</v>
      </c>
    </row>
    <row r="374" spans="1:11" x14ac:dyDescent="0.25">
      <c r="A374" t="s">
        <v>917</v>
      </c>
      <c r="B374" t="s">
        <v>232</v>
      </c>
      <c r="C374" t="s">
        <v>362</v>
      </c>
      <c r="D374" t="s">
        <v>57</v>
      </c>
      <c r="E374">
        <v>0</v>
      </c>
      <c r="F374">
        <v>0</v>
      </c>
      <c r="G374">
        <v>37</v>
      </c>
      <c r="H374">
        <v>111</v>
      </c>
      <c r="I374">
        <v>0</v>
      </c>
      <c r="J374">
        <v>0</v>
      </c>
      <c r="K374">
        <v>20</v>
      </c>
    </row>
    <row r="375" spans="1:11" x14ac:dyDescent="0.25">
      <c r="A375" t="s">
        <v>917</v>
      </c>
      <c r="B375" t="s">
        <v>232</v>
      </c>
      <c r="C375" t="s">
        <v>362</v>
      </c>
      <c r="D375" t="s">
        <v>59</v>
      </c>
      <c r="E375">
        <v>0</v>
      </c>
      <c r="F375">
        <v>0</v>
      </c>
      <c r="G375">
        <v>17</v>
      </c>
      <c r="H375">
        <v>46</v>
      </c>
      <c r="I375">
        <v>0</v>
      </c>
      <c r="J375">
        <v>0</v>
      </c>
      <c r="K375">
        <v>10</v>
      </c>
    </row>
    <row r="376" spans="1:11" x14ac:dyDescent="0.25">
      <c r="A376" t="s">
        <v>917</v>
      </c>
      <c r="B376" t="s">
        <v>232</v>
      </c>
      <c r="C376" t="s">
        <v>361</v>
      </c>
      <c r="D376" t="s">
        <v>243</v>
      </c>
      <c r="E376">
        <v>0</v>
      </c>
      <c r="F376">
        <v>0</v>
      </c>
      <c r="G376">
        <v>58</v>
      </c>
      <c r="H376">
        <v>206</v>
      </c>
      <c r="I376">
        <v>0</v>
      </c>
      <c r="J376">
        <v>0</v>
      </c>
      <c r="K376">
        <v>36</v>
      </c>
    </row>
    <row r="377" spans="1:11" x14ac:dyDescent="0.25">
      <c r="A377" t="s">
        <v>917</v>
      </c>
      <c r="B377" t="s">
        <v>232</v>
      </c>
      <c r="C377" t="s">
        <v>361</v>
      </c>
      <c r="D377" t="s">
        <v>35</v>
      </c>
      <c r="E377">
        <v>0</v>
      </c>
      <c r="F377">
        <v>0</v>
      </c>
      <c r="G377">
        <v>5</v>
      </c>
      <c r="H377">
        <v>13</v>
      </c>
      <c r="I377">
        <v>0</v>
      </c>
      <c r="J377">
        <v>0</v>
      </c>
      <c r="K377">
        <v>6</v>
      </c>
    </row>
    <row r="378" spans="1:11" x14ac:dyDescent="0.25">
      <c r="A378" t="s">
        <v>917</v>
      </c>
      <c r="B378" t="s">
        <v>232</v>
      </c>
      <c r="C378" t="s">
        <v>361</v>
      </c>
      <c r="D378" t="s">
        <v>40</v>
      </c>
      <c r="E378">
        <v>0</v>
      </c>
      <c r="F378">
        <v>0</v>
      </c>
      <c r="G378">
        <v>5</v>
      </c>
      <c r="H378">
        <v>16</v>
      </c>
      <c r="I378">
        <v>0</v>
      </c>
      <c r="J378">
        <v>0</v>
      </c>
      <c r="K378">
        <v>5</v>
      </c>
    </row>
    <row r="379" spans="1:11" x14ac:dyDescent="0.25">
      <c r="A379" t="s">
        <v>917</v>
      </c>
      <c r="B379" t="s">
        <v>232</v>
      </c>
      <c r="C379" t="s">
        <v>361</v>
      </c>
      <c r="D379" t="s">
        <v>42</v>
      </c>
      <c r="E379">
        <v>0</v>
      </c>
      <c r="F379">
        <v>0</v>
      </c>
      <c r="G379">
        <v>20</v>
      </c>
      <c r="H379">
        <v>53</v>
      </c>
      <c r="I379">
        <v>0</v>
      </c>
      <c r="J379">
        <v>0</v>
      </c>
      <c r="K379">
        <v>15</v>
      </c>
    </row>
    <row r="380" spans="1:11" x14ac:dyDescent="0.25">
      <c r="A380" t="s">
        <v>917</v>
      </c>
      <c r="B380" t="s">
        <v>232</v>
      </c>
      <c r="C380" t="s">
        <v>361</v>
      </c>
      <c r="D380" t="s">
        <v>43</v>
      </c>
      <c r="E380">
        <v>0</v>
      </c>
      <c r="F380">
        <v>0</v>
      </c>
      <c r="G380">
        <v>50</v>
      </c>
      <c r="H380">
        <v>179</v>
      </c>
      <c r="I380">
        <v>0</v>
      </c>
      <c r="J380">
        <v>0</v>
      </c>
      <c r="K380">
        <v>25</v>
      </c>
    </row>
    <row r="381" spans="1:11" x14ac:dyDescent="0.25">
      <c r="A381" t="s">
        <v>917</v>
      </c>
      <c r="B381" t="s">
        <v>232</v>
      </c>
      <c r="C381" t="s">
        <v>361</v>
      </c>
      <c r="D381" t="s">
        <v>46</v>
      </c>
      <c r="E381">
        <v>0</v>
      </c>
      <c r="F381">
        <v>0</v>
      </c>
      <c r="G381">
        <v>5</v>
      </c>
      <c r="H381">
        <v>17</v>
      </c>
      <c r="I381">
        <v>0</v>
      </c>
      <c r="J381">
        <v>0</v>
      </c>
      <c r="K381">
        <v>5</v>
      </c>
    </row>
    <row r="382" spans="1:11" x14ac:dyDescent="0.25">
      <c r="A382" t="s">
        <v>917</v>
      </c>
      <c r="B382" t="s">
        <v>232</v>
      </c>
      <c r="C382" t="s">
        <v>361</v>
      </c>
      <c r="D382" t="s">
        <v>54</v>
      </c>
      <c r="E382">
        <v>0</v>
      </c>
      <c r="F382">
        <v>0</v>
      </c>
      <c r="G382">
        <v>8</v>
      </c>
      <c r="H382">
        <v>33</v>
      </c>
      <c r="I382">
        <v>0</v>
      </c>
      <c r="J382">
        <v>0</v>
      </c>
      <c r="K382">
        <v>10</v>
      </c>
    </row>
    <row r="383" spans="1:11" x14ac:dyDescent="0.25">
      <c r="A383" t="s">
        <v>917</v>
      </c>
      <c r="B383" t="s">
        <v>232</v>
      </c>
      <c r="C383" t="s">
        <v>361</v>
      </c>
      <c r="D383" t="s">
        <v>58</v>
      </c>
      <c r="E383">
        <v>0</v>
      </c>
      <c r="F383">
        <v>0</v>
      </c>
      <c r="G383">
        <v>10</v>
      </c>
      <c r="H383">
        <v>37</v>
      </c>
      <c r="I383">
        <v>0</v>
      </c>
      <c r="J383">
        <v>0</v>
      </c>
      <c r="K383">
        <v>5</v>
      </c>
    </row>
    <row r="384" spans="1:11" x14ac:dyDescent="0.25">
      <c r="A384" t="s">
        <v>917</v>
      </c>
      <c r="B384" t="s">
        <v>232</v>
      </c>
      <c r="C384" t="s">
        <v>361</v>
      </c>
      <c r="D384" t="s">
        <v>60</v>
      </c>
      <c r="E384">
        <v>0</v>
      </c>
      <c r="F384">
        <v>0</v>
      </c>
      <c r="G384">
        <v>11</v>
      </c>
      <c r="H384">
        <v>36</v>
      </c>
      <c r="I384">
        <v>0</v>
      </c>
      <c r="J384">
        <v>0</v>
      </c>
      <c r="K384">
        <v>10</v>
      </c>
    </row>
    <row r="385" spans="1:11" x14ac:dyDescent="0.25">
      <c r="A385" t="s">
        <v>917</v>
      </c>
      <c r="B385" t="s">
        <v>232</v>
      </c>
      <c r="C385" t="s">
        <v>363</v>
      </c>
      <c r="D385" t="s">
        <v>31</v>
      </c>
      <c r="E385">
        <v>0</v>
      </c>
      <c r="F385">
        <v>0</v>
      </c>
      <c r="G385">
        <v>35</v>
      </c>
      <c r="H385">
        <v>99</v>
      </c>
      <c r="I385">
        <v>0</v>
      </c>
      <c r="J385">
        <v>0</v>
      </c>
      <c r="K385">
        <v>15</v>
      </c>
    </row>
    <row r="386" spans="1:11" x14ac:dyDescent="0.25">
      <c r="A386" t="s">
        <v>917</v>
      </c>
      <c r="B386" t="s">
        <v>232</v>
      </c>
      <c r="C386" t="s">
        <v>363</v>
      </c>
      <c r="D386" t="s">
        <v>32</v>
      </c>
      <c r="E386">
        <v>0</v>
      </c>
      <c r="F386">
        <v>0</v>
      </c>
      <c r="G386">
        <v>5</v>
      </c>
      <c r="H386">
        <v>19</v>
      </c>
      <c r="I386">
        <v>0</v>
      </c>
      <c r="J386">
        <v>0</v>
      </c>
      <c r="K386">
        <v>5</v>
      </c>
    </row>
    <row r="387" spans="1:11" x14ac:dyDescent="0.25">
      <c r="A387" t="s">
        <v>917</v>
      </c>
      <c r="B387" t="s">
        <v>232</v>
      </c>
      <c r="C387" t="s">
        <v>363</v>
      </c>
      <c r="D387" t="s">
        <v>33</v>
      </c>
      <c r="E387">
        <v>0</v>
      </c>
      <c r="F387">
        <v>0</v>
      </c>
      <c r="G387">
        <v>5</v>
      </c>
      <c r="H387">
        <v>17</v>
      </c>
      <c r="I387">
        <v>0</v>
      </c>
      <c r="J387">
        <v>0</v>
      </c>
      <c r="K387">
        <v>5</v>
      </c>
    </row>
    <row r="388" spans="1:11" x14ac:dyDescent="0.25">
      <c r="A388" t="s">
        <v>917</v>
      </c>
      <c r="B388" t="s">
        <v>232</v>
      </c>
      <c r="C388" t="s">
        <v>363</v>
      </c>
      <c r="D388" t="s">
        <v>37</v>
      </c>
      <c r="E388">
        <v>0</v>
      </c>
      <c r="F388">
        <v>0</v>
      </c>
      <c r="G388">
        <v>36</v>
      </c>
      <c r="H388">
        <v>127</v>
      </c>
      <c r="I388">
        <v>0</v>
      </c>
      <c r="J388">
        <v>0</v>
      </c>
      <c r="K388">
        <v>19</v>
      </c>
    </row>
    <row r="389" spans="1:11" x14ac:dyDescent="0.25">
      <c r="A389" t="s">
        <v>917</v>
      </c>
      <c r="B389" t="s">
        <v>232</v>
      </c>
      <c r="C389" t="s">
        <v>363</v>
      </c>
      <c r="D389" t="s">
        <v>44</v>
      </c>
      <c r="E389">
        <v>0</v>
      </c>
      <c r="F389">
        <v>0</v>
      </c>
      <c r="G389">
        <v>15</v>
      </c>
      <c r="H389">
        <v>54</v>
      </c>
      <c r="I389">
        <v>0</v>
      </c>
      <c r="J389">
        <v>0</v>
      </c>
      <c r="K389">
        <v>5</v>
      </c>
    </row>
    <row r="390" spans="1:11" x14ac:dyDescent="0.25">
      <c r="A390" t="s">
        <v>917</v>
      </c>
      <c r="B390" t="s">
        <v>232</v>
      </c>
      <c r="C390" t="s">
        <v>363</v>
      </c>
      <c r="D390" t="s">
        <v>47</v>
      </c>
      <c r="E390">
        <v>0</v>
      </c>
      <c r="F390">
        <v>0</v>
      </c>
      <c r="G390">
        <v>5</v>
      </c>
      <c r="H390">
        <v>20</v>
      </c>
      <c r="I390">
        <v>0</v>
      </c>
      <c r="J390">
        <v>0</v>
      </c>
      <c r="K390">
        <v>5</v>
      </c>
    </row>
    <row r="391" spans="1:11" x14ac:dyDescent="0.25">
      <c r="A391" t="s">
        <v>917</v>
      </c>
      <c r="B391" t="s">
        <v>232</v>
      </c>
      <c r="C391" t="s">
        <v>363</v>
      </c>
      <c r="D391" t="s">
        <v>52</v>
      </c>
      <c r="E391">
        <v>0</v>
      </c>
      <c r="F391">
        <v>0</v>
      </c>
      <c r="G391">
        <v>10</v>
      </c>
      <c r="H391">
        <v>48</v>
      </c>
      <c r="I391">
        <v>0</v>
      </c>
      <c r="J391">
        <v>0</v>
      </c>
      <c r="K391">
        <v>5</v>
      </c>
    </row>
    <row r="392" spans="1:11" x14ac:dyDescent="0.25">
      <c r="A392" t="s">
        <v>917</v>
      </c>
      <c r="B392" t="s">
        <v>233</v>
      </c>
      <c r="D392" t="s">
        <v>762</v>
      </c>
      <c r="E392">
        <v>1</v>
      </c>
      <c r="F392">
        <v>0</v>
      </c>
      <c r="G392">
        <v>6</v>
      </c>
      <c r="H392">
        <v>4</v>
      </c>
      <c r="I392">
        <v>4</v>
      </c>
      <c r="J392">
        <v>11</v>
      </c>
      <c r="K392">
        <v>11</v>
      </c>
    </row>
    <row r="393" spans="1:11" x14ac:dyDescent="0.25">
      <c r="A393" t="s">
        <v>917</v>
      </c>
      <c r="B393" t="s">
        <v>233</v>
      </c>
      <c r="C393" t="s">
        <v>362</v>
      </c>
      <c r="D393" t="s">
        <v>64</v>
      </c>
      <c r="E393">
        <v>1</v>
      </c>
      <c r="F393">
        <v>0</v>
      </c>
      <c r="G393">
        <v>6</v>
      </c>
      <c r="H393">
        <v>2</v>
      </c>
      <c r="I393">
        <v>3</v>
      </c>
      <c r="J393">
        <v>7</v>
      </c>
      <c r="K393">
        <v>7</v>
      </c>
    </row>
    <row r="394" spans="1:11" x14ac:dyDescent="0.25">
      <c r="A394" t="s">
        <v>917</v>
      </c>
      <c r="B394" t="s">
        <v>233</v>
      </c>
      <c r="C394" t="s">
        <v>362</v>
      </c>
      <c r="D394" t="s">
        <v>36</v>
      </c>
      <c r="E394">
        <v>1</v>
      </c>
      <c r="F394">
        <v>0</v>
      </c>
      <c r="G394">
        <v>4</v>
      </c>
      <c r="H394">
        <v>2</v>
      </c>
      <c r="I394">
        <v>2</v>
      </c>
      <c r="J394">
        <v>6</v>
      </c>
      <c r="K394">
        <v>6</v>
      </c>
    </row>
    <row r="395" spans="1:11" x14ac:dyDescent="0.25">
      <c r="A395" t="s">
        <v>917</v>
      </c>
      <c r="B395" t="s">
        <v>233</v>
      </c>
      <c r="C395" t="s">
        <v>362</v>
      </c>
      <c r="D395" t="s">
        <v>66</v>
      </c>
      <c r="E395">
        <v>1</v>
      </c>
      <c r="F395">
        <v>0</v>
      </c>
      <c r="G395">
        <v>5</v>
      </c>
      <c r="H395">
        <v>1</v>
      </c>
      <c r="I395">
        <v>3</v>
      </c>
      <c r="J395">
        <v>9</v>
      </c>
      <c r="K395">
        <v>8</v>
      </c>
    </row>
    <row r="396" spans="1:11" x14ac:dyDescent="0.25">
      <c r="A396" t="s">
        <v>917</v>
      </c>
      <c r="B396" t="s">
        <v>233</v>
      </c>
      <c r="C396" t="s">
        <v>362</v>
      </c>
      <c r="D396" t="s">
        <v>68</v>
      </c>
      <c r="E396">
        <v>1</v>
      </c>
      <c r="F396">
        <v>0</v>
      </c>
      <c r="G396">
        <v>2</v>
      </c>
      <c r="H396">
        <v>1</v>
      </c>
      <c r="I396">
        <v>4</v>
      </c>
      <c r="J396">
        <v>5</v>
      </c>
      <c r="K396">
        <v>4</v>
      </c>
    </row>
    <row r="397" spans="1:11" x14ac:dyDescent="0.25">
      <c r="A397" t="s">
        <v>917</v>
      </c>
      <c r="B397" t="s">
        <v>233</v>
      </c>
      <c r="C397" t="s">
        <v>362</v>
      </c>
      <c r="D397" t="s">
        <v>117</v>
      </c>
      <c r="E397">
        <v>1</v>
      </c>
      <c r="F397">
        <v>0</v>
      </c>
      <c r="G397">
        <v>2</v>
      </c>
      <c r="H397">
        <v>2</v>
      </c>
      <c r="I397">
        <v>5</v>
      </c>
      <c r="J397">
        <v>9</v>
      </c>
      <c r="K397">
        <v>7</v>
      </c>
    </row>
    <row r="398" spans="1:11" x14ac:dyDescent="0.25">
      <c r="A398" t="s">
        <v>917</v>
      </c>
      <c r="B398" t="s">
        <v>233</v>
      </c>
      <c r="C398" t="s">
        <v>362</v>
      </c>
      <c r="D398" t="s">
        <v>50</v>
      </c>
      <c r="E398">
        <v>1</v>
      </c>
      <c r="F398">
        <v>0</v>
      </c>
      <c r="G398">
        <v>2</v>
      </c>
      <c r="H398">
        <v>0</v>
      </c>
      <c r="I398">
        <v>2</v>
      </c>
      <c r="J398">
        <v>5</v>
      </c>
      <c r="K398">
        <v>5</v>
      </c>
    </row>
    <row r="399" spans="1:11" x14ac:dyDescent="0.25">
      <c r="A399" t="s">
        <v>917</v>
      </c>
      <c r="B399" t="s">
        <v>233</v>
      </c>
      <c r="C399" t="s">
        <v>362</v>
      </c>
      <c r="D399" t="s">
        <v>57</v>
      </c>
      <c r="E399">
        <v>1</v>
      </c>
      <c r="F399">
        <v>0</v>
      </c>
      <c r="G399">
        <v>3</v>
      </c>
      <c r="H399">
        <v>0</v>
      </c>
      <c r="I399">
        <v>2</v>
      </c>
      <c r="J399">
        <v>6</v>
      </c>
      <c r="K399">
        <v>4</v>
      </c>
    </row>
    <row r="400" spans="1:11" x14ac:dyDescent="0.25">
      <c r="A400" t="s">
        <v>917</v>
      </c>
      <c r="B400" t="s">
        <v>233</v>
      </c>
      <c r="C400" t="s">
        <v>361</v>
      </c>
      <c r="D400" t="s">
        <v>67</v>
      </c>
      <c r="E400">
        <v>1</v>
      </c>
      <c r="F400">
        <v>0</v>
      </c>
      <c r="G400">
        <v>3</v>
      </c>
      <c r="H400">
        <v>4</v>
      </c>
      <c r="I400">
        <v>3</v>
      </c>
      <c r="J400">
        <v>7</v>
      </c>
      <c r="K400">
        <v>10</v>
      </c>
    </row>
    <row r="401" spans="1:11" x14ac:dyDescent="0.25">
      <c r="A401" t="s">
        <v>917</v>
      </c>
      <c r="B401" t="s">
        <v>233</v>
      </c>
      <c r="C401" t="s">
        <v>361</v>
      </c>
      <c r="D401" t="s">
        <v>165</v>
      </c>
      <c r="E401">
        <v>1</v>
      </c>
      <c r="F401">
        <v>0</v>
      </c>
      <c r="G401">
        <v>3</v>
      </c>
      <c r="H401">
        <v>4</v>
      </c>
      <c r="I401">
        <v>3</v>
      </c>
      <c r="J401">
        <v>7</v>
      </c>
      <c r="K401">
        <v>10</v>
      </c>
    </row>
    <row r="402" spans="1:11" x14ac:dyDescent="0.25">
      <c r="A402" t="s">
        <v>917</v>
      </c>
      <c r="B402" t="s">
        <v>233</v>
      </c>
      <c r="C402" t="s">
        <v>361</v>
      </c>
      <c r="D402" t="s">
        <v>69</v>
      </c>
      <c r="E402">
        <v>1</v>
      </c>
      <c r="F402">
        <v>0</v>
      </c>
      <c r="G402">
        <v>3</v>
      </c>
      <c r="H402">
        <v>2</v>
      </c>
      <c r="I402">
        <v>2</v>
      </c>
      <c r="J402">
        <v>5</v>
      </c>
      <c r="K402">
        <v>6</v>
      </c>
    </row>
    <row r="403" spans="1:11" x14ac:dyDescent="0.25">
      <c r="A403" t="s">
        <v>917</v>
      </c>
      <c r="B403" t="s">
        <v>233</v>
      </c>
      <c r="C403" t="s">
        <v>363</v>
      </c>
      <c r="D403" t="s">
        <v>31</v>
      </c>
      <c r="E403">
        <v>1</v>
      </c>
      <c r="F403">
        <v>0</v>
      </c>
      <c r="G403">
        <v>1</v>
      </c>
      <c r="H403">
        <v>1</v>
      </c>
      <c r="I403">
        <v>2</v>
      </c>
      <c r="J403">
        <v>3</v>
      </c>
      <c r="K403">
        <v>4</v>
      </c>
    </row>
    <row r="404" spans="1:11" x14ac:dyDescent="0.25">
      <c r="A404" t="s">
        <v>917</v>
      </c>
      <c r="B404" t="s">
        <v>233</v>
      </c>
      <c r="C404" t="s">
        <v>363</v>
      </c>
      <c r="D404" t="s">
        <v>63</v>
      </c>
      <c r="E404">
        <v>1</v>
      </c>
      <c r="F404">
        <v>0</v>
      </c>
      <c r="G404">
        <v>4</v>
      </c>
      <c r="H404">
        <v>1</v>
      </c>
      <c r="I404">
        <v>3</v>
      </c>
      <c r="J404">
        <v>9</v>
      </c>
      <c r="K404">
        <v>8</v>
      </c>
    </row>
    <row r="405" spans="1:11" x14ac:dyDescent="0.25">
      <c r="A405" t="s">
        <v>917</v>
      </c>
      <c r="B405" t="s">
        <v>233</v>
      </c>
      <c r="C405" t="s">
        <v>363</v>
      </c>
      <c r="D405" t="s">
        <v>65</v>
      </c>
      <c r="E405">
        <v>1</v>
      </c>
      <c r="F405">
        <v>0</v>
      </c>
      <c r="G405">
        <v>4</v>
      </c>
      <c r="H405">
        <v>1</v>
      </c>
      <c r="I405">
        <v>4</v>
      </c>
      <c r="J405">
        <v>8</v>
      </c>
      <c r="K405">
        <v>10</v>
      </c>
    </row>
    <row r="406" spans="1:11" x14ac:dyDescent="0.25">
      <c r="A406" t="s">
        <v>917</v>
      </c>
      <c r="B406" t="s">
        <v>233</v>
      </c>
      <c r="C406" t="s">
        <v>363</v>
      </c>
      <c r="D406" t="s">
        <v>70</v>
      </c>
      <c r="E406">
        <v>1</v>
      </c>
      <c r="F406">
        <v>0</v>
      </c>
      <c r="G406">
        <v>7</v>
      </c>
      <c r="H406">
        <v>1</v>
      </c>
      <c r="I406">
        <v>4</v>
      </c>
      <c r="J406">
        <v>12</v>
      </c>
      <c r="K406">
        <v>10</v>
      </c>
    </row>
    <row r="407" spans="1:11" x14ac:dyDescent="0.25">
      <c r="A407" t="s">
        <v>917</v>
      </c>
      <c r="B407" t="s">
        <v>233</v>
      </c>
      <c r="C407" t="s">
        <v>363</v>
      </c>
      <c r="D407" t="s">
        <v>71</v>
      </c>
      <c r="E407">
        <v>1</v>
      </c>
      <c r="F407">
        <v>0</v>
      </c>
      <c r="G407">
        <v>0</v>
      </c>
      <c r="H407">
        <v>0</v>
      </c>
      <c r="I407">
        <v>3</v>
      </c>
      <c r="J407">
        <v>7</v>
      </c>
      <c r="K407">
        <v>4</v>
      </c>
    </row>
    <row r="408" spans="1:11" x14ac:dyDescent="0.25">
      <c r="A408" t="s">
        <v>917</v>
      </c>
      <c r="B408" t="s">
        <v>234</v>
      </c>
      <c r="C408" t="s">
        <v>362</v>
      </c>
      <c r="D408" t="s">
        <v>163</v>
      </c>
      <c r="E408">
        <v>3</v>
      </c>
      <c r="F408">
        <v>0</v>
      </c>
      <c r="G408">
        <v>17</v>
      </c>
      <c r="H408">
        <v>25</v>
      </c>
      <c r="I408">
        <v>5</v>
      </c>
      <c r="J408">
        <v>5</v>
      </c>
      <c r="K408">
        <v>36</v>
      </c>
    </row>
    <row r="409" spans="1:11" x14ac:dyDescent="0.25">
      <c r="A409" t="s">
        <v>917</v>
      </c>
      <c r="B409" t="s">
        <v>234</v>
      </c>
      <c r="C409" t="s">
        <v>361</v>
      </c>
      <c r="D409" t="s">
        <v>164</v>
      </c>
      <c r="E409">
        <v>1</v>
      </c>
      <c r="F409">
        <v>0</v>
      </c>
      <c r="G409">
        <v>6</v>
      </c>
      <c r="H409">
        <v>20</v>
      </c>
      <c r="I409">
        <v>2</v>
      </c>
      <c r="J409">
        <v>5</v>
      </c>
      <c r="K409">
        <v>32</v>
      </c>
    </row>
    <row r="410" spans="1:11" x14ac:dyDescent="0.25">
      <c r="A410" t="s">
        <v>917</v>
      </c>
      <c r="B410" t="s">
        <v>234</v>
      </c>
      <c r="C410" t="s">
        <v>363</v>
      </c>
      <c r="D410" t="s">
        <v>162</v>
      </c>
      <c r="E410">
        <v>2</v>
      </c>
      <c r="F410">
        <v>0</v>
      </c>
      <c r="G410">
        <v>13</v>
      </c>
      <c r="H410">
        <v>13</v>
      </c>
      <c r="I410">
        <v>2</v>
      </c>
      <c r="J410">
        <v>6</v>
      </c>
      <c r="K410">
        <v>19</v>
      </c>
    </row>
    <row r="411" spans="1:11" x14ac:dyDescent="0.25">
      <c r="A411" t="s">
        <v>917</v>
      </c>
      <c r="B411" t="s">
        <v>235</v>
      </c>
      <c r="C411" t="s">
        <v>347</v>
      </c>
      <c r="D411" t="s">
        <v>244</v>
      </c>
      <c r="E411">
        <v>13</v>
      </c>
      <c r="F411">
        <v>5</v>
      </c>
      <c r="G411">
        <v>0</v>
      </c>
      <c r="H411">
        <v>1</v>
      </c>
      <c r="I411">
        <v>21</v>
      </c>
      <c r="J411">
        <v>20</v>
      </c>
      <c r="K411">
        <v>30</v>
      </c>
    </row>
    <row r="412" spans="1:11" x14ac:dyDescent="0.25">
      <c r="A412" t="s">
        <v>1010</v>
      </c>
      <c r="B412" t="s">
        <v>232</v>
      </c>
      <c r="D412" t="s">
        <v>31</v>
      </c>
      <c r="E412">
        <v>0</v>
      </c>
      <c r="F412">
        <v>0</v>
      </c>
      <c r="G412">
        <v>35</v>
      </c>
      <c r="H412">
        <v>103</v>
      </c>
      <c r="I412">
        <v>0</v>
      </c>
      <c r="J412">
        <v>0</v>
      </c>
      <c r="K412">
        <v>16</v>
      </c>
    </row>
    <row r="413" spans="1:11" x14ac:dyDescent="0.25">
      <c r="A413" t="s">
        <v>1010</v>
      </c>
      <c r="B413" t="s">
        <v>232</v>
      </c>
      <c r="D413" t="s">
        <v>32</v>
      </c>
      <c r="E413">
        <v>0</v>
      </c>
      <c r="F413">
        <v>0</v>
      </c>
      <c r="G413">
        <v>5</v>
      </c>
      <c r="H413">
        <v>18</v>
      </c>
      <c r="I413">
        <v>0</v>
      </c>
      <c r="J413">
        <v>0</v>
      </c>
      <c r="K413">
        <v>5</v>
      </c>
    </row>
    <row r="414" spans="1:11" x14ac:dyDescent="0.25">
      <c r="A414" t="s">
        <v>1010</v>
      </c>
      <c r="B414" t="s">
        <v>232</v>
      </c>
      <c r="D414" t="s">
        <v>33</v>
      </c>
      <c r="E414">
        <v>0</v>
      </c>
      <c r="F414">
        <v>0</v>
      </c>
      <c r="G414">
        <v>5</v>
      </c>
      <c r="H414">
        <v>16</v>
      </c>
      <c r="I414">
        <v>0</v>
      </c>
      <c r="J414">
        <v>0</v>
      </c>
      <c r="K414">
        <v>5</v>
      </c>
    </row>
    <row r="415" spans="1:11" x14ac:dyDescent="0.25">
      <c r="A415" t="s">
        <v>1010</v>
      </c>
      <c r="B415" t="s">
        <v>232</v>
      </c>
      <c r="D415" t="s">
        <v>34</v>
      </c>
      <c r="E415">
        <v>0</v>
      </c>
      <c r="F415">
        <v>0</v>
      </c>
      <c r="G415">
        <v>8</v>
      </c>
      <c r="H415">
        <v>28</v>
      </c>
      <c r="I415">
        <v>0</v>
      </c>
      <c r="J415">
        <v>0</v>
      </c>
      <c r="K415">
        <v>10</v>
      </c>
    </row>
    <row r="416" spans="1:11" x14ac:dyDescent="0.25">
      <c r="A416" t="s">
        <v>1010</v>
      </c>
      <c r="B416" t="s">
        <v>232</v>
      </c>
      <c r="D416" t="s">
        <v>36</v>
      </c>
      <c r="E416">
        <v>0</v>
      </c>
      <c r="F416">
        <v>0</v>
      </c>
      <c r="G416">
        <v>10</v>
      </c>
      <c r="H416">
        <v>35</v>
      </c>
      <c r="I416">
        <v>0</v>
      </c>
      <c r="J416">
        <v>0</v>
      </c>
      <c r="K416">
        <v>5</v>
      </c>
    </row>
    <row r="417" spans="1:11" x14ac:dyDescent="0.25">
      <c r="A417" t="s">
        <v>1010</v>
      </c>
      <c r="B417" t="s">
        <v>232</v>
      </c>
      <c r="D417" t="s">
        <v>37</v>
      </c>
      <c r="E417">
        <v>0</v>
      </c>
      <c r="F417">
        <v>0</v>
      </c>
      <c r="G417">
        <v>35</v>
      </c>
      <c r="H417">
        <v>119</v>
      </c>
      <c r="I417">
        <v>0</v>
      </c>
      <c r="J417">
        <v>0</v>
      </c>
      <c r="K417">
        <v>20</v>
      </c>
    </row>
    <row r="418" spans="1:11" x14ac:dyDescent="0.25">
      <c r="A418" t="s">
        <v>1010</v>
      </c>
      <c r="B418" t="s">
        <v>232</v>
      </c>
      <c r="D418" t="s">
        <v>38</v>
      </c>
      <c r="E418">
        <v>0</v>
      </c>
      <c r="F418">
        <v>0</v>
      </c>
      <c r="G418">
        <v>10</v>
      </c>
      <c r="H418">
        <v>31</v>
      </c>
      <c r="I418">
        <v>0</v>
      </c>
      <c r="J418">
        <v>0</v>
      </c>
      <c r="K418">
        <v>5</v>
      </c>
    </row>
    <row r="419" spans="1:11" x14ac:dyDescent="0.25">
      <c r="A419" t="s">
        <v>1010</v>
      </c>
      <c r="B419" t="s">
        <v>232</v>
      </c>
      <c r="D419" t="s">
        <v>39</v>
      </c>
      <c r="E419">
        <v>0</v>
      </c>
      <c r="F419">
        <v>0</v>
      </c>
      <c r="G419">
        <v>13</v>
      </c>
      <c r="H419">
        <v>46</v>
      </c>
      <c r="I419">
        <v>0</v>
      </c>
      <c r="J419">
        <v>0</v>
      </c>
      <c r="K419">
        <v>16</v>
      </c>
    </row>
    <row r="420" spans="1:11" x14ac:dyDescent="0.25">
      <c r="A420" t="s">
        <v>1010</v>
      </c>
      <c r="B420" t="s">
        <v>232</v>
      </c>
      <c r="D420" t="s">
        <v>41</v>
      </c>
      <c r="E420">
        <v>0</v>
      </c>
      <c r="F420">
        <v>0</v>
      </c>
      <c r="G420">
        <v>7</v>
      </c>
      <c r="H420">
        <v>30</v>
      </c>
      <c r="I420">
        <v>0</v>
      </c>
      <c r="J420">
        <v>0</v>
      </c>
      <c r="K420">
        <v>10</v>
      </c>
    </row>
    <row r="421" spans="1:11" x14ac:dyDescent="0.25">
      <c r="A421" t="s">
        <v>1010</v>
      </c>
      <c r="B421" t="s">
        <v>232</v>
      </c>
      <c r="D421" t="s">
        <v>117</v>
      </c>
      <c r="E421">
        <v>0</v>
      </c>
      <c r="F421">
        <v>0</v>
      </c>
      <c r="G421">
        <v>106</v>
      </c>
      <c r="H421">
        <v>332</v>
      </c>
      <c r="I421">
        <v>0</v>
      </c>
      <c r="J421">
        <v>0</v>
      </c>
      <c r="K421">
        <v>55</v>
      </c>
    </row>
    <row r="422" spans="1:11" x14ac:dyDescent="0.25">
      <c r="A422" t="s">
        <v>1010</v>
      </c>
      <c r="B422" t="s">
        <v>232</v>
      </c>
      <c r="D422" t="s">
        <v>44</v>
      </c>
      <c r="E422">
        <v>0</v>
      </c>
      <c r="F422">
        <v>0</v>
      </c>
      <c r="G422">
        <v>15</v>
      </c>
      <c r="H422">
        <v>50</v>
      </c>
      <c r="I422">
        <v>0</v>
      </c>
      <c r="J422">
        <v>0</v>
      </c>
      <c r="K422">
        <v>5</v>
      </c>
    </row>
    <row r="423" spans="1:11" x14ac:dyDescent="0.25">
      <c r="A423" t="s">
        <v>1010</v>
      </c>
      <c r="B423" t="s">
        <v>232</v>
      </c>
      <c r="D423" t="s">
        <v>45</v>
      </c>
      <c r="E423">
        <v>0</v>
      </c>
      <c r="F423">
        <v>0</v>
      </c>
      <c r="G423">
        <v>12</v>
      </c>
      <c r="H423">
        <v>46</v>
      </c>
      <c r="I423">
        <v>0</v>
      </c>
      <c r="J423">
        <v>0</v>
      </c>
      <c r="K423">
        <v>10</v>
      </c>
    </row>
    <row r="424" spans="1:11" x14ac:dyDescent="0.25">
      <c r="A424" t="s">
        <v>1010</v>
      </c>
      <c r="B424" t="s">
        <v>232</v>
      </c>
      <c r="D424" t="s">
        <v>47</v>
      </c>
      <c r="E424">
        <v>0</v>
      </c>
      <c r="F424">
        <v>0</v>
      </c>
      <c r="G424">
        <v>5</v>
      </c>
      <c r="H424">
        <v>20</v>
      </c>
      <c r="I424">
        <v>0</v>
      </c>
      <c r="J424">
        <v>0</v>
      </c>
      <c r="K424">
        <v>5</v>
      </c>
    </row>
    <row r="425" spans="1:11" x14ac:dyDescent="0.25">
      <c r="A425" t="s">
        <v>1010</v>
      </c>
      <c r="B425" t="s">
        <v>232</v>
      </c>
      <c r="D425" t="s">
        <v>49</v>
      </c>
      <c r="E425">
        <v>0</v>
      </c>
      <c r="F425">
        <v>0</v>
      </c>
      <c r="G425">
        <v>14</v>
      </c>
      <c r="H425">
        <v>46</v>
      </c>
      <c r="I425">
        <v>0</v>
      </c>
      <c r="J425">
        <v>0</v>
      </c>
      <c r="K425">
        <v>14</v>
      </c>
    </row>
    <row r="426" spans="1:11" x14ac:dyDescent="0.25">
      <c r="A426" t="s">
        <v>1010</v>
      </c>
      <c r="B426" t="s">
        <v>232</v>
      </c>
      <c r="D426" t="s">
        <v>50</v>
      </c>
      <c r="E426">
        <v>0</v>
      </c>
      <c r="F426">
        <v>0</v>
      </c>
      <c r="G426">
        <v>37</v>
      </c>
      <c r="H426">
        <v>100</v>
      </c>
      <c r="I426">
        <v>0</v>
      </c>
      <c r="J426">
        <v>0</v>
      </c>
      <c r="K426">
        <v>19</v>
      </c>
    </row>
    <row r="427" spans="1:11" x14ac:dyDescent="0.25">
      <c r="A427" t="s">
        <v>1010</v>
      </c>
      <c r="B427" t="s">
        <v>232</v>
      </c>
      <c r="D427" t="s">
        <v>52</v>
      </c>
      <c r="E427">
        <v>0</v>
      </c>
      <c r="F427">
        <v>0</v>
      </c>
      <c r="G427">
        <v>9</v>
      </c>
      <c r="H427">
        <v>53</v>
      </c>
      <c r="I427">
        <v>0</v>
      </c>
      <c r="J427">
        <v>0</v>
      </c>
      <c r="K427">
        <v>4</v>
      </c>
    </row>
    <row r="428" spans="1:11" x14ac:dyDescent="0.25">
      <c r="A428" t="s">
        <v>1010</v>
      </c>
      <c r="B428" t="s">
        <v>232</v>
      </c>
      <c r="D428" t="s">
        <v>53</v>
      </c>
      <c r="E428">
        <v>0</v>
      </c>
      <c r="F428">
        <v>0</v>
      </c>
      <c r="G428">
        <v>19</v>
      </c>
      <c r="H428">
        <v>63</v>
      </c>
      <c r="I428">
        <v>0</v>
      </c>
      <c r="J428">
        <v>0</v>
      </c>
      <c r="K428">
        <v>17</v>
      </c>
    </row>
    <row r="429" spans="1:11" x14ac:dyDescent="0.25">
      <c r="A429" t="s">
        <v>1010</v>
      </c>
      <c r="B429" t="s">
        <v>232</v>
      </c>
      <c r="D429" t="s">
        <v>56</v>
      </c>
      <c r="E429">
        <v>0</v>
      </c>
      <c r="F429">
        <v>0</v>
      </c>
      <c r="G429">
        <v>10</v>
      </c>
      <c r="H429">
        <v>32</v>
      </c>
      <c r="I429">
        <v>0</v>
      </c>
      <c r="J429">
        <v>0</v>
      </c>
      <c r="K429">
        <v>5</v>
      </c>
    </row>
    <row r="430" spans="1:11" x14ac:dyDescent="0.25">
      <c r="A430" t="s">
        <v>1010</v>
      </c>
      <c r="B430" t="s">
        <v>232</v>
      </c>
      <c r="D430" t="s">
        <v>57</v>
      </c>
      <c r="E430">
        <v>0</v>
      </c>
      <c r="F430">
        <v>0</v>
      </c>
      <c r="G430">
        <v>36</v>
      </c>
      <c r="H430">
        <v>99</v>
      </c>
      <c r="I430">
        <v>0</v>
      </c>
      <c r="J430">
        <v>0</v>
      </c>
      <c r="K430">
        <v>20</v>
      </c>
    </row>
    <row r="431" spans="1:11" x14ac:dyDescent="0.25">
      <c r="A431" t="s">
        <v>1010</v>
      </c>
      <c r="B431" t="s">
        <v>232</v>
      </c>
      <c r="D431" t="s">
        <v>58</v>
      </c>
      <c r="E431">
        <v>0</v>
      </c>
      <c r="F431">
        <v>0</v>
      </c>
      <c r="G431">
        <v>1</v>
      </c>
      <c r="H431">
        <v>0</v>
      </c>
      <c r="I431">
        <v>0</v>
      </c>
      <c r="J431">
        <v>0</v>
      </c>
      <c r="K431">
        <v>0</v>
      </c>
    </row>
    <row r="432" spans="1:11" x14ac:dyDescent="0.25">
      <c r="A432" t="s">
        <v>1010</v>
      </c>
      <c r="B432" t="s">
        <v>232</v>
      </c>
      <c r="D432" t="s">
        <v>59</v>
      </c>
      <c r="E432">
        <v>0</v>
      </c>
      <c r="F432">
        <v>0</v>
      </c>
      <c r="G432">
        <v>11</v>
      </c>
      <c r="H432">
        <v>47</v>
      </c>
      <c r="I432">
        <v>0</v>
      </c>
      <c r="J432">
        <v>0</v>
      </c>
      <c r="K432">
        <v>11</v>
      </c>
    </row>
    <row r="433" spans="1:11" x14ac:dyDescent="0.25">
      <c r="A433" t="s">
        <v>1010</v>
      </c>
      <c r="B433" t="s">
        <v>232</v>
      </c>
      <c r="C433" t="s">
        <v>361</v>
      </c>
      <c r="D433" t="s">
        <v>243</v>
      </c>
      <c r="E433">
        <v>0</v>
      </c>
      <c r="F433">
        <v>0</v>
      </c>
      <c r="G433">
        <v>58</v>
      </c>
      <c r="H433">
        <v>202</v>
      </c>
      <c r="I433">
        <v>0</v>
      </c>
      <c r="J433">
        <v>0</v>
      </c>
      <c r="K433">
        <v>35</v>
      </c>
    </row>
    <row r="434" spans="1:11" x14ac:dyDescent="0.25">
      <c r="A434" t="s">
        <v>1010</v>
      </c>
      <c r="B434" t="s">
        <v>232</v>
      </c>
      <c r="C434" t="s">
        <v>361</v>
      </c>
      <c r="D434" t="s">
        <v>35</v>
      </c>
      <c r="E434">
        <v>0</v>
      </c>
      <c r="F434">
        <v>0</v>
      </c>
      <c r="G434">
        <v>4</v>
      </c>
      <c r="H434">
        <v>15</v>
      </c>
      <c r="I434">
        <v>0</v>
      </c>
      <c r="J434">
        <v>0</v>
      </c>
      <c r="K434">
        <v>5</v>
      </c>
    </row>
    <row r="435" spans="1:11" x14ac:dyDescent="0.25">
      <c r="A435" t="s">
        <v>1010</v>
      </c>
      <c r="B435" t="s">
        <v>232</v>
      </c>
      <c r="C435" t="s">
        <v>361</v>
      </c>
      <c r="D435" t="s">
        <v>40</v>
      </c>
      <c r="E435">
        <v>0</v>
      </c>
      <c r="F435">
        <v>0</v>
      </c>
      <c r="G435">
        <v>4</v>
      </c>
      <c r="H435">
        <v>14</v>
      </c>
      <c r="I435">
        <v>0</v>
      </c>
      <c r="J435">
        <v>0</v>
      </c>
      <c r="K435">
        <v>6</v>
      </c>
    </row>
    <row r="436" spans="1:11" x14ac:dyDescent="0.25">
      <c r="A436" t="s">
        <v>1010</v>
      </c>
      <c r="B436" t="s">
        <v>232</v>
      </c>
      <c r="C436" t="s">
        <v>361</v>
      </c>
      <c r="D436" t="s">
        <v>42</v>
      </c>
      <c r="E436">
        <v>0</v>
      </c>
      <c r="F436">
        <v>0</v>
      </c>
      <c r="G436">
        <v>19</v>
      </c>
      <c r="H436">
        <v>53</v>
      </c>
      <c r="I436">
        <v>0</v>
      </c>
      <c r="J436">
        <v>0</v>
      </c>
      <c r="K436">
        <v>15</v>
      </c>
    </row>
    <row r="437" spans="1:11" x14ac:dyDescent="0.25">
      <c r="A437" t="s">
        <v>1010</v>
      </c>
      <c r="B437" t="s">
        <v>232</v>
      </c>
      <c r="C437" t="s">
        <v>361</v>
      </c>
      <c r="D437" t="s">
        <v>43</v>
      </c>
      <c r="E437">
        <v>0</v>
      </c>
      <c r="F437">
        <v>0</v>
      </c>
      <c r="G437">
        <v>50</v>
      </c>
      <c r="H437">
        <v>179</v>
      </c>
      <c r="I437">
        <v>0</v>
      </c>
      <c r="J437">
        <v>0</v>
      </c>
      <c r="K437">
        <v>25</v>
      </c>
    </row>
    <row r="438" spans="1:11" x14ac:dyDescent="0.25">
      <c r="A438" t="s">
        <v>1010</v>
      </c>
      <c r="B438" t="s">
        <v>232</v>
      </c>
      <c r="C438" t="s">
        <v>361</v>
      </c>
      <c r="D438" t="s">
        <v>46</v>
      </c>
      <c r="E438">
        <v>0</v>
      </c>
      <c r="F438">
        <v>0</v>
      </c>
      <c r="G438">
        <v>4</v>
      </c>
      <c r="H438">
        <v>17</v>
      </c>
      <c r="I438">
        <v>0</v>
      </c>
      <c r="J438">
        <v>0</v>
      </c>
      <c r="K438">
        <v>5</v>
      </c>
    </row>
    <row r="439" spans="1:11" x14ac:dyDescent="0.25">
      <c r="A439" t="s">
        <v>1010</v>
      </c>
      <c r="B439" t="s">
        <v>232</v>
      </c>
      <c r="C439" t="s">
        <v>361</v>
      </c>
      <c r="D439" t="s">
        <v>54</v>
      </c>
      <c r="E439">
        <v>0</v>
      </c>
      <c r="F439">
        <v>0</v>
      </c>
      <c r="G439">
        <v>10</v>
      </c>
      <c r="H439">
        <v>33</v>
      </c>
      <c r="I439">
        <v>0</v>
      </c>
      <c r="J439">
        <v>0</v>
      </c>
      <c r="K439">
        <v>10</v>
      </c>
    </row>
    <row r="440" spans="1:11" x14ac:dyDescent="0.25">
      <c r="A440" t="s">
        <v>1010</v>
      </c>
      <c r="B440" t="s">
        <v>232</v>
      </c>
      <c r="C440" t="s">
        <v>361</v>
      </c>
      <c r="D440" t="s">
        <v>58</v>
      </c>
      <c r="E440">
        <v>0</v>
      </c>
      <c r="F440">
        <v>0</v>
      </c>
      <c r="G440">
        <v>10</v>
      </c>
      <c r="H440">
        <v>33</v>
      </c>
      <c r="I440">
        <v>0</v>
      </c>
      <c r="J440">
        <v>0</v>
      </c>
      <c r="K440">
        <v>5</v>
      </c>
    </row>
    <row r="441" spans="1:11" x14ac:dyDescent="0.25">
      <c r="A441" t="s">
        <v>1010</v>
      </c>
      <c r="B441" t="s">
        <v>232</v>
      </c>
      <c r="C441" t="s">
        <v>361</v>
      </c>
      <c r="D441" t="s">
        <v>60</v>
      </c>
      <c r="E441">
        <v>0</v>
      </c>
      <c r="F441">
        <v>0</v>
      </c>
      <c r="G441">
        <v>10</v>
      </c>
      <c r="H441">
        <v>38</v>
      </c>
      <c r="I441">
        <v>0</v>
      </c>
      <c r="J441">
        <v>0</v>
      </c>
      <c r="K441">
        <v>10</v>
      </c>
    </row>
    <row r="442" spans="1:11" x14ac:dyDescent="0.25">
      <c r="A442" t="s">
        <v>1010</v>
      </c>
      <c r="B442" t="s">
        <v>233</v>
      </c>
      <c r="D442" t="s">
        <v>1038</v>
      </c>
      <c r="E442">
        <v>1</v>
      </c>
      <c r="F442">
        <v>0</v>
      </c>
      <c r="G442">
        <v>5</v>
      </c>
      <c r="H442">
        <v>2</v>
      </c>
      <c r="I442">
        <v>4</v>
      </c>
      <c r="J442">
        <v>12</v>
      </c>
      <c r="K442">
        <v>12</v>
      </c>
    </row>
    <row r="443" spans="1:11" x14ac:dyDescent="0.25">
      <c r="A443" t="s">
        <v>1010</v>
      </c>
      <c r="B443" t="s">
        <v>233</v>
      </c>
      <c r="D443" t="s">
        <v>64</v>
      </c>
      <c r="E443">
        <v>1</v>
      </c>
      <c r="F443">
        <v>0</v>
      </c>
      <c r="G443">
        <v>6</v>
      </c>
      <c r="H443">
        <v>2</v>
      </c>
      <c r="I443">
        <v>4</v>
      </c>
      <c r="J443">
        <v>8</v>
      </c>
      <c r="K443">
        <v>7</v>
      </c>
    </row>
    <row r="444" spans="1:11" x14ac:dyDescent="0.25">
      <c r="A444" t="s">
        <v>1010</v>
      </c>
      <c r="B444" t="s">
        <v>233</v>
      </c>
      <c r="D444" t="s">
        <v>36</v>
      </c>
      <c r="E444">
        <v>1</v>
      </c>
      <c r="F444">
        <v>0</v>
      </c>
      <c r="G444">
        <v>4</v>
      </c>
      <c r="H444">
        <v>2</v>
      </c>
      <c r="I444">
        <v>2</v>
      </c>
      <c r="J444">
        <v>6</v>
      </c>
      <c r="K444">
        <v>7</v>
      </c>
    </row>
    <row r="445" spans="1:11" x14ac:dyDescent="0.25">
      <c r="A445" t="s">
        <v>1010</v>
      </c>
      <c r="B445" t="s">
        <v>233</v>
      </c>
      <c r="D445" t="s">
        <v>65</v>
      </c>
      <c r="E445">
        <v>1</v>
      </c>
      <c r="F445">
        <v>0</v>
      </c>
      <c r="G445">
        <v>5</v>
      </c>
      <c r="H445">
        <v>2</v>
      </c>
      <c r="I445">
        <v>4</v>
      </c>
      <c r="J445">
        <v>8</v>
      </c>
      <c r="K445">
        <v>11</v>
      </c>
    </row>
    <row r="446" spans="1:11" x14ac:dyDescent="0.25">
      <c r="A446" t="s">
        <v>1010</v>
      </c>
      <c r="B446" t="s">
        <v>233</v>
      </c>
      <c r="D446" t="s">
        <v>66</v>
      </c>
      <c r="E446">
        <v>1</v>
      </c>
      <c r="F446">
        <v>0</v>
      </c>
      <c r="G446">
        <v>3</v>
      </c>
      <c r="H446">
        <v>1</v>
      </c>
      <c r="I446">
        <v>3</v>
      </c>
      <c r="J446">
        <v>11</v>
      </c>
      <c r="K446">
        <v>8</v>
      </c>
    </row>
    <row r="447" spans="1:11" x14ac:dyDescent="0.25">
      <c r="A447" t="s">
        <v>1010</v>
      </c>
      <c r="B447" t="s">
        <v>233</v>
      </c>
      <c r="D447" t="s">
        <v>67</v>
      </c>
      <c r="E447">
        <v>1</v>
      </c>
      <c r="F447">
        <v>0</v>
      </c>
      <c r="G447">
        <v>6</v>
      </c>
      <c r="H447">
        <v>4</v>
      </c>
      <c r="I447">
        <v>3</v>
      </c>
      <c r="J447">
        <v>7</v>
      </c>
      <c r="K447">
        <v>8</v>
      </c>
    </row>
    <row r="448" spans="1:11" x14ac:dyDescent="0.25">
      <c r="A448" t="s">
        <v>1010</v>
      </c>
      <c r="B448" t="s">
        <v>233</v>
      </c>
      <c r="D448" t="s">
        <v>68</v>
      </c>
      <c r="E448">
        <v>1</v>
      </c>
      <c r="F448">
        <v>0</v>
      </c>
      <c r="G448">
        <v>3</v>
      </c>
      <c r="H448">
        <v>1</v>
      </c>
      <c r="I448">
        <v>3</v>
      </c>
      <c r="J448">
        <v>6</v>
      </c>
      <c r="K448">
        <v>5</v>
      </c>
    </row>
    <row r="449" spans="1:11" x14ac:dyDescent="0.25">
      <c r="A449" t="s">
        <v>1010</v>
      </c>
      <c r="B449" t="s">
        <v>233</v>
      </c>
      <c r="D449" t="s">
        <v>165</v>
      </c>
      <c r="E449">
        <v>1</v>
      </c>
      <c r="F449">
        <v>0</v>
      </c>
      <c r="G449">
        <v>3</v>
      </c>
      <c r="H449">
        <v>4</v>
      </c>
      <c r="I449">
        <v>3</v>
      </c>
      <c r="J449">
        <v>7</v>
      </c>
      <c r="K449">
        <v>9</v>
      </c>
    </row>
    <row r="450" spans="1:11" x14ac:dyDescent="0.25">
      <c r="A450" t="s">
        <v>1010</v>
      </c>
      <c r="B450" t="s">
        <v>233</v>
      </c>
      <c r="D450" t="s">
        <v>69</v>
      </c>
      <c r="E450">
        <v>1</v>
      </c>
      <c r="F450">
        <v>0</v>
      </c>
      <c r="G450">
        <v>3</v>
      </c>
      <c r="H450">
        <v>2</v>
      </c>
      <c r="I450">
        <v>2</v>
      </c>
      <c r="J450">
        <v>4</v>
      </c>
      <c r="K450">
        <v>6</v>
      </c>
    </row>
    <row r="451" spans="1:11" x14ac:dyDescent="0.25">
      <c r="A451" t="s">
        <v>1010</v>
      </c>
      <c r="B451" t="s">
        <v>233</v>
      </c>
      <c r="D451" t="s">
        <v>117</v>
      </c>
      <c r="E451">
        <v>1</v>
      </c>
      <c r="F451">
        <v>0</v>
      </c>
      <c r="G451">
        <v>1</v>
      </c>
      <c r="H451">
        <v>1</v>
      </c>
      <c r="I451">
        <v>4</v>
      </c>
      <c r="J451">
        <v>9</v>
      </c>
      <c r="K451">
        <v>7</v>
      </c>
    </row>
    <row r="452" spans="1:11" x14ac:dyDescent="0.25">
      <c r="A452" t="s">
        <v>1010</v>
      </c>
      <c r="B452" t="s">
        <v>233</v>
      </c>
      <c r="D452" t="s">
        <v>70</v>
      </c>
      <c r="E452">
        <v>1</v>
      </c>
      <c r="F452">
        <v>0</v>
      </c>
      <c r="G452">
        <v>6</v>
      </c>
      <c r="H452">
        <v>2</v>
      </c>
      <c r="I452">
        <v>4</v>
      </c>
      <c r="J452">
        <v>10</v>
      </c>
      <c r="K452">
        <v>10</v>
      </c>
    </row>
    <row r="453" spans="1:11" x14ac:dyDescent="0.25">
      <c r="A453" t="s">
        <v>1010</v>
      </c>
      <c r="B453" t="s">
        <v>233</v>
      </c>
      <c r="D453" t="s">
        <v>1040</v>
      </c>
      <c r="E453">
        <v>1</v>
      </c>
      <c r="F453">
        <v>0</v>
      </c>
      <c r="G453">
        <v>4</v>
      </c>
      <c r="H453">
        <v>1</v>
      </c>
      <c r="I453">
        <v>3</v>
      </c>
      <c r="J453">
        <v>11</v>
      </c>
      <c r="K453">
        <v>10</v>
      </c>
    </row>
    <row r="454" spans="1:11" x14ac:dyDescent="0.25">
      <c r="A454" t="s">
        <v>1010</v>
      </c>
      <c r="B454" t="s">
        <v>233</v>
      </c>
      <c r="D454" t="s">
        <v>762</v>
      </c>
      <c r="E454">
        <v>1</v>
      </c>
      <c r="F454">
        <v>0</v>
      </c>
      <c r="G454">
        <v>7</v>
      </c>
      <c r="H454">
        <v>3</v>
      </c>
      <c r="I454">
        <v>4</v>
      </c>
      <c r="J454">
        <v>13</v>
      </c>
      <c r="K454">
        <v>10</v>
      </c>
    </row>
    <row r="455" spans="1:11" x14ac:dyDescent="0.25">
      <c r="A455" t="s">
        <v>1010</v>
      </c>
      <c r="B455" t="s">
        <v>233</v>
      </c>
      <c r="D455" t="s">
        <v>71</v>
      </c>
      <c r="E455">
        <v>1</v>
      </c>
      <c r="F455">
        <v>0</v>
      </c>
      <c r="G455">
        <v>0</v>
      </c>
      <c r="H455">
        <v>0</v>
      </c>
      <c r="I455">
        <v>4</v>
      </c>
      <c r="J455">
        <v>7</v>
      </c>
      <c r="K455">
        <v>5</v>
      </c>
    </row>
    <row r="456" spans="1:11" x14ac:dyDescent="0.25">
      <c r="A456" t="s">
        <v>1010</v>
      </c>
      <c r="B456" t="s">
        <v>234</v>
      </c>
      <c r="D456" t="s">
        <v>162</v>
      </c>
      <c r="E456">
        <v>2</v>
      </c>
      <c r="F456">
        <v>0</v>
      </c>
      <c r="G456">
        <v>10</v>
      </c>
      <c r="H456">
        <v>10</v>
      </c>
      <c r="I456">
        <v>2</v>
      </c>
      <c r="J456">
        <v>7</v>
      </c>
      <c r="K456">
        <v>17</v>
      </c>
    </row>
    <row r="457" spans="1:11" x14ac:dyDescent="0.25">
      <c r="A457" t="s">
        <v>1010</v>
      </c>
      <c r="B457" t="s">
        <v>234</v>
      </c>
      <c r="D457" t="s">
        <v>163</v>
      </c>
      <c r="E457">
        <v>2</v>
      </c>
      <c r="F457">
        <v>0</v>
      </c>
      <c r="G457">
        <v>16</v>
      </c>
      <c r="H457">
        <v>34</v>
      </c>
      <c r="I457">
        <v>5</v>
      </c>
      <c r="J457">
        <v>7</v>
      </c>
      <c r="K457">
        <v>43</v>
      </c>
    </row>
    <row r="458" spans="1:11" x14ac:dyDescent="0.25">
      <c r="A458" t="s">
        <v>1010</v>
      </c>
      <c r="B458" t="s">
        <v>234</v>
      </c>
      <c r="C458" t="s">
        <v>361</v>
      </c>
      <c r="D458" t="s">
        <v>164</v>
      </c>
      <c r="E458">
        <v>1</v>
      </c>
      <c r="F458">
        <v>0</v>
      </c>
      <c r="G458">
        <v>6</v>
      </c>
      <c r="H458">
        <v>21</v>
      </c>
      <c r="I458">
        <v>2</v>
      </c>
      <c r="J458">
        <v>5</v>
      </c>
      <c r="K458">
        <v>31</v>
      </c>
    </row>
    <row r="459" spans="1:11" x14ac:dyDescent="0.25">
      <c r="A459" t="s">
        <v>1010</v>
      </c>
      <c r="B459" t="s">
        <v>235</v>
      </c>
      <c r="C459" t="s">
        <v>347</v>
      </c>
      <c r="D459" t="s">
        <v>244</v>
      </c>
      <c r="E459">
        <v>16</v>
      </c>
      <c r="F459">
        <v>5</v>
      </c>
      <c r="G459">
        <v>0</v>
      </c>
      <c r="H459">
        <v>0</v>
      </c>
      <c r="I459">
        <v>20</v>
      </c>
      <c r="J459">
        <v>19</v>
      </c>
      <c r="K459">
        <v>28</v>
      </c>
    </row>
    <row r="460" spans="1:11" x14ac:dyDescent="0.25">
      <c r="A460" t="s">
        <v>1061</v>
      </c>
      <c r="B460" t="s">
        <v>232</v>
      </c>
      <c r="D460" t="s">
        <v>31</v>
      </c>
      <c r="E460">
        <v>0</v>
      </c>
      <c r="F460">
        <v>0</v>
      </c>
      <c r="G460">
        <v>32</v>
      </c>
      <c r="H460">
        <v>103</v>
      </c>
      <c r="I460">
        <v>0</v>
      </c>
      <c r="J460">
        <v>0</v>
      </c>
      <c r="K460">
        <v>20</v>
      </c>
    </row>
    <row r="461" spans="1:11" x14ac:dyDescent="0.25">
      <c r="A461" t="s">
        <v>1061</v>
      </c>
      <c r="B461" t="s">
        <v>232</v>
      </c>
      <c r="D461" t="s">
        <v>32</v>
      </c>
      <c r="E461">
        <v>0</v>
      </c>
      <c r="F461">
        <v>0</v>
      </c>
      <c r="G461">
        <v>5</v>
      </c>
      <c r="H461">
        <v>18</v>
      </c>
      <c r="I461">
        <v>0</v>
      </c>
      <c r="J461">
        <v>0</v>
      </c>
      <c r="K461">
        <v>5</v>
      </c>
    </row>
    <row r="462" spans="1:11" x14ac:dyDescent="0.25">
      <c r="A462" t="s">
        <v>1061</v>
      </c>
      <c r="B462" t="s">
        <v>232</v>
      </c>
      <c r="D462" t="s">
        <v>33</v>
      </c>
      <c r="E462">
        <v>0</v>
      </c>
      <c r="F462">
        <v>0</v>
      </c>
      <c r="G462">
        <v>5</v>
      </c>
      <c r="H462">
        <v>14</v>
      </c>
      <c r="I462">
        <v>0</v>
      </c>
      <c r="J462">
        <v>0</v>
      </c>
      <c r="K462">
        <v>5</v>
      </c>
    </row>
    <row r="463" spans="1:11" x14ac:dyDescent="0.25">
      <c r="A463" t="s">
        <v>1061</v>
      </c>
      <c r="B463" t="s">
        <v>232</v>
      </c>
      <c r="D463" t="s">
        <v>34</v>
      </c>
      <c r="E463">
        <v>0</v>
      </c>
      <c r="F463">
        <v>0</v>
      </c>
      <c r="G463">
        <v>11</v>
      </c>
      <c r="H463">
        <v>29</v>
      </c>
      <c r="I463">
        <v>0</v>
      </c>
      <c r="J463">
        <v>0</v>
      </c>
      <c r="K463">
        <v>10</v>
      </c>
    </row>
    <row r="464" spans="1:11" x14ac:dyDescent="0.25">
      <c r="A464" t="s">
        <v>1061</v>
      </c>
      <c r="B464" t="s">
        <v>232</v>
      </c>
      <c r="D464" t="s">
        <v>36</v>
      </c>
      <c r="E464">
        <v>0</v>
      </c>
      <c r="F464">
        <v>0</v>
      </c>
      <c r="G464">
        <v>9</v>
      </c>
      <c r="H464">
        <v>37</v>
      </c>
      <c r="I464">
        <v>0</v>
      </c>
      <c r="J464">
        <v>0</v>
      </c>
      <c r="K464">
        <v>5</v>
      </c>
    </row>
    <row r="465" spans="1:11" x14ac:dyDescent="0.25">
      <c r="A465" t="s">
        <v>1061</v>
      </c>
      <c r="B465" t="s">
        <v>232</v>
      </c>
      <c r="D465" t="s">
        <v>37</v>
      </c>
      <c r="E465">
        <v>0</v>
      </c>
      <c r="F465">
        <v>0</v>
      </c>
      <c r="G465">
        <v>37</v>
      </c>
      <c r="H465">
        <v>112</v>
      </c>
      <c r="I465">
        <v>0</v>
      </c>
      <c r="J465">
        <v>0</v>
      </c>
      <c r="K465">
        <v>20</v>
      </c>
    </row>
    <row r="466" spans="1:11" x14ac:dyDescent="0.25">
      <c r="A466" t="s">
        <v>1061</v>
      </c>
      <c r="B466" t="s">
        <v>232</v>
      </c>
      <c r="D466" t="s">
        <v>38</v>
      </c>
      <c r="E466">
        <v>0</v>
      </c>
      <c r="F466">
        <v>0</v>
      </c>
      <c r="G466">
        <v>8</v>
      </c>
      <c r="H466">
        <v>34</v>
      </c>
      <c r="I466">
        <v>0</v>
      </c>
      <c r="J466">
        <v>0</v>
      </c>
      <c r="K466">
        <v>5</v>
      </c>
    </row>
    <row r="467" spans="1:11" x14ac:dyDescent="0.25">
      <c r="A467" t="s">
        <v>1061</v>
      </c>
      <c r="B467" t="s">
        <v>232</v>
      </c>
      <c r="D467" t="s">
        <v>39</v>
      </c>
      <c r="E467">
        <v>0</v>
      </c>
      <c r="F467">
        <v>0</v>
      </c>
      <c r="G467">
        <v>12</v>
      </c>
      <c r="H467">
        <v>44</v>
      </c>
      <c r="I467">
        <v>0</v>
      </c>
      <c r="J467">
        <v>0</v>
      </c>
      <c r="K467">
        <v>15</v>
      </c>
    </row>
    <row r="468" spans="1:11" x14ac:dyDescent="0.25">
      <c r="A468" t="s">
        <v>1061</v>
      </c>
      <c r="B468" t="s">
        <v>232</v>
      </c>
      <c r="D468" t="s">
        <v>41</v>
      </c>
      <c r="E468">
        <v>0</v>
      </c>
      <c r="F468">
        <v>0</v>
      </c>
      <c r="G468">
        <v>10</v>
      </c>
      <c r="H468">
        <v>27</v>
      </c>
      <c r="I468">
        <v>0</v>
      </c>
      <c r="J468">
        <v>0</v>
      </c>
      <c r="K468">
        <v>10</v>
      </c>
    </row>
    <row r="469" spans="1:11" x14ac:dyDescent="0.25">
      <c r="A469" t="s">
        <v>1061</v>
      </c>
      <c r="B469" t="s">
        <v>232</v>
      </c>
      <c r="D469" t="s">
        <v>117</v>
      </c>
      <c r="E469">
        <v>0</v>
      </c>
      <c r="F469">
        <v>0</v>
      </c>
      <c r="G469">
        <v>108</v>
      </c>
      <c r="H469">
        <v>317</v>
      </c>
      <c r="I469">
        <v>0</v>
      </c>
      <c r="J469">
        <v>0</v>
      </c>
      <c r="K469">
        <v>66</v>
      </c>
    </row>
    <row r="470" spans="1:11" x14ac:dyDescent="0.25">
      <c r="A470" t="s">
        <v>1061</v>
      </c>
      <c r="B470" t="s">
        <v>232</v>
      </c>
      <c r="D470" t="s">
        <v>44</v>
      </c>
      <c r="E470">
        <v>0</v>
      </c>
      <c r="F470">
        <v>0</v>
      </c>
      <c r="G470">
        <v>7</v>
      </c>
      <c r="H470">
        <v>0</v>
      </c>
      <c r="I470">
        <v>0</v>
      </c>
      <c r="J470">
        <v>0</v>
      </c>
      <c r="K470">
        <v>4</v>
      </c>
    </row>
    <row r="471" spans="1:11" x14ac:dyDescent="0.25">
      <c r="A471" t="s">
        <v>1061</v>
      </c>
      <c r="B471" t="s">
        <v>232</v>
      </c>
      <c r="D471" t="s">
        <v>44</v>
      </c>
      <c r="E471">
        <v>0</v>
      </c>
      <c r="F471">
        <v>0</v>
      </c>
      <c r="G471">
        <v>16</v>
      </c>
      <c r="H471">
        <v>51</v>
      </c>
      <c r="I471">
        <v>0</v>
      </c>
      <c r="J471">
        <v>0</v>
      </c>
      <c r="K471">
        <v>6</v>
      </c>
    </row>
    <row r="472" spans="1:11" x14ac:dyDescent="0.25">
      <c r="A472" t="s">
        <v>1061</v>
      </c>
      <c r="B472" t="s">
        <v>232</v>
      </c>
      <c r="D472" t="s">
        <v>45</v>
      </c>
      <c r="E472">
        <v>0</v>
      </c>
      <c r="F472">
        <v>0</v>
      </c>
      <c r="G472">
        <v>14</v>
      </c>
      <c r="H472">
        <v>43</v>
      </c>
      <c r="I472">
        <v>0</v>
      </c>
      <c r="J472">
        <v>0</v>
      </c>
      <c r="K472">
        <v>10</v>
      </c>
    </row>
    <row r="473" spans="1:11" x14ac:dyDescent="0.25">
      <c r="A473" t="s">
        <v>1061</v>
      </c>
      <c r="B473" t="s">
        <v>232</v>
      </c>
      <c r="D473" t="s">
        <v>47</v>
      </c>
      <c r="E473">
        <v>0</v>
      </c>
      <c r="F473">
        <v>0</v>
      </c>
      <c r="G473">
        <v>4</v>
      </c>
      <c r="H473">
        <v>20</v>
      </c>
      <c r="I473">
        <v>0</v>
      </c>
      <c r="J473">
        <v>0</v>
      </c>
      <c r="K473">
        <v>5</v>
      </c>
    </row>
    <row r="474" spans="1:11" x14ac:dyDescent="0.25">
      <c r="A474" t="s">
        <v>1061</v>
      </c>
      <c r="B474" t="s">
        <v>232</v>
      </c>
      <c r="D474" t="s">
        <v>48</v>
      </c>
      <c r="E474">
        <v>0</v>
      </c>
      <c r="F474">
        <v>0</v>
      </c>
      <c r="G474">
        <v>0</v>
      </c>
      <c r="H474">
        <v>0</v>
      </c>
      <c r="I474">
        <v>0</v>
      </c>
      <c r="J474">
        <v>0</v>
      </c>
      <c r="K474">
        <v>3</v>
      </c>
    </row>
    <row r="475" spans="1:11" x14ac:dyDescent="0.25">
      <c r="A475" t="s">
        <v>1061</v>
      </c>
      <c r="B475" t="s">
        <v>232</v>
      </c>
      <c r="D475" t="s">
        <v>49</v>
      </c>
      <c r="E475">
        <v>0</v>
      </c>
      <c r="F475">
        <v>0</v>
      </c>
      <c r="G475">
        <v>16</v>
      </c>
      <c r="H475">
        <v>44</v>
      </c>
      <c r="I475">
        <v>0</v>
      </c>
      <c r="J475">
        <v>0</v>
      </c>
      <c r="K475">
        <v>15</v>
      </c>
    </row>
    <row r="476" spans="1:11" x14ac:dyDescent="0.25">
      <c r="A476" t="s">
        <v>1061</v>
      </c>
      <c r="B476" t="s">
        <v>232</v>
      </c>
      <c r="D476" t="s">
        <v>50</v>
      </c>
      <c r="E476">
        <v>0</v>
      </c>
      <c r="F476">
        <v>0</v>
      </c>
      <c r="G476">
        <v>36</v>
      </c>
      <c r="H476">
        <v>102</v>
      </c>
      <c r="I476">
        <v>0</v>
      </c>
      <c r="J476">
        <v>0</v>
      </c>
      <c r="K476">
        <v>21</v>
      </c>
    </row>
    <row r="477" spans="1:11" x14ac:dyDescent="0.25">
      <c r="A477" t="s">
        <v>1061</v>
      </c>
      <c r="B477" t="s">
        <v>232</v>
      </c>
      <c r="D477" t="s">
        <v>51</v>
      </c>
      <c r="E477">
        <v>0</v>
      </c>
      <c r="F477">
        <v>0</v>
      </c>
      <c r="G477">
        <v>0</v>
      </c>
      <c r="H477">
        <v>0</v>
      </c>
      <c r="I477">
        <v>0</v>
      </c>
      <c r="J477">
        <v>0</v>
      </c>
      <c r="K477">
        <v>1</v>
      </c>
    </row>
    <row r="478" spans="1:11" x14ac:dyDescent="0.25">
      <c r="A478" t="s">
        <v>1061</v>
      </c>
      <c r="B478" t="s">
        <v>232</v>
      </c>
      <c r="D478" t="s">
        <v>52</v>
      </c>
      <c r="E478">
        <v>0</v>
      </c>
      <c r="F478">
        <v>0</v>
      </c>
      <c r="G478">
        <v>11</v>
      </c>
      <c r="H478">
        <v>53</v>
      </c>
      <c r="I478">
        <v>0</v>
      </c>
      <c r="J478">
        <v>0</v>
      </c>
      <c r="K478">
        <v>5</v>
      </c>
    </row>
    <row r="479" spans="1:11" x14ac:dyDescent="0.25">
      <c r="A479" t="s">
        <v>1061</v>
      </c>
      <c r="B479" t="s">
        <v>232</v>
      </c>
      <c r="D479" t="s">
        <v>53</v>
      </c>
      <c r="E479">
        <v>0</v>
      </c>
      <c r="F479">
        <v>0</v>
      </c>
      <c r="G479">
        <v>20</v>
      </c>
      <c r="H479">
        <v>60</v>
      </c>
      <c r="I479">
        <v>0</v>
      </c>
      <c r="J479">
        <v>0</v>
      </c>
      <c r="K479">
        <v>15</v>
      </c>
    </row>
    <row r="480" spans="1:11" x14ac:dyDescent="0.25">
      <c r="A480" t="s">
        <v>1061</v>
      </c>
      <c r="B480" t="s">
        <v>232</v>
      </c>
      <c r="D480" t="s">
        <v>55</v>
      </c>
      <c r="E480">
        <v>0</v>
      </c>
      <c r="F480">
        <v>0</v>
      </c>
      <c r="G480">
        <v>0</v>
      </c>
      <c r="H480">
        <v>0</v>
      </c>
      <c r="I480">
        <v>0</v>
      </c>
      <c r="J480">
        <v>0</v>
      </c>
      <c r="K480">
        <v>1</v>
      </c>
    </row>
    <row r="481" spans="1:11" x14ac:dyDescent="0.25">
      <c r="A481" t="s">
        <v>1061</v>
      </c>
      <c r="B481" t="s">
        <v>232</v>
      </c>
      <c r="D481" t="s">
        <v>56</v>
      </c>
      <c r="E481">
        <v>0</v>
      </c>
      <c r="F481">
        <v>0</v>
      </c>
      <c r="G481">
        <v>9</v>
      </c>
      <c r="H481">
        <v>34</v>
      </c>
      <c r="I481">
        <v>0</v>
      </c>
      <c r="J481">
        <v>0</v>
      </c>
      <c r="K481">
        <v>5</v>
      </c>
    </row>
    <row r="482" spans="1:11" x14ac:dyDescent="0.25">
      <c r="A482" t="s">
        <v>1061</v>
      </c>
      <c r="B482" t="s">
        <v>232</v>
      </c>
      <c r="D482" t="s">
        <v>57</v>
      </c>
      <c r="E482">
        <v>0</v>
      </c>
      <c r="F482">
        <v>0</v>
      </c>
      <c r="G482">
        <v>35</v>
      </c>
      <c r="H482">
        <v>109</v>
      </c>
      <c r="I482">
        <v>0</v>
      </c>
      <c r="J482">
        <v>0</v>
      </c>
      <c r="K482">
        <v>20</v>
      </c>
    </row>
    <row r="483" spans="1:11" x14ac:dyDescent="0.25">
      <c r="A483" t="s">
        <v>1061</v>
      </c>
      <c r="B483" t="s">
        <v>232</v>
      </c>
      <c r="D483" t="s">
        <v>59</v>
      </c>
      <c r="E483">
        <v>0</v>
      </c>
      <c r="F483">
        <v>0</v>
      </c>
      <c r="G483">
        <v>15</v>
      </c>
      <c r="H483">
        <v>43</v>
      </c>
      <c r="I483">
        <v>0</v>
      </c>
      <c r="J483">
        <v>0</v>
      </c>
      <c r="K483">
        <v>10</v>
      </c>
    </row>
    <row r="484" spans="1:11" x14ac:dyDescent="0.25">
      <c r="A484" t="s">
        <v>1061</v>
      </c>
      <c r="B484" t="s">
        <v>232</v>
      </c>
      <c r="D484" t="s">
        <v>60</v>
      </c>
      <c r="E484">
        <v>0</v>
      </c>
      <c r="F484">
        <v>0</v>
      </c>
      <c r="G484">
        <v>0</v>
      </c>
      <c r="H484">
        <v>0</v>
      </c>
      <c r="I484">
        <v>0</v>
      </c>
      <c r="J484">
        <v>0</v>
      </c>
      <c r="K484">
        <v>2</v>
      </c>
    </row>
    <row r="485" spans="1:11" x14ac:dyDescent="0.25">
      <c r="A485" t="s">
        <v>1061</v>
      </c>
      <c r="B485" t="s">
        <v>232</v>
      </c>
      <c r="C485" t="s">
        <v>361</v>
      </c>
      <c r="D485" t="s">
        <v>243</v>
      </c>
      <c r="E485">
        <v>0</v>
      </c>
      <c r="F485">
        <v>0</v>
      </c>
      <c r="G485">
        <v>53</v>
      </c>
      <c r="H485">
        <v>192</v>
      </c>
      <c r="I485">
        <v>0</v>
      </c>
      <c r="J485">
        <v>0</v>
      </c>
      <c r="K485">
        <v>38</v>
      </c>
    </row>
    <row r="486" spans="1:11" x14ac:dyDescent="0.25">
      <c r="A486" t="s">
        <v>1061</v>
      </c>
      <c r="B486" t="s">
        <v>232</v>
      </c>
      <c r="C486" t="s">
        <v>361</v>
      </c>
      <c r="D486" t="s">
        <v>35</v>
      </c>
      <c r="E486">
        <v>0</v>
      </c>
      <c r="F486">
        <v>0</v>
      </c>
      <c r="G486">
        <v>6</v>
      </c>
      <c r="H486">
        <v>14</v>
      </c>
      <c r="I486">
        <v>0</v>
      </c>
      <c r="J486">
        <v>0</v>
      </c>
      <c r="K486">
        <v>5</v>
      </c>
    </row>
    <row r="487" spans="1:11" x14ac:dyDescent="0.25">
      <c r="A487" t="s">
        <v>1061</v>
      </c>
      <c r="B487" t="s">
        <v>232</v>
      </c>
      <c r="C487" t="s">
        <v>361</v>
      </c>
      <c r="D487" t="s">
        <v>40</v>
      </c>
      <c r="E487">
        <v>0</v>
      </c>
      <c r="F487">
        <v>0</v>
      </c>
      <c r="G487">
        <v>4</v>
      </c>
      <c r="H487">
        <v>15</v>
      </c>
      <c r="I487">
        <v>0</v>
      </c>
      <c r="J487">
        <v>0</v>
      </c>
      <c r="K487">
        <v>5</v>
      </c>
    </row>
    <row r="488" spans="1:11" x14ac:dyDescent="0.25">
      <c r="A488" t="s">
        <v>1061</v>
      </c>
      <c r="B488" t="s">
        <v>232</v>
      </c>
      <c r="C488" t="s">
        <v>361</v>
      </c>
      <c r="D488" t="s">
        <v>42</v>
      </c>
      <c r="E488">
        <v>0</v>
      </c>
      <c r="F488">
        <v>0</v>
      </c>
      <c r="G488">
        <v>19</v>
      </c>
      <c r="H488">
        <v>50</v>
      </c>
      <c r="I488">
        <v>0</v>
      </c>
      <c r="J488">
        <v>0</v>
      </c>
      <c r="K488">
        <v>15</v>
      </c>
    </row>
    <row r="489" spans="1:11" x14ac:dyDescent="0.25">
      <c r="A489" t="s">
        <v>1061</v>
      </c>
      <c r="B489" t="s">
        <v>232</v>
      </c>
      <c r="C489" t="s">
        <v>361</v>
      </c>
      <c r="D489" t="s">
        <v>43</v>
      </c>
      <c r="E489">
        <v>0</v>
      </c>
      <c r="F489">
        <v>0</v>
      </c>
      <c r="G489">
        <v>51</v>
      </c>
      <c r="H489">
        <v>163</v>
      </c>
      <c r="I489">
        <v>0</v>
      </c>
      <c r="J489">
        <v>0</v>
      </c>
      <c r="K489">
        <v>25</v>
      </c>
    </row>
    <row r="490" spans="1:11" x14ac:dyDescent="0.25">
      <c r="A490" t="s">
        <v>1061</v>
      </c>
      <c r="B490" t="s">
        <v>232</v>
      </c>
      <c r="C490" t="s">
        <v>361</v>
      </c>
      <c r="D490" t="s">
        <v>46</v>
      </c>
      <c r="E490">
        <v>0</v>
      </c>
      <c r="F490">
        <v>0</v>
      </c>
      <c r="G490">
        <v>4</v>
      </c>
      <c r="H490">
        <v>15</v>
      </c>
      <c r="I490">
        <v>0</v>
      </c>
      <c r="J490">
        <v>0</v>
      </c>
      <c r="K490">
        <v>6</v>
      </c>
    </row>
    <row r="491" spans="1:11" x14ac:dyDescent="0.25">
      <c r="A491" t="s">
        <v>1061</v>
      </c>
      <c r="B491" t="s">
        <v>232</v>
      </c>
      <c r="C491" t="s">
        <v>361</v>
      </c>
      <c r="D491" t="s">
        <v>54</v>
      </c>
      <c r="E491">
        <v>0</v>
      </c>
      <c r="F491">
        <v>0</v>
      </c>
      <c r="G491">
        <v>9</v>
      </c>
      <c r="H491">
        <v>37</v>
      </c>
      <c r="I491">
        <v>0</v>
      </c>
      <c r="J491">
        <v>0</v>
      </c>
      <c r="K491">
        <v>10</v>
      </c>
    </row>
    <row r="492" spans="1:11" x14ac:dyDescent="0.25">
      <c r="A492" t="s">
        <v>1061</v>
      </c>
      <c r="B492" t="s">
        <v>232</v>
      </c>
      <c r="C492" t="s">
        <v>361</v>
      </c>
      <c r="D492" t="s">
        <v>58</v>
      </c>
      <c r="E492">
        <v>0</v>
      </c>
      <c r="F492">
        <v>0</v>
      </c>
      <c r="G492">
        <v>9</v>
      </c>
      <c r="H492">
        <v>32</v>
      </c>
      <c r="I492">
        <v>0</v>
      </c>
      <c r="J492">
        <v>0</v>
      </c>
      <c r="K492">
        <v>5</v>
      </c>
    </row>
    <row r="493" spans="1:11" x14ac:dyDescent="0.25">
      <c r="A493" t="s">
        <v>1061</v>
      </c>
      <c r="B493" t="s">
        <v>232</v>
      </c>
      <c r="C493" t="s">
        <v>361</v>
      </c>
      <c r="D493" t="s">
        <v>60</v>
      </c>
      <c r="E493">
        <v>0</v>
      </c>
      <c r="F493">
        <v>0</v>
      </c>
      <c r="G493">
        <v>10</v>
      </c>
      <c r="H493">
        <v>37</v>
      </c>
      <c r="I493">
        <v>0</v>
      </c>
      <c r="J493">
        <v>0</v>
      </c>
      <c r="K493">
        <v>10</v>
      </c>
    </row>
    <row r="494" spans="1:11" x14ac:dyDescent="0.25">
      <c r="A494" t="s">
        <v>1061</v>
      </c>
      <c r="B494" t="s">
        <v>233</v>
      </c>
      <c r="D494" t="s">
        <v>1038</v>
      </c>
      <c r="E494">
        <v>1</v>
      </c>
      <c r="F494">
        <v>0</v>
      </c>
      <c r="G494">
        <v>0</v>
      </c>
      <c r="H494">
        <v>0</v>
      </c>
      <c r="I494">
        <v>4</v>
      </c>
      <c r="J494">
        <v>10</v>
      </c>
      <c r="K494">
        <v>9</v>
      </c>
    </row>
    <row r="495" spans="1:11" x14ac:dyDescent="0.25">
      <c r="A495" t="s">
        <v>1061</v>
      </c>
      <c r="B495" t="s">
        <v>233</v>
      </c>
      <c r="D495" t="s">
        <v>64</v>
      </c>
      <c r="E495">
        <v>1</v>
      </c>
      <c r="F495">
        <v>0</v>
      </c>
      <c r="G495">
        <v>6</v>
      </c>
      <c r="H495">
        <v>2</v>
      </c>
      <c r="I495">
        <v>4</v>
      </c>
      <c r="J495">
        <v>10</v>
      </c>
      <c r="K495">
        <v>7</v>
      </c>
    </row>
    <row r="496" spans="1:11" x14ac:dyDescent="0.25">
      <c r="A496" t="s">
        <v>1061</v>
      </c>
      <c r="B496" t="s">
        <v>233</v>
      </c>
      <c r="D496" t="s">
        <v>36</v>
      </c>
      <c r="E496">
        <v>1</v>
      </c>
      <c r="F496">
        <v>0</v>
      </c>
      <c r="G496">
        <v>4</v>
      </c>
      <c r="H496">
        <v>2</v>
      </c>
      <c r="I496">
        <v>2</v>
      </c>
      <c r="J496">
        <v>6</v>
      </c>
      <c r="K496">
        <v>3</v>
      </c>
    </row>
    <row r="497" spans="1:11" x14ac:dyDescent="0.25">
      <c r="A497" t="s">
        <v>1061</v>
      </c>
      <c r="B497" t="s">
        <v>233</v>
      </c>
      <c r="D497" t="s">
        <v>65</v>
      </c>
      <c r="E497">
        <v>1</v>
      </c>
      <c r="F497">
        <v>0</v>
      </c>
      <c r="G497">
        <v>0</v>
      </c>
      <c r="H497">
        <v>2</v>
      </c>
      <c r="I497">
        <v>4</v>
      </c>
      <c r="J497">
        <v>7</v>
      </c>
      <c r="K497">
        <v>9</v>
      </c>
    </row>
    <row r="498" spans="1:11" x14ac:dyDescent="0.25">
      <c r="A498" t="s">
        <v>1061</v>
      </c>
      <c r="B498" t="s">
        <v>233</v>
      </c>
      <c r="D498" t="s">
        <v>66</v>
      </c>
      <c r="E498">
        <v>1</v>
      </c>
      <c r="F498">
        <v>0</v>
      </c>
      <c r="G498">
        <v>4</v>
      </c>
      <c r="H498">
        <v>0</v>
      </c>
      <c r="I498">
        <v>4</v>
      </c>
      <c r="J498">
        <v>10</v>
      </c>
      <c r="K498">
        <v>7</v>
      </c>
    </row>
    <row r="499" spans="1:11" x14ac:dyDescent="0.25">
      <c r="A499" t="s">
        <v>1061</v>
      </c>
      <c r="B499" t="s">
        <v>233</v>
      </c>
      <c r="D499" t="s">
        <v>67</v>
      </c>
      <c r="E499">
        <v>1</v>
      </c>
      <c r="F499">
        <v>0</v>
      </c>
      <c r="G499">
        <v>6</v>
      </c>
      <c r="H499">
        <v>4</v>
      </c>
      <c r="I499">
        <v>4</v>
      </c>
      <c r="J499">
        <v>6</v>
      </c>
      <c r="K499">
        <v>11</v>
      </c>
    </row>
    <row r="500" spans="1:11" x14ac:dyDescent="0.25">
      <c r="A500" t="s">
        <v>1061</v>
      </c>
      <c r="B500" t="s">
        <v>233</v>
      </c>
      <c r="D500" t="s">
        <v>68</v>
      </c>
      <c r="E500">
        <v>1</v>
      </c>
      <c r="F500">
        <v>0</v>
      </c>
      <c r="G500">
        <v>4</v>
      </c>
      <c r="H500">
        <v>1</v>
      </c>
      <c r="I500">
        <v>3</v>
      </c>
      <c r="J500">
        <v>6</v>
      </c>
      <c r="K500">
        <v>4</v>
      </c>
    </row>
    <row r="501" spans="1:11" x14ac:dyDescent="0.25">
      <c r="A501" t="s">
        <v>1061</v>
      </c>
      <c r="B501" t="s">
        <v>233</v>
      </c>
      <c r="D501" t="s">
        <v>165</v>
      </c>
      <c r="E501">
        <v>1</v>
      </c>
      <c r="F501">
        <v>0</v>
      </c>
      <c r="G501">
        <v>3</v>
      </c>
      <c r="H501">
        <v>3</v>
      </c>
      <c r="I501">
        <v>3</v>
      </c>
      <c r="J501">
        <v>8</v>
      </c>
      <c r="K501">
        <v>8</v>
      </c>
    </row>
    <row r="502" spans="1:11" x14ac:dyDescent="0.25">
      <c r="A502" t="s">
        <v>1061</v>
      </c>
      <c r="B502" t="s">
        <v>233</v>
      </c>
      <c r="D502" t="s">
        <v>69</v>
      </c>
      <c r="E502">
        <v>1</v>
      </c>
      <c r="F502">
        <v>0</v>
      </c>
      <c r="G502">
        <v>4</v>
      </c>
      <c r="H502">
        <v>1</v>
      </c>
      <c r="I502">
        <v>1</v>
      </c>
      <c r="J502">
        <v>6</v>
      </c>
      <c r="K502">
        <v>6</v>
      </c>
    </row>
    <row r="503" spans="1:11" x14ac:dyDescent="0.25">
      <c r="A503" t="s">
        <v>1061</v>
      </c>
      <c r="B503" t="s">
        <v>233</v>
      </c>
      <c r="D503" t="s">
        <v>117</v>
      </c>
      <c r="E503">
        <v>1</v>
      </c>
      <c r="F503">
        <v>0</v>
      </c>
      <c r="G503">
        <v>2</v>
      </c>
      <c r="H503">
        <v>1</v>
      </c>
      <c r="I503">
        <v>4</v>
      </c>
      <c r="J503">
        <v>9</v>
      </c>
      <c r="K503">
        <v>6</v>
      </c>
    </row>
    <row r="504" spans="1:11" x14ac:dyDescent="0.25">
      <c r="A504" t="s">
        <v>1061</v>
      </c>
      <c r="B504" t="s">
        <v>233</v>
      </c>
      <c r="D504" t="s">
        <v>70</v>
      </c>
      <c r="E504">
        <v>1</v>
      </c>
      <c r="F504">
        <v>0</v>
      </c>
      <c r="G504">
        <v>0</v>
      </c>
      <c r="H504">
        <v>1</v>
      </c>
      <c r="I504">
        <v>4</v>
      </c>
      <c r="J504">
        <v>10</v>
      </c>
      <c r="K504">
        <v>4</v>
      </c>
    </row>
    <row r="505" spans="1:11" x14ac:dyDescent="0.25">
      <c r="A505" t="s">
        <v>1061</v>
      </c>
      <c r="B505" t="s">
        <v>233</v>
      </c>
      <c r="D505" t="s">
        <v>1040</v>
      </c>
      <c r="E505">
        <v>1</v>
      </c>
      <c r="F505">
        <v>0</v>
      </c>
      <c r="G505">
        <v>4</v>
      </c>
      <c r="H505">
        <v>1</v>
      </c>
      <c r="I505">
        <v>3</v>
      </c>
      <c r="J505">
        <v>8</v>
      </c>
      <c r="K505">
        <v>10</v>
      </c>
    </row>
    <row r="506" spans="1:11" x14ac:dyDescent="0.25">
      <c r="A506" t="s">
        <v>1061</v>
      </c>
      <c r="B506" t="s">
        <v>233</v>
      </c>
      <c r="D506" t="s">
        <v>762</v>
      </c>
      <c r="E506">
        <v>1</v>
      </c>
      <c r="F506">
        <v>0</v>
      </c>
      <c r="G506">
        <v>6</v>
      </c>
      <c r="H506">
        <v>2</v>
      </c>
      <c r="I506">
        <v>4</v>
      </c>
      <c r="J506">
        <v>10</v>
      </c>
      <c r="K506">
        <v>8</v>
      </c>
    </row>
    <row r="507" spans="1:11" x14ac:dyDescent="0.25">
      <c r="A507" t="s">
        <v>1061</v>
      </c>
      <c r="B507" t="s">
        <v>233</v>
      </c>
      <c r="D507" t="s">
        <v>71</v>
      </c>
      <c r="E507">
        <v>0</v>
      </c>
      <c r="F507">
        <v>0</v>
      </c>
      <c r="G507">
        <v>0</v>
      </c>
      <c r="H507">
        <v>0</v>
      </c>
      <c r="I507">
        <v>1</v>
      </c>
      <c r="J507">
        <v>0</v>
      </c>
      <c r="K507">
        <v>0</v>
      </c>
    </row>
    <row r="508" spans="1:11" x14ac:dyDescent="0.25">
      <c r="A508" t="s">
        <v>1061</v>
      </c>
      <c r="B508" t="s">
        <v>233</v>
      </c>
      <c r="D508" t="s">
        <v>71</v>
      </c>
      <c r="E508">
        <v>1</v>
      </c>
      <c r="F508">
        <v>0</v>
      </c>
      <c r="G508">
        <v>0</v>
      </c>
      <c r="H508">
        <v>0</v>
      </c>
      <c r="I508">
        <v>3</v>
      </c>
      <c r="J508">
        <v>5</v>
      </c>
      <c r="K508">
        <v>0</v>
      </c>
    </row>
    <row r="509" spans="1:11" x14ac:dyDescent="0.25">
      <c r="A509" t="s">
        <v>1061</v>
      </c>
      <c r="B509" t="s">
        <v>234</v>
      </c>
      <c r="D509" t="s">
        <v>162</v>
      </c>
      <c r="E509">
        <v>2</v>
      </c>
      <c r="F509">
        <v>0</v>
      </c>
      <c r="G509">
        <v>12</v>
      </c>
      <c r="H509">
        <v>25</v>
      </c>
      <c r="I509">
        <v>3</v>
      </c>
      <c r="J509">
        <v>6</v>
      </c>
      <c r="K509">
        <v>22</v>
      </c>
    </row>
    <row r="510" spans="1:11" x14ac:dyDescent="0.25">
      <c r="A510" t="s">
        <v>1061</v>
      </c>
      <c r="B510" t="s">
        <v>234</v>
      </c>
      <c r="D510" t="s">
        <v>163</v>
      </c>
      <c r="E510">
        <v>2</v>
      </c>
      <c r="F510">
        <v>0</v>
      </c>
      <c r="G510">
        <v>10</v>
      </c>
      <c r="H510">
        <v>48</v>
      </c>
      <c r="I510">
        <v>5</v>
      </c>
      <c r="J510">
        <v>11</v>
      </c>
      <c r="K510">
        <v>43</v>
      </c>
    </row>
    <row r="511" spans="1:11" x14ac:dyDescent="0.25">
      <c r="A511" t="s">
        <v>1061</v>
      </c>
      <c r="B511" t="s">
        <v>234</v>
      </c>
      <c r="C511" t="s">
        <v>361</v>
      </c>
      <c r="D511" t="s">
        <v>164</v>
      </c>
      <c r="E511">
        <v>1</v>
      </c>
      <c r="F511">
        <v>0</v>
      </c>
      <c r="G511">
        <v>4</v>
      </c>
      <c r="H511">
        <v>30</v>
      </c>
      <c r="I511">
        <v>3</v>
      </c>
      <c r="J511">
        <v>4</v>
      </c>
      <c r="K511">
        <v>25</v>
      </c>
    </row>
    <row r="512" spans="1:11" x14ac:dyDescent="0.25">
      <c r="A512" t="s">
        <v>1061</v>
      </c>
      <c r="B512" t="s">
        <v>235</v>
      </c>
      <c r="C512" t="s">
        <v>347</v>
      </c>
      <c r="D512" t="s">
        <v>244</v>
      </c>
      <c r="E512">
        <v>12</v>
      </c>
      <c r="F512">
        <v>5</v>
      </c>
      <c r="G512">
        <v>1</v>
      </c>
      <c r="H512">
        <v>0</v>
      </c>
      <c r="I512">
        <v>19</v>
      </c>
      <c r="J512">
        <v>16</v>
      </c>
      <c r="K512">
        <v>16</v>
      </c>
    </row>
    <row r="513" spans="1:11" x14ac:dyDescent="0.25">
      <c r="A513" t="s">
        <v>1108</v>
      </c>
      <c r="B513" t="s">
        <v>232</v>
      </c>
      <c r="D513" t="s">
        <v>31</v>
      </c>
      <c r="E513">
        <v>0</v>
      </c>
      <c r="F513">
        <v>0</v>
      </c>
      <c r="G513">
        <v>34</v>
      </c>
      <c r="H513">
        <v>106</v>
      </c>
      <c r="I513">
        <v>0</v>
      </c>
      <c r="J513">
        <v>0</v>
      </c>
      <c r="K513">
        <v>22</v>
      </c>
    </row>
    <row r="514" spans="1:11" x14ac:dyDescent="0.25">
      <c r="A514" t="s">
        <v>1108</v>
      </c>
      <c r="B514" t="s">
        <v>232</v>
      </c>
      <c r="D514" t="s">
        <v>32</v>
      </c>
      <c r="E514">
        <v>0</v>
      </c>
      <c r="F514">
        <v>0</v>
      </c>
      <c r="G514">
        <v>6</v>
      </c>
      <c r="H514">
        <v>17</v>
      </c>
      <c r="I514">
        <v>0</v>
      </c>
      <c r="J514">
        <v>0</v>
      </c>
      <c r="K514">
        <v>5</v>
      </c>
    </row>
    <row r="515" spans="1:11" x14ac:dyDescent="0.25">
      <c r="A515" t="s">
        <v>1108</v>
      </c>
      <c r="B515" t="s">
        <v>232</v>
      </c>
      <c r="D515" t="s">
        <v>33</v>
      </c>
      <c r="E515">
        <v>0</v>
      </c>
      <c r="F515">
        <v>0</v>
      </c>
      <c r="G515">
        <v>5</v>
      </c>
      <c r="H515">
        <v>17</v>
      </c>
      <c r="I515">
        <v>0</v>
      </c>
      <c r="J515">
        <v>0</v>
      </c>
      <c r="K515">
        <v>5</v>
      </c>
    </row>
    <row r="516" spans="1:11" x14ac:dyDescent="0.25">
      <c r="A516" t="s">
        <v>1108</v>
      </c>
      <c r="B516" t="s">
        <v>232</v>
      </c>
      <c r="D516" t="s">
        <v>34</v>
      </c>
      <c r="E516">
        <v>0</v>
      </c>
      <c r="F516">
        <v>0</v>
      </c>
      <c r="G516">
        <v>10</v>
      </c>
      <c r="H516">
        <v>34</v>
      </c>
      <c r="I516">
        <v>0</v>
      </c>
      <c r="J516">
        <v>0</v>
      </c>
      <c r="K516">
        <v>11</v>
      </c>
    </row>
    <row r="517" spans="1:11" x14ac:dyDescent="0.25">
      <c r="A517" t="s">
        <v>1108</v>
      </c>
      <c r="B517" t="s">
        <v>232</v>
      </c>
      <c r="D517" t="s">
        <v>36</v>
      </c>
      <c r="E517">
        <v>0</v>
      </c>
      <c r="F517">
        <v>0</v>
      </c>
      <c r="G517">
        <v>10</v>
      </c>
      <c r="H517">
        <v>38</v>
      </c>
      <c r="I517">
        <v>0</v>
      </c>
      <c r="J517">
        <v>0</v>
      </c>
      <c r="K517">
        <v>5</v>
      </c>
    </row>
    <row r="518" spans="1:11" x14ac:dyDescent="0.25">
      <c r="A518" t="s">
        <v>1108</v>
      </c>
      <c r="B518" t="s">
        <v>232</v>
      </c>
      <c r="D518" t="s">
        <v>37</v>
      </c>
      <c r="E518">
        <v>0</v>
      </c>
      <c r="F518">
        <v>0</v>
      </c>
      <c r="G518">
        <v>30</v>
      </c>
      <c r="H518">
        <v>118</v>
      </c>
      <c r="I518">
        <v>0</v>
      </c>
      <c r="J518">
        <v>0</v>
      </c>
      <c r="K518">
        <v>20</v>
      </c>
    </row>
    <row r="519" spans="1:11" x14ac:dyDescent="0.25">
      <c r="A519" t="s">
        <v>1108</v>
      </c>
      <c r="B519" t="s">
        <v>232</v>
      </c>
      <c r="D519" t="s">
        <v>38</v>
      </c>
      <c r="E519">
        <v>0</v>
      </c>
      <c r="F519">
        <v>0</v>
      </c>
      <c r="G519">
        <v>10</v>
      </c>
      <c r="H519">
        <v>32</v>
      </c>
      <c r="I519">
        <v>0</v>
      </c>
      <c r="J519">
        <v>0</v>
      </c>
      <c r="K519">
        <v>6</v>
      </c>
    </row>
    <row r="520" spans="1:11" x14ac:dyDescent="0.25">
      <c r="A520" t="s">
        <v>1108</v>
      </c>
      <c r="B520" t="s">
        <v>232</v>
      </c>
      <c r="D520" t="s">
        <v>39</v>
      </c>
      <c r="E520">
        <v>0</v>
      </c>
      <c r="F520">
        <v>0</v>
      </c>
      <c r="G520">
        <v>15</v>
      </c>
      <c r="H520">
        <v>46</v>
      </c>
      <c r="I520">
        <v>0</v>
      </c>
      <c r="J520">
        <v>0</v>
      </c>
      <c r="K520">
        <v>15</v>
      </c>
    </row>
    <row r="521" spans="1:11" x14ac:dyDescent="0.25">
      <c r="A521" t="s">
        <v>1108</v>
      </c>
      <c r="B521" t="s">
        <v>232</v>
      </c>
      <c r="D521" t="s">
        <v>41</v>
      </c>
      <c r="E521">
        <v>0</v>
      </c>
      <c r="F521">
        <v>0</v>
      </c>
      <c r="G521">
        <v>10</v>
      </c>
      <c r="H521">
        <v>33</v>
      </c>
      <c r="I521">
        <v>0</v>
      </c>
      <c r="J521">
        <v>0</v>
      </c>
      <c r="K521">
        <v>10</v>
      </c>
    </row>
    <row r="522" spans="1:11" x14ac:dyDescent="0.25">
      <c r="A522" t="s">
        <v>1108</v>
      </c>
      <c r="B522" t="s">
        <v>232</v>
      </c>
      <c r="D522" t="s">
        <v>117</v>
      </c>
      <c r="E522">
        <v>0</v>
      </c>
      <c r="F522">
        <v>0</v>
      </c>
      <c r="G522">
        <v>94</v>
      </c>
      <c r="H522">
        <v>302</v>
      </c>
      <c r="I522">
        <v>0</v>
      </c>
      <c r="J522">
        <v>0</v>
      </c>
      <c r="K522">
        <v>67</v>
      </c>
    </row>
    <row r="523" spans="1:11" x14ac:dyDescent="0.25">
      <c r="A523" t="s">
        <v>1108</v>
      </c>
      <c r="B523" t="s">
        <v>232</v>
      </c>
      <c r="D523" t="s">
        <v>44</v>
      </c>
      <c r="E523">
        <v>0</v>
      </c>
      <c r="F523">
        <v>0</v>
      </c>
      <c r="G523">
        <v>20</v>
      </c>
      <c r="H523">
        <v>52</v>
      </c>
      <c r="I523">
        <v>0</v>
      </c>
      <c r="J523">
        <v>0</v>
      </c>
      <c r="K523">
        <v>8</v>
      </c>
    </row>
    <row r="524" spans="1:11" x14ac:dyDescent="0.25">
      <c r="A524" t="s">
        <v>1108</v>
      </c>
      <c r="B524" t="s">
        <v>232</v>
      </c>
      <c r="D524" t="s">
        <v>45</v>
      </c>
      <c r="E524">
        <v>0</v>
      </c>
      <c r="F524">
        <v>0</v>
      </c>
      <c r="G524">
        <v>14</v>
      </c>
      <c r="H524">
        <v>39</v>
      </c>
      <c r="I524">
        <v>0</v>
      </c>
      <c r="J524">
        <v>0</v>
      </c>
      <c r="K524">
        <v>10</v>
      </c>
    </row>
    <row r="525" spans="1:11" x14ac:dyDescent="0.25">
      <c r="A525" t="s">
        <v>1108</v>
      </c>
      <c r="B525" t="s">
        <v>232</v>
      </c>
      <c r="D525" t="s">
        <v>47</v>
      </c>
      <c r="E525">
        <v>0</v>
      </c>
      <c r="F525">
        <v>0</v>
      </c>
      <c r="G525">
        <v>4</v>
      </c>
      <c r="H525">
        <v>21</v>
      </c>
      <c r="I525">
        <v>0</v>
      </c>
      <c r="J525">
        <v>0</v>
      </c>
      <c r="K525">
        <v>5</v>
      </c>
    </row>
    <row r="526" spans="1:11" x14ac:dyDescent="0.25">
      <c r="A526" t="s">
        <v>1108</v>
      </c>
      <c r="B526" t="s">
        <v>232</v>
      </c>
      <c r="D526" t="s">
        <v>48</v>
      </c>
      <c r="E526">
        <v>0</v>
      </c>
      <c r="F526">
        <v>0</v>
      </c>
      <c r="G526">
        <v>0</v>
      </c>
      <c r="H526">
        <v>0</v>
      </c>
      <c r="I526">
        <v>0</v>
      </c>
      <c r="J526">
        <v>0</v>
      </c>
      <c r="K526">
        <v>3</v>
      </c>
    </row>
    <row r="527" spans="1:11" x14ac:dyDescent="0.25">
      <c r="A527" t="s">
        <v>1108</v>
      </c>
      <c r="B527" t="s">
        <v>232</v>
      </c>
      <c r="D527" t="s">
        <v>49</v>
      </c>
      <c r="E527">
        <v>0</v>
      </c>
      <c r="F527">
        <v>0</v>
      </c>
      <c r="G527">
        <v>16</v>
      </c>
      <c r="H527">
        <v>54</v>
      </c>
      <c r="I527">
        <v>0</v>
      </c>
      <c r="J527">
        <v>0</v>
      </c>
      <c r="K527">
        <v>15</v>
      </c>
    </row>
    <row r="528" spans="1:11" x14ac:dyDescent="0.25">
      <c r="A528" t="s">
        <v>1108</v>
      </c>
      <c r="B528" t="s">
        <v>232</v>
      </c>
      <c r="D528" t="s">
        <v>50</v>
      </c>
      <c r="E528">
        <v>0</v>
      </c>
      <c r="F528">
        <v>0</v>
      </c>
      <c r="G528">
        <v>36</v>
      </c>
      <c r="H528">
        <v>112</v>
      </c>
      <c r="I528">
        <v>0</v>
      </c>
      <c r="J528">
        <v>0</v>
      </c>
      <c r="K528">
        <v>21</v>
      </c>
    </row>
    <row r="529" spans="1:11" x14ac:dyDescent="0.25">
      <c r="A529" t="s">
        <v>1108</v>
      </c>
      <c r="B529" t="s">
        <v>232</v>
      </c>
      <c r="D529" t="s">
        <v>52</v>
      </c>
      <c r="E529">
        <v>0</v>
      </c>
      <c r="F529">
        <v>0</v>
      </c>
      <c r="G529">
        <v>12</v>
      </c>
      <c r="H529">
        <v>49</v>
      </c>
      <c r="I529">
        <v>0</v>
      </c>
      <c r="J529">
        <v>0</v>
      </c>
      <c r="K529">
        <v>5</v>
      </c>
    </row>
    <row r="530" spans="1:11" x14ac:dyDescent="0.25">
      <c r="A530" t="s">
        <v>1108</v>
      </c>
      <c r="B530" t="s">
        <v>232</v>
      </c>
      <c r="D530" t="s">
        <v>53</v>
      </c>
      <c r="E530">
        <v>0</v>
      </c>
      <c r="F530">
        <v>0</v>
      </c>
      <c r="G530">
        <v>21</v>
      </c>
      <c r="H530">
        <v>66</v>
      </c>
      <c r="I530">
        <v>0</v>
      </c>
      <c r="J530">
        <v>0</v>
      </c>
      <c r="K530">
        <v>15</v>
      </c>
    </row>
    <row r="531" spans="1:11" x14ac:dyDescent="0.25">
      <c r="A531" t="s">
        <v>1108</v>
      </c>
      <c r="B531" t="s">
        <v>232</v>
      </c>
      <c r="D531" t="s">
        <v>55</v>
      </c>
      <c r="E531">
        <v>0</v>
      </c>
      <c r="F531">
        <v>0</v>
      </c>
      <c r="G531">
        <v>0</v>
      </c>
      <c r="H531">
        <v>0</v>
      </c>
      <c r="I531">
        <v>0</v>
      </c>
      <c r="J531">
        <v>0</v>
      </c>
      <c r="K531">
        <v>1</v>
      </c>
    </row>
    <row r="532" spans="1:11" x14ac:dyDescent="0.25">
      <c r="A532" t="s">
        <v>1108</v>
      </c>
      <c r="B532" t="s">
        <v>232</v>
      </c>
      <c r="D532" t="s">
        <v>56</v>
      </c>
      <c r="E532">
        <v>0</v>
      </c>
      <c r="F532">
        <v>0</v>
      </c>
      <c r="G532">
        <v>10</v>
      </c>
      <c r="H532">
        <v>36</v>
      </c>
      <c r="I532">
        <v>0</v>
      </c>
      <c r="J532">
        <v>0</v>
      </c>
      <c r="K532">
        <v>6</v>
      </c>
    </row>
    <row r="533" spans="1:11" x14ac:dyDescent="0.25">
      <c r="A533" t="s">
        <v>1108</v>
      </c>
      <c r="B533" t="s">
        <v>232</v>
      </c>
      <c r="D533" t="s">
        <v>57</v>
      </c>
      <c r="E533">
        <v>0</v>
      </c>
      <c r="F533">
        <v>0</v>
      </c>
      <c r="G533">
        <v>30</v>
      </c>
      <c r="H533">
        <v>111</v>
      </c>
      <c r="I533">
        <v>0</v>
      </c>
      <c r="J533">
        <v>0</v>
      </c>
      <c r="K533">
        <v>20</v>
      </c>
    </row>
    <row r="534" spans="1:11" x14ac:dyDescent="0.25">
      <c r="A534" t="s">
        <v>1108</v>
      </c>
      <c r="B534" t="s">
        <v>232</v>
      </c>
      <c r="D534" t="s">
        <v>59</v>
      </c>
      <c r="E534">
        <v>0</v>
      </c>
      <c r="F534">
        <v>0</v>
      </c>
      <c r="G534">
        <v>13</v>
      </c>
      <c r="H534">
        <v>51</v>
      </c>
      <c r="I534">
        <v>0</v>
      </c>
      <c r="J534">
        <v>0</v>
      </c>
      <c r="K534">
        <v>11</v>
      </c>
    </row>
    <row r="535" spans="1:11" x14ac:dyDescent="0.25">
      <c r="A535" t="s">
        <v>1108</v>
      </c>
      <c r="B535" t="s">
        <v>232</v>
      </c>
      <c r="C535" t="s">
        <v>361</v>
      </c>
      <c r="D535" t="s">
        <v>243</v>
      </c>
      <c r="E535">
        <v>0</v>
      </c>
      <c r="F535">
        <v>0</v>
      </c>
      <c r="G535">
        <v>59</v>
      </c>
      <c r="H535">
        <v>199</v>
      </c>
      <c r="I535">
        <v>0</v>
      </c>
      <c r="J535">
        <v>0</v>
      </c>
      <c r="K535">
        <v>35</v>
      </c>
    </row>
    <row r="536" spans="1:11" x14ac:dyDescent="0.25">
      <c r="A536" t="s">
        <v>1108</v>
      </c>
      <c r="B536" t="s">
        <v>232</v>
      </c>
      <c r="C536" t="s">
        <v>361</v>
      </c>
      <c r="D536" t="s">
        <v>35</v>
      </c>
      <c r="E536">
        <v>0</v>
      </c>
      <c r="F536">
        <v>0</v>
      </c>
      <c r="G536">
        <v>5</v>
      </c>
      <c r="H536">
        <v>16</v>
      </c>
      <c r="I536">
        <v>0</v>
      </c>
      <c r="J536">
        <v>0</v>
      </c>
      <c r="K536">
        <v>6</v>
      </c>
    </row>
    <row r="537" spans="1:11" x14ac:dyDescent="0.25">
      <c r="A537" t="s">
        <v>1108</v>
      </c>
      <c r="B537" t="s">
        <v>232</v>
      </c>
      <c r="C537" t="s">
        <v>361</v>
      </c>
      <c r="D537" t="s">
        <v>40</v>
      </c>
      <c r="E537">
        <v>0</v>
      </c>
      <c r="F537">
        <v>0</v>
      </c>
      <c r="G537">
        <v>5</v>
      </c>
      <c r="H537">
        <v>15</v>
      </c>
      <c r="I537">
        <v>0</v>
      </c>
      <c r="J537">
        <v>0</v>
      </c>
      <c r="K537">
        <v>5</v>
      </c>
    </row>
    <row r="538" spans="1:11" x14ac:dyDescent="0.25">
      <c r="A538" t="s">
        <v>1108</v>
      </c>
      <c r="B538" t="s">
        <v>232</v>
      </c>
      <c r="C538" t="s">
        <v>361</v>
      </c>
      <c r="D538" t="s">
        <v>42</v>
      </c>
      <c r="E538">
        <v>0</v>
      </c>
      <c r="F538">
        <v>0</v>
      </c>
      <c r="G538">
        <v>20</v>
      </c>
      <c r="H538">
        <v>56</v>
      </c>
      <c r="I538">
        <v>0</v>
      </c>
      <c r="J538">
        <v>0</v>
      </c>
      <c r="K538">
        <v>15</v>
      </c>
    </row>
    <row r="539" spans="1:11" x14ac:dyDescent="0.25">
      <c r="A539" t="s">
        <v>1108</v>
      </c>
      <c r="B539" t="s">
        <v>232</v>
      </c>
      <c r="C539" t="s">
        <v>361</v>
      </c>
      <c r="D539" t="s">
        <v>43</v>
      </c>
      <c r="E539">
        <v>0</v>
      </c>
      <c r="F539">
        <v>0</v>
      </c>
      <c r="G539">
        <v>43</v>
      </c>
      <c r="H539">
        <v>146</v>
      </c>
      <c r="I539">
        <v>0</v>
      </c>
      <c r="J539">
        <v>0</v>
      </c>
      <c r="K539">
        <v>27</v>
      </c>
    </row>
    <row r="540" spans="1:11" x14ac:dyDescent="0.25">
      <c r="A540" t="s">
        <v>1108</v>
      </c>
      <c r="B540" t="s">
        <v>232</v>
      </c>
      <c r="C540" t="s">
        <v>361</v>
      </c>
      <c r="D540" t="s">
        <v>46</v>
      </c>
      <c r="E540">
        <v>0</v>
      </c>
      <c r="F540">
        <v>0</v>
      </c>
      <c r="G540">
        <v>7</v>
      </c>
      <c r="H540">
        <v>16</v>
      </c>
      <c r="I540">
        <v>0</v>
      </c>
      <c r="J540">
        <v>0</v>
      </c>
      <c r="K540">
        <v>6</v>
      </c>
    </row>
    <row r="541" spans="1:11" x14ac:dyDescent="0.25">
      <c r="A541" t="s">
        <v>1108</v>
      </c>
      <c r="B541" t="s">
        <v>232</v>
      </c>
      <c r="C541" t="s">
        <v>361</v>
      </c>
      <c r="D541" t="s">
        <v>54</v>
      </c>
      <c r="E541">
        <v>0</v>
      </c>
      <c r="F541">
        <v>0</v>
      </c>
      <c r="G541">
        <v>9</v>
      </c>
      <c r="H541">
        <v>38</v>
      </c>
      <c r="I541">
        <v>0</v>
      </c>
      <c r="J541">
        <v>0</v>
      </c>
      <c r="K541">
        <v>10</v>
      </c>
    </row>
    <row r="542" spans="1:11" x14ac:dyDescent="0.25">
      <c r="A542" t="s">
        <v>1108</v>
      </c>
      <c r="B542" t="s">
        <v>232</v>
      </c>
      <c r="C542" t="s">
        <v>361</v>
      </c>
      <c r="D542" t="s">
        <v>58</v>
      </c>
      <c r="E542">
        <v>0</v>
      </c>
      <c r="F542">
        <v>0</v>
      </c>
      <c r="G542">
        <v>10</v>
      </c>
      <c r="H542">
        <v>34</v>
      </c>
      <c r="I542">
        <v>0</v>
      </c>
      <c r="J542">
        <v>0</v>
      </c>
      <c r="K542">
        <v>5</v>
      </c>
    </row>
    <row r="543" spans="1:11" x14ac:dyDescent="0.25">
      <c r="A543" t="s">
        <v>1108</v>
      </c>
      <c r="B543" t="s">
        <v>232</v>
      </c>
      <c r="C543" t="s">
        <v>361</v>
      </c>
      <c r="D543" t="s">
        <v>60</v>
      </c>
      <c r="E543">
        <v>0</v>
      </c>
      <c r="F543">
        <v>0</v>
      </c>
      <c r="G543">
        <v>11</v>
      </c>
      <c r="H543">
        <v>39</v>
      </c>
      <c r="I543">
        <v>0</v>
      </c>
      <c r="J543">
        <v>0</v>
      </c>
      <c r="K543">
        <v>13</v>
      </c>
    </row>
    <row r="544" spans="1:11" x14ac:dyDescent="0.25">
      <c r="A544" t="s">
        <v>1108</v>
      </c>
      <c r="B544" t="s">
        <v>233</v>
      </c>
      <c r="D544" t="s">
        <v>1038</v>
      </c>
      <c r="E544">
        <v>1</v>
      </c>
      <c r="F544">
        <v>0</v>
      </c>
      <c r="G544">
        <v>0</v>
      </c>
      <c r="H544">
        <v>0</v>
      </c>
      <c r="I544">
        <v>4</v>
      </c>
      <c r="J544">
        <v>11</v>
      </c>
      <c r="K544">
        <v>6</v>
      </c>
    </row>
    <row r="545" spans="1:11" x14ac:dyDescent="0.25">
      <c r="A545" t="s">
        <v>1108</v>
      </c>
      <c r="B545" t="s">
        <v>233</v>
      </c>
      <c r="D545" t="s">
        <v>64</v>
      </c>
      <c r="E545">
        <v>1</v>
      </c>
      <c r="F545">
        <v>0</v>
      </c>
      <c r="G545">
        <v>6</v>
      </c>
      <c r="H545">
        <v>2</v>
      </c>
      <c r="I545">
        <v>4</v>
      </c>
      <c r="J545">
        <v>9</v>
      </c>
      <c r="K545">
        <v>6</v>
      </c>
    </row>
    <row r="546" spans="1:11" x14ac:dyDescent="0.25">
      <c r="A546" t="s">
        <v>1108</v>
      </c>
      <c r="B546" t="s">
        <v>233</v>
      </c>
      <c r="D546" t="s">
        <v>36</v>
      </c>
      <c r="E546">
        <v>1</v>
      </c>
      <c r="F546">
        <v>0</v>
      </c>
      <c r="G546">
        <v>5</v>
      </c>
      <c r="H546">
        <v>2</v>
      </c>
      <c r="I546">
        <v>2</v>
      </c>
      <c r="J546">
        <v>5</v>
      </c>
      <c r="K546">
        <v>7</v>
      </c>
    </row>
    <row r="547" spans="1:11" x14ac:dyDescent="0.25">
      <c r="A547" t="s">
        <v>1108</v>
      </c>
      <c r="B547" t="s">
        <v>233</v>
      </c>
      <c r="D547" t="s">
        <v>65</v>
      </c>
      <c r="E547">
        <v>2</v>
      </c>
      <c r="F547">
        <v>0</v>
      </c>
      <c r="G547">
        <v>0</v>
      </c>
      <c r="H547">
        <v>0</v>
      </c>
      <c r="I547">
        <v>4</v>
      </c>
      <c r="J547">
        <v>8</v>
      </c>
      <c r="K547">
        <v>9</v>
      </c>
    </row>
    <row r="548" spans="1:11" x14ac:dyDescent="0.25">
      <c r="A548" t="s">
        <v>1108</v>
      </c>
      <c r="B548" t="s">
        <v>233</v>
      </c>
      <c r="D548" t="s">
        <v>66</v>
      </c>
      <c r="E548">
        <v>1</v>
      </c>
      <c r="F548">
        <v>0</v>
      </c>
      <c r="G548">
        <v>5</v>
      </c>
      <c r="H548">
        <v>0</v>
      </c>
      <c r="I548">
        <v>3</v>
      </c>
      <c r="J548">
        <v>9</v>
      </c>
      <c r="K548">
        <v>7</v>
      </c>
    </row>
    <row r="549" spans="1:11" x14ac:dyDescent="0.25">
      <c r="A549" t="s">
        <v>1108</v>
      </c>
      <c r="B549" t="s">
        <v>233</v>
      </c>
      <c r="D549" t="s">
        <v>67</v>
      </c>
      <c r="E549">
        <v>1</v>
      </c>
      <c r="F549">
        <v>0</v>
      </c>
      <c r="G549">
        <v>3</v>
      </c>
      <c r="H549">
        <v>4</v>
      </c>
      <c r="I549">
        <v>3</v>
      </c>
      <c r="J549">
        <v>6</v>
      </c>
      <c r="K549">
        <v>9</v>
      </c>
    </row>
    <row r="550" spans="1:11" x14ac:dyDescent="0.25">
      <c r="A550" t="s">
        <v>1108</v>
      </c>
      <c r="B550" t="s">
        <v>233</v>
      </c>
      <c r="D550" t="s">
        <v>68</v>
      </c>
      <c r="E550">
        <v>1</v>
      </c>
      <c r="F550">
        <v>0</v>
      </c>
      <c r="G550">
        <v>3</v>
      </c>
      <c r="H550">
        <v>1</v>
      </c>
      <c r="I550">
        <v>3</v>
      </c>
      <c r="J550">
        <v>6</v>
      </c>
      <c r="K550">
        <v>4</v>
      </c>
    </row>
    <row r="551" spans="1:11" x14ac:dyDescent="0.25">
      <c r="A551" t="s">
        <v>1108</v>
      </c>
      <c r="B551" t="s">
        <v>233</v>
      </c>
      <c r="D551" t="s">
        <v>165</v>
      </c>
      <c r="E551">
        <v>1</v>
      </c>
      <c r="F551">
        <v>0</v>
      </c>
      <c r="G551">
        <v>4</v>
      </c>
      <c r="H551">
        <v>3</v>
      </c>
      <c r="I551">
        <v>3</v>
      </c>
      <c r="J551">
        <v>7</v>
      </c>
      <c r="K551">
        <v>9</v>
      </c>
    </row>
    <row r="552" spans="1:11" x14ac:dyDescent="0.25">
      <c r="A552" t="s">
        <v>1108</v>
      </c>
      <c r="B552" t="s">
        <v>233</v>
      </c>
      <c r="D552" t="s">
        <v>69</v>
      </c>
      <c r="E552">
        <v>1</v>
      </c>
      <c r="F552">
        <v>0</v>
      </c>
      <c r="G552">
        <v>3</v>
      </c>
      <c r="H552">
        <v>1</v>
      </c>
      <c r="I552">
        <v>2</v>
      </c>
      <c r="J552">
        <v>6</v>
      </c>
      <c r="K552">
        <v>6</v>
      </c>
    </row>
    <row r="553" spans="1:11" x14ac:dyDescent="0.25">
      <c r="A553" t="s">
        <v>1108</v>
      </c>
      <c r="B553" t="s">
        <v>233</v>
      </c>
      <c r="D553" t="s">
        <v>117</v>
      </c>
      <c r="E553">
        <v>1</v>
      </c>
      <c r="F553">
        <v>0</v>
      </c>
      <c r="G553">
        <v>2</v>
      </c>
      <c r="H553">
        <v>1</v>
      </c>
      <c r="I553">
        <v>4</v>
      </c>
      <c r="J553">
        <v>8</v>
      </c>
      <c r="K553">
        <v>7</v>
      </c>
    </row>
    <row r="554" spans="1:11" x14ac:dyDescent="0.25">
      <c r="A554" t="s">
        <v>1108</v>
      </c>
      <c r="B554" t="s">
        <v>233</v>
      </c>
      <c r="D554" t="s">
        <v>70</v>
      </c>
      <c r="E554">
        <v>1</v>
      </c>
      <c r="F554">
        <v>0</v>
      </c>
      <c r="G554">
        <v>1</v>
      </c>
      <c r="H554">
        <v>1</v>
      </c>
      <c r="I554">
        <v>4</v>
      </c>
      <c r="J554">
        <v>12</v>
      </c>
      <c r="K554">
        <v>4</v>
      </c>
    </row>
    <row r="555" spans="1:11" x14ac:dyDescent="0.25">
      <c r="A555" t="s">
        <v>1108</v>
      </c>
      <c r="B555" t="s">
        <v>233</v>
      </c>
      <c r="D555" t="s">
        <v>1040</v>
      </c>
      <c r="E555">
        <v>1</v>
      </c>
      <c r="F555">
        <v>0</v>
      </c>
      <c r="G555">
        <v>3</v>
      </c>
      <c r="H555">
        <v>1</v>
      </c>
      <c r="I555">
        <v>3</v>
      </c>
      <c r="J555">
        <v>10</v>
      </c>
      <c r="K555">
        <v>9</v>
      </c>
    </row>
    <row r="556" spans="1:11" x14ac:dyDescent="0.25">
      <c r="A556" t="s">
        <v>1108</v>
      </c>
      <c r="B556" t="s">
        <v>233</v>
      </c>
      <c r="D556" t="s">
        <v>762</v>
      </c>
      <c r="E556">
        <v>1</v>
      </c>
      <c r="F556">
        <v>0</v>
      </c>
      <c r="G556">
        <v>7</v>
      </c>
      <c r="H556">
        <v>2</v>
      </c>
      <c r="I556">
        <v>4</v>
      </c>
      <c r="J556">
        <v>9</v>
      </c>
      <c r="K556">
        <v>10</v>
      </c>
    </row>
    <row r="557" spans="1:11" x14ac:dyDescent="0.25">
      <c r="A557" t="s">
        <v>1108</v>
      </c>
      <c r="B557" t="s">
        <v>233</v>
      </c>
      <c r="D557" t="s">
        <v>71</v>
      </c>
      <c r="E557">
        <v>0</v>
      </c>
      <c r="F557">
        <v>0</v>
      </c>
      <c r="G557">
        <v>0</v>
      </c>
      <c r="H557">
        <v>0</v>
      </c>
      <c r="I557">
        <v>1</v>
      </c>
      <c r="J557">
        <v>0</v>
      </c>
      <c r="K557">
        <v>0</v>
      </c>
    </row>
    <row r="558" spans="1:11" x14ac:dyDescent="0.25">
      <c r="A558" t="s">
        <v>1108</v>
      </c>
      <c r="B558" t="s">
        <v>233</v>
      </c>
      <c r="D558" t="s">
        <v>71</v>
      </c>
      <c r="E558">
        <v>1</v>
      </c>
      <c r="F558">
        <v>0</v>
      </c>
      <c r="G558">
        <v>0</v>
      </c>
      <c r="H558">
        <v>0</v>
      </c>
      <c r="I558">
        <v>3</v>
      </c>
      <c r="J558">
        <v>6</v>
      </c>
      <c r="K558">
        <v>0</v>
      </c>
    </row>
    <row r="559" spans="1:11" x14ac:dyDescent="0.25">
      <c r="A559" t="s">
        <v>1108</v>
      </c>
      <c r="B559" t="s">
        <v>234</v>
      </c>
      <c r="D559" t="s">
        <v>162</v>
      </c>
      <c r="E559">
        <v>2</v>
      </c>
      <c r="F559">
        <v>0</v>
      </c>
      <c r="G559">
        <v>17</v>
      </c>
      <c r="H559">
        <v>0</v>
      </c>
      <c r="I559">
        <v>2</v>
      </c>
      <c r="J559">
        <v>8</v>
      </c>
      <c r="K559">
        <v>23</v>
      </c>
    </row>
    <row r="560" spans="1:11" x14ac:dyDescent="0.25">
      <c r="A560" t="s">
        <v>1108</v>
      </c>
      <c r="B560" t="s">
        <v>234</v>
      </c>
      <c r="D560" t="s">
        <v>163</v>
      </c>
      <c r="E560">
        <v>2</v>
      </c>
      <c r="F560">
        <v>0</v>
      </c>
      <c r="G560">
        <v>8</v>
      </c>
      <c r="H560">
        <v>1</v>
      </c>
      <c r="I560">
        <v>4</v>
      </c>
      <c r="J560">
        <v>7</v>
      </c>
      <c r="K560">
        <v>38</v>
      </c>
    </row>
    <row r="561" spans="1:11" x14ac:dyDescent="0.25">
      <c r="A561" t="s">
        <v>1108</v>
      </c>
      <c r="B561" t="s">
        <v>234</v>
      </c>
      <c r="C561" t="s">
        <v>361</v>
      </c>
      <c r="D561" t="s">
        <v>164</v>
      </c>
      <c r="E561">
        <v>1</v>
      </c>
      <c r="F561">
        <v>0</v>
      </c>
      <c r="G561">
        <v>3</v>
      </c>
      <c r="H561">
        <v>0</v>
      </c>
      <c r="I561">
        <v>2</v>
      </c>
      <c r="J561">
        <v>5</v>
      </c>
      <c r="K561">
        <v>18</v>
      </c>
    </row>
    <row r="562" spans="1:11" x14ac:dyDescent="0.25">
      <c r="A562" t="s">
        <v>1108</v>
      </c>
      <c r="B562" t="s">
        <v>235</v>
      </c>
      <c r="C562" t="s">
        <v>347</v>
      </c>
      <c r="D562" t="s">
        <v>244</v>
      </c>
      <c r="E562">
        <v>11</v>
      </c>
      <c r="F562">
        <v>5</v>
      </c>
      <c r="G562">
        <v>1</v>
      </c>
      <c r="H562">
        <v>0</v>
      </c>
      <c r="I562">
        <v>16</v>
      </c>
      <c r="J562">
        <v>24</v>
      </c>
      <c r="K562">
        <v>27</v>
      </c>
    </row>
  </sheetData>
  <pageMargins left="0.7" right="0.7" top="0.75" bottom="0.75" header="0.3" footer="0.3"/>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
    <tabColor theme="9" tint="0.39997558519241921"/>
    <pageSetUpPr fitToPage="1"/>
  </sheetPr>
  <dimension ref="A1:L78"/>
  <sheetViews>
    <sheetView showGridLines="0" zoomScaleNormal="100" workbookViewId="0">
      <pane ySplit="2" topLeftCell="A3" activePane="bottomLeft" state="frozen"/>
      <selection pane="bottomLeft" sqref="A1:H1"/>
    </sheetView>
  </sheetViews>
  <sheetFormatPr defaultRowHeight="15" x14ac:dyDescent="0.25"/>
  <cols>
    <col min="1" max="1" width="17.140625" customWidth="1"/>
    <col min="2" max="2" width="60.7109375" customWidth="1"/>
    <col min="3" max="3" width="13.28515625" customWidth="1"/>
    <col min="4" max="4" width="14" customWidth="1"/>
    <col min="5" max="6" width="12.85546875" customWidth="1"/>
    <col min="7" max="7" width="14.28515625" customWidth="1"/>
    <col min="8" max="8" width="12.85546875" customWidth="1"/>
    <col min="9" max="9" width="12.140625" customWidth="1"/>
    <col min="10" max="10" width="13.28515625" customWidth="1"/>
  </cols>
  <sheetData>
    <row r="1" spans="1:10" ht="27.6" customHeight="1" x14ac:dyDescent="0.25">
      <c r="A1" s="993" t="s">
        <v>450</v>
      </c>
      <c r="B1" s="993"/>
      <c r="C1" s="993"/>
      <c r="D1" s="993"/>
      <c r="E1" s="993"/>
      <c r="F1" s="993"/>
      <c r="G1" s="993"/>
      <c r="H1" s="993"/>
      <c r="I1" s="25"/>
      <c r="J1" s="25"/>
    </row>
    <row r="2" spans="1:10" ht="15" customHeight="1" x14ac:dyDescent="0.25">
      <c r="A2" s="507" t="s">
        <v>511</v>
      </c>
      <c r="C2" s="449"/>
      <c r="D2" s="449"/>
      <c r="E2" s="449"/>
      <c r="F2" s="449"/>
      <c r="G2" s="449"/>
      <c r="H2" s="449"/>
      <c r="I2" s="25"/>
      <c r="J2" s="25"/>
    </row>
    <row r="3" spans="1:10" ht="15" customHeight="1" x14ac:dyDescent="0.25">
      <c r="C3" s="449"/>
      <c r="D3" s="449"/>
      <c r="E3" s="449"/>
      <c r="F3" s="449"/>
      <c r="G3" s="449"/>
      <c r="H3" s="449"/>
      <c r="I3" s="25"/>
      <c r="J3" s="25"/>
    </row>
    <row r="4" spans="1:10" ht="30" customHeight="1" x14ac:dyDescent="0.25">
      <c r="A4" s="1004" t="s">
        <v>474</v>
      </c>
      <c r="B4" s="1004"/>
      <c r="C4" s="1004"/>
      <c r="D4" s="1004"/>
      <c r="E4" s="1004"/>
      <c r="F4" s="1004"/>
      <c r="G4" s="1004"/>
      <c r="H4" s="1004"/>
      <c r="I4" s="1004"/>
      <c r="J4" s="1004"/>
    </row>
    <row r="5" spans="1:10" ht="15" customHeight="1" x14ac:dyDescent="0.25">
      <c r="A5" t="s">
        <v>328</v>
      </c>
      <c r="B5" t="s">
        <v>652</v>
      </c>
      <c r="C5" s="232"/>
      <c r="D5" s="232"/>
      <c r="E5" s="232"/>
      <c r="F5" s="232"/>
      <c r="G5" s="232"/>
      <c r="H5" s="232"/>
      <c r="I5" s="232"/>
      <c r="J5" s="232"/>
    </row>
    <row r="6" spans="1:10" ht="15.75" customHeight="1" x14ac:dyDescent="0.25">
      <c r="A6" t="s">
        <v>329</v>
      </c>
      <c r="B6" t="s">
        <v>331</v>
      </c>
      <c r="C6" s="232"/>
      <c r="D6" s="232"/>
      <c r="E6" s="232"/>
      <c r="F6" s="232"/>
      <c r="G6" s="232"/>
      <c r="H6" s="232"/>
      <c r="I6" s="232"/>
      <c r="J6" s="232"/>
    </row>
    <row r="7" spans="1:10" ht="15.75" customHeight="1" x14ac:dyDescent="0.25">
      <c r="A7" t="s">
        <v>330</v>
      </c>
      <c r="B7" t="s">
        <v>332</v>
      </c>
      <c r="C7" s="232"/>
      <c r="D7" s="232"/>
      <c r="E7" s="232"/>
      <c r="F7" s="232"/>
      <c r="G7" s="232"/>
      <c r="H7" s="232"/>
      <c r="I7" s="232"/>
      <c r="J7" s="232"/>
    </row>
    <row r="8" spans="1:10" ht="42.95" customHeight="1" x14ac:dyDescent="0.25">
      <c r="A8" s="36" t="s">
        <v>1</v>
      </c>
      <c r="B8" s="36" t="s">
        <v>205</v>
      </c>
      <c r="C8" s="40" t="s">
        <v>837</v>
      </c>
      <c r="D8" s="40" t="s">
        <v>838</v>
      </c>
      <c r="E8" s="40" t="s">
        <v>839</v>
      </c>
      <c r="F8" s="40" t="s">
        <v>840</v>
      </c>
      <c r="G8" s="40" t="s">
        <v>841</v>
      </c>
      <c r="H8" s="40" t="s">
        <v>842</v>
      </c>
      <c r="I8" s="40" t="s">
        <v>23</v>
      </c>
      <c r="J8" s="446" t="s">
        <v>75</v>
      </c>
    </row>
    <row r="9" spans="1:10" ht="15.75" thickBot="1" x14ac:dyDescent="0.3">
      <c r="A9" s="38" t="str">
        <f>wtroleareapivot!B1</f>
        <v>2023-24</v>
      </c>
      <c r="B9" s="38" t="s">
        <v>75</v>
      </c>
      <c r="C9" s="64">
        <f>C44+C64+C70+C72</f>
        <v>5</v>
      </c>
      <c r="D9" s="64">
        <f>D44+D64+D70+D72</f>
        <v>31</v>
      </c>
      <c r="E9" s="64">
        <f t="shared" ref="E9:J9" si="0">E44+E64+E70+E72</f>
        <v>71</v>
      </c>
      <c r="F9" s="64">
        <f t="shared" si="0"/>
        <v>156</v>
      </c>
      <c r="G9" s="64">
        <f t="shared" si="0"/>
        <v>607</v>
      </c>
      <c r="H9" s="64">
        <f t="shared" si="0"/>
        <v>640</v>
      </c>
      <c r="I9" s="64">
        <f t="shared" si="0"/>
        <v>1912</v>
      </c>
      <c r="J9" s="64">
        <f t="shared" si="0"/>
        <v>3422</v>
      </c>
    </row>
    <row r="10" spans="1:10" x14ac:dyDescent="0.25">
      <c r="B10" s="39"/>
      <c r="C10" s="44"/>
      <c r="D10" s="44"/>
      <c r="E10" s="44"/>
      <c r="F10" s="44"/>
      <c r="G10" s="44"/>
      <c r="H10" s="44"/>
      <c r="I10" s="44"/>
      <c r="J10" s="65"/>
    </row>
    <row r="11" spans="1:10" x14ac:dyDescent="0.25">
      <c r="A11" s="42" t="s">
        <v>458</v>
      </c>
      <c r="B11" s="42" t="s">
        <v>30</v>
      </c>
      <c r="C11" s="15"/>
      <c r="D11" s="20"/>
      <c r="E11" s="20"/>
      <c r="F11" s="20"/>
      <c r="G11" s="20"/>
      <c r="H11" s="20"/>
      <c r="I11" s="20"/>
      <c r="J11" s="20"/>
    </row>
    <row r="12" spans="1:10" ht="19.5" customHeight="1" x14ac:dyDescent="0.25">
      <c r="A12" s="398" t="s">
        <v>285</v>
      </c>
      <c r="B12" s="45" t="s">
        <v>31</v>
      </c>
      <c r="C12" s="443">
        <f>GETPIVOTDATA("Sum of Brigade Manager",wtroleareapivot!$A$3,"ReportingLevel","1:LA","lvl","Aberdeen City")</f>
        <v>0</v>
      </c>
      <c r="D12" s="443">
        <f>GETPIVOTDATA("Sum of Area Manager",wtroleareapivot!$A$3,"ReportingLevel","1:LA","lvl","Aberdeen City")</f>
        <v>0</v>
      </c>
      <c r="E12" s="443">
        <f>GETPIVOTDATA("Sum of Group Manager",wtroleareapivot!$A$3,"ReportingLevel","1:LA","lvl","Aberdeen City")</f>
        <v>0</v>
      </c>
      <c r="F12" s="443">
        <f>GETPIVOTDATA("Sum of Station Manager",wtroleareapivot!$A$3,"ReportingLevel","1:LA","lvl","Aberdeen City")</f>
        <v>0</v>
      </c>
      <c r="G12" s="303">
        <f>GETPIVOTDATA("Sum of Watch Manager",wtroleareapivot!$A$3,"ReportingLevel","1:LA","lvl","Aberdeen City")</f>
        <v>22</v>
      </c>
      <c r="H12" s="303">
        <f>GETPIVOTDATA("Sum of Crew Manager",wtroleareapivot!$A$3,"ReportingLevel","1:LA","lvl","Aberdeen City")</f>
        <v>34</v>
      </c>
      <c r="I12" s="303">
        <f>GETPIVOTDATA("Sum of Firefighter",wtroleareapivot!$A$3,"ReportingLevel","1:LA","lvl","Aberdeen City")</f>
        <v>106</v>
      </c>
      <c r="J12" s="66">
        <f>SUM(C12:I12)</f>
        <v>162</v>
      </c>
    </row>
    <row r="13" spans="1:10" x14ac:dyDescent="0.25">
      <c r="A13" s="89" t="s">
        <v>286</v>
      </c>
      <c r="B13" s="48" t="s">
        <v>32</v>
      </c>
      <c r="C13" s="690">
        <f>GETPIVOTDATA("Sum of Brigade Manager",wtroleareapivot!$A$3,"ReportingLevel","1:LA","lvl","Aberdeenshire")</f>
        <v>0</v>
      </c>
      <c r="D13" s="690">
        <f>GETPIVOTDATA("Sum of Area Manager",wtroleareapivot!$A$3,"ReportingLevel","1:LA","lvl","Aberdeenshire")</f>
        <v>0</v>
      </c>
      <c r="E13" s="690">
        <f>GETPIVOTDATA("Sum of Group Manager",wtroleareapivot!$A$3,"ReportingLevel","1:LA","lvl","Aberdeenshire")</f>
        <v>0</v>
      </c>
      <c r="F13" s="690">
        <f>GETPIVOTDATA("Sum of Station Manager",wtroleareapivot!$A$3,"ReportingLevel","1:LA","lvl","Aberdeenshire")</f>
        <v>0</v>
      </c>
      <c r="G13" s="682">
        <f>GETPIVOTDATA("Sum of Watch Manager",wtroleareapivot!$A$3,"ReportingLevel","1:LA","lvl","Aberdeenshire")</f>
        <v>5</v>
      </c>
      <c r="H13" s="682">
        <f>GETPIVOTDATA("Sum of Crew Manager",wtroleareapivot!$A$3,"ReportingLevel","1:LA","lvl","Aberdeenshire")</f>
        <v>6</v>
      </c>
      <c r="I13" s="682">
        <f>GETPIVOTDATA("Sum of Firefighter",wtroleareapivot!$A$3,"ReportingLevel","1:LA","lvl","Aberdeenshire")</f>
        <v>17</v>
      </c>
      <c r="J13" s="66">
        <f t="shared" ref="J13:J43" si="1">SUM(C13:I13)</f>
        <v>28</v>
      </c>
    </row>
    <row r="14" spans="1:10" x14ac:dyDescent="0.25">
      <c r="A14" s="89" t="s">
        <v>292</v>
      </c>
      <c r="B14" s="48" t="s">
        <v>33</v>
      </c>
      <c r="C14" s="690">
        <f>GETPIVOTDATA("Sum of Brigade Manager",wtroleareapivot!$A$3,"ReportingLevel","1:LA","lvl","Angus")</f>
        <v>0</v>
      </c>
      <c r="D14" s="690">
        <f>GETPIVOTDATA("Sum of Area Manager",wtroleareapivot!$A$3,"ReportingLevel","1:LA","lvl","Angus")</f>
        <v>0</v>
      </c>
      <c r="E14" s="690">
        <f>GETPIVOTDATA("Sum of Group Manager",wtroleareapivot!$A$3,"ReportingLevel","1:LA","lvl","Angus")</f>
        <v>0</v>
      </c>
      <c r="F14" s="690">
        <f>GETPIVOTDATA("Sum of Station Manager",wtroleareapivot!$A$3,"ReportingLevel","1:LA","lvl","Angus")</f>
        <v>0</v>
      </c>
      <c r="G14" s="682">
        <f>GETPIVOTDATA("Sum of Watch Manager",wtroleareapivot!$A$3,"ReportingLevel","1:LA","lvl","Angus")</f>
        <v>5</v>
      </c>
      <c r="H14" s="682">
        <f>GETPIVOTDATA("Sum of Crew Manager",wtroleareapivot!$A$3,"ReportingLevel","1:LA","lvl","Angus")</f>
        <v>5</v>
      </c>
      <c r="I14" s="682">
        <f>GETPIVOTDATA("Sum of Firefighter",wtroleareapivot!$A$3,"ReportingLevel","1:LA","lvl","Angus")</f>
        <v>17</v>
      </c>
      <c r="J14" s="66">
        <f t="shared" si="1"/>
        <v>27</v>
      </c>
    </row>
    <row r="15" spans="1:10" x14ac:dyDescent="0.25">
      <c r="A15" s="89" t="s">
        <v>287</v>
      </c>
      <c r="B15" s="48" t="s">
        <v>34</v>
      </c>
      <c r="C15" s="690">
        <f>GETPIVOTDATA("Sum of Brigade Manager",wtroleareapivot!$A$3,"ReportingLevel","1:LA","lvl","Argyll and Bute")</f>
        <v>0</v>
      </c>
      <c r="D15" s="690">
        <f>GETPIVOTDATA("Sum of Area Manager",wtroleareapivot!$A$3,"ReportingLevel","1:LA","lvl","Argyll and Bute")</f>
        <v>0</v>
      </c>
      <c r="E15" s="690">
        <f>GETPIVOTDATA("Sum of Group Manager",wtroleareapivot!$A$3,"ReportingLevel","1:LA","lvl","Argyll and Bute")</f>
        <v>0</v>
      </c>
      <c r="F15" s="690">
        <f>GETPIVOTDATA("Sum of Station Manager",wtroleareapivot!$A$3,"ReportingLevel","1:LA","lvl","Argyll and Bute")</f>
        <v>0</v>
      </c>
      <c r="G15" s="682">
        <f>GETPIVOTDATA("Sum of Watch Manager",wtroleareapivot!$A$3,"ReportingLevel","1:LA","lvl","Argyll and Bute")</f>
        <v>11</v>
      </c>
      <c r="H15" s="682">
        <f>GETPIVOTDATA("Sum of Crew Manager",wtroleareapivot!$A$3,"ReportingLevel","1:LA","lvl","Argyll and Bute")</f>
        <v>10</v>
      </c>
      <c r="I15" s="682">
        <f>GETPIVOTDATA("Sum of Firefighter",wtroleareapivot!$A$3,"ReportingLevel","1:LA","lvl","Argyll and Bute")</f>
        <v>34</v>
      </c>
      <c r="J15" s="66">
        <f t="shared" si="1"/>
        <v>55</v>
      </c>
    </row>
    <row r="16" spans="1:10" x14ac:dyDescent="0.25">
      <c r="A16" s="89" t="s">
        <v>288</v>
      </c>
      <c r="B16" s="48" t="s">
        <v>243</v>
      </c>
      <c r="C16" s="690">
        <f>GETPIVOTDATA("Sum of Brigade Manager",wtroleareapivot!$A$3,"ReportingLevel","1:LA","lvl","City of Edinburgh")</f>
        <v>0</v>
      </c>
      <c r="D16" s="690">
        <f>GETPIVOTDATA("Sum of Area Manager",wtroleareapivot!$A$3,"ReportingLevel","1:LA","lvl","City of Edinburgh")</f>
        <v>0</v>
      </c>
      <c r="E16" s="690">
        <f>GETPIVOTDATA("Sum of Group Manager",wtroleareapivot!$A$3,"ReportingLevel","1:LA","lvl","City of Edinburgh")</f>
        <v>0</v>
      </c>
      <c r="F16" s="690">
        <f>GETPIVOTDATA("Sum of Station Manager",wtroleareapivot!$A$3,"ReportingLevel","1:LA","lvl","City of Edinburgh")</f>
        <v>0</v>
      </c>
      <c r="G16" s="682">
        <f>GETPIVOTDATA("Sum of Watch Manager",wtroleareapivot!$A$3,"ReportingLevel","1:LA","lvl","City of Edinburgh")</f>
        <v>35</v>
      </c>
      <c r="H16" s="682">
        <f>GETPIVOTDATA("Sum of Crew Manager",wtroleareapivot!$A$3,"ReportingLevel","1:LA","lvl","City of Edinburgh")</f>
        <v>59</v>
      </c>
      <c r="I16" s="682">
        <f>GETPIVOTDATA("Sum of Firefighter",wtroleareapivot!$A$3,"ReportingLevel","1:LA","lvl","City of Edinburgh")</f>
        <v>199</v>
      </c>
      <c r="J16" s="66">
        <f t="shared" si="1"/>
        <v>293</v>
      </c>
    </row>
    <row r="17" spans="1:10" x14ac:dyDescent="0.25">
      <c r="A17" s="89" t="s">
        <v>266</v>
      </c>
      <c r="B17" s="48" t="s">
        <v>35</v>
      </c>
      <c r="C17" s="690">
        <f>GETPIVOTDATA("Sum of Brigade Manager",wtroleareapivot!$A$3,"ReportingLevel","1:LA","lvl","Clackmannanshire")</f>
        <v>0</v>
      </c>
      <c r="D17" s="690">
        <f>GETPIVOTDATA("Sum of Area Manager",wtroleareapivot!$A$3,"ReportingLevel","1:LA","lvl","Clackmannanshire")</f>
        <v>0</v>
      </c>
      <c r="E17" s="690">
        <f>GETPIVOTDATA("Sum of Group Manager",wtroleareapivot!$A$3,"ReportingLevel","1:LA","lvl","Clackmannanshire")</f>
        <v>0</v>
      </c>
      <c r="F17" s="690">
        <f>GETPIVOTDATA("Sum of Station Manager",wtroleareapivot!$A$3,"ReportingLevel","1:LA","lvl","Clackmannanshire")</f>
        <v>0</v>
      </c>
      <c r="G17" s="682">
        <f>GETPIVOTDATA("Sum of Watch Manager",wtroleareapivot!$A$3,"ReportingLevel","1:LA","lvl","Clackmannanshire")</f>
        <v>6</v>
      </c>
      <c r="H17" s="682">
        <f>GETPIVOTDATA("Sum of Crew Manager",wtroleareapivot!$A$3,"ReportingLevel","1:LA","lvl","Clackmannanshire")</f>
        <v>5</v>
      </c>
      <c r="I17" s="682">
        <f>GETPIVOTDATA("Sum of Firefighter",wtroleareapivot!$A$3,"ReportingLevel","1:LA","lvl","Clackmannanshire")</f>
        <v>16</v>
      </c>
      <c r="J17" s="66">
        <f t="shared" si="1"/>
        <v>27</v>
      </c>
    </row>
    <row r="18" spans="1:10" x14ac:dyDescent="0.25">
      <c r="A18" s="89" t="s">
        <v>267</v>
      </c>
      <c r="B18" s="48" t="s">
        <v>36</v>
      </c>
      <c r="C18" s="690">
        <f>GETPIVOTDATA("Sum of Brigade Manager",wtroleareapivot!$A$3,"ReportingLevel","1:LA","lvl","Dumfries and Galloway")</f>
        <v>0</v>
      </c>
      <c r="D18" s="690">
        <f>GETPIVOTDATA("Sum of Area Manager",wtroleareapivot!$A$3,"ReportingLevel","1:LA","lvl","Dumfries and Galloway")</f>
        <v>0</v>
      </c>
      <c r="E18" s="690">
        <f>GETPIVOTDATA("Sum of Group Manager",wtroleareapivot!$A$3,"ReportingLevel","1:LA","lvl","Dumfries and Galloway")</f>
        <v>0</v>
      </c>
      <c r="F18" s="690">
        <f>GETPIVOTDATA("Sum of Station Manager",wtroleareapivot!$A$3,"ReportingLevel","1:LA","lvl","Dumfries and Galloway")</f>
        <v>0</v>
      </c>
      <c r="G18" s="682">
        <f>GETPIVOTDATA("Sum of Watch Manager",wtroleareapivot!$A$3,"ReportingLevel","1:LA","lvl","Dumfries and Galloway")</f>
        <v>5</v>
      </c>
      <c r="H18" s="682">
        <f>GETPIVOTDATA("Sum of Crew Manager",wtroleareapivot!$A$3,"ReportingLevel","1:LA","lvl","Dumfries and Galloway")</f>
        <v>10</v>
      </c>
      <c r="I18" s="682">
        <f>GETPIVOTDATA("Sum of Firefighter",wtroleareapivot!$A$3,"ReportingLevel","1:LA","lvl","Dumfries and Galloway")</f>
        <v>38</v>
      </c>
      <c r="J18" s="66">
        <f t="shared" si="1"/>
        <v>53</v>
      </c>
    </row>
    <row r="19" spans="1:10" x14ac:dyDescent="0.25">
      <c r="A19" s="89" t="s">
        <v>293</v>
      </c>
      <c r="B19" s="48" t="s">
        <v>37</v>
      </c>
      <c r="C19" s="690">
        <f>GETPIVOTDATA("Sum of Brigade Manager",wtroleareapivot!$A$3,"ReportingLevel","1:LA","lvl","Dundee City")</f>
        <v>0</v>
      </c>
      <c r="D19" s="690">
        <f>GETPIVOTDATA("Sum of Area Manager",wtroleareapivot!$A$3,"ReportingLevel","1:LA","lvl","Dundee City")</f>
        <v>0</v>
      </c>
      <c r="E19" s="690">
        <f>GETPIVOTDATA("Sum of Group Manager",wtroleareapivot!$A$3,"ReportingLevel","1:LA","lvl","Dundee City")</f>
        <v>0</v>
      </c>
      <c r="F19" s="690">
        <f>GETPIVOTDATA("Sum of Station Manager",wtroleareapivot!$A$3,"ReportingLevel","1:LA","lvl","Dundee City")</f>
        <v>0</v>
      </c>
      <c r="G19" s="682">
        <f>GETPIVOTDATA("Sum of Watch Manager",wtroleareapivot!$A$3,"ReportingLevel","1:LA","lvl","Dundee City")</f>
        <v>20</v>
      </c>
      <c r="H19" s="682">
        <f>GETPIVOTDATA("Sum of Crew Manager",wtroleareapivot!$A$3,"ReportingLevel","1:LA","lvl","Dundee City")</f>
        <v>30</v>
      </c>
      <c r="I19" s="682">
        <f>GETPIVOTDATA("Sum of Firefighter",wtroleareapivot!$A$3,"ReportingLevel","1:LA","lvl","Dundee City")</f>
        <v>118</v>
      </c>
      <c r="J19" s="66">
        <f t="shared" si="1"/>
        <v>168</v>
      </c>
    </row>
    <row r="20" spans="1:10" x14ac:dyDescent="0.25">
      <c r="A20" s="89" t="s">
        <v>268</v>
      </c>
      <c r="B20" s="48" t="s">
        <v>38</v>
      </c>
      <c r="C20" s="690">
        <f>GETPIVOTDATA("Sum of Brigade Manager",wtroleareapivot!$A$3,"ReportingLevel","1:LA","lvl","East Ayrshire")</f>
        <v>0</v>
      </c>
      <c r="D20" s="690">
        <f>GETPIVOTDATA("Sum of Area Manager",wtroleareapivot!$A$3,"ReportingLevel","1:LA","lvl","East Ayrshire")</f>
        <v>0</v>
      </c>
      <c r="E20" s="690">
        <f>GETPIVOTDATA("Sum of Group Manager",wtroleareapivot!$A$3,"ReportingLevel","1:LA","lvl","East Ayrshire")</f>
        <v>0</v>
      </c>
      <c r="F20" s="690">
        <f>GETPIVOTDATA("Sum of Station Manager",wtroleareapivot!$A$3,"ReportingLevel","1:LA","lvl","East Ayrshire")</f>
        <v>0</v>
      </c>
      <c r="G20" s="682">
        <f>GETPIVOTDATA("Sum of Watch Manager",wtroleareapivot!$A$3,"ReportingLevel","1:LA","lvl","East Ayrshire")</f>
        <v>6</v>
      </c>
      <c r="H20" s="682">
        <f>GETPIVOTDATA("Sum of Crew Manager",wtroleareapivot!$A$3,"ReportingLevel","1:LA","lvl","East Ayrshire")</f>
        <v>10</v>
      </c>
      <c r="I20" s="682">
        <f>GETPIVOTDATA("Sum of Firefighter",wtroleareapivot!$A$3,"ReportingLevel","1:LA","lvl","East Ayrshire")</f>
        <v>32</v>
      </c>
      <c r="J20" s="66">
        <f t="shared" si="1"/>
        <v>48</v>
      </c>
    </row>
    <row r="21" spans="1:10" x14ac:dyDescent="0.25">
      <c r="A21" s="89" t="s">
        <v>295</v>
      </c>
      <c r="B21" s="48" t="s">
        <v>39</v>
      </c>
      <c r="C21" s="690">
        <f>GETPIVOTDATA("Sum of Brigade Manager",wtroleareapivot!$A$3,"ReportingLevel","1:LA","lvl","East Dunbartonshire")</f>
        <v>0</v>
      </c>
      <c r="D21" s="690">
        <f>GETPIVOTDATA("Sum of Area Manager",wtroleareapivot!$A$3,"ReportingLevel","1:LA","lvl","East Dunbartonshire")</f>
        <v>0</v>
      </c>
      <c r="E21" s="690">
        <f>GETPIVOTDATA("Sum of Group Manager",wtroleareapivot!$A$3,"ReportingLevel","1:LA","lvl","East Dunbartonshire")</f>
        <v>0</v>
      </c>
      <c r="F21" s="690">
        <f>GETPIVOTDATA("Sum of Station Manager",wtroleareapivot!$A$3,"ReportingLevel","1:LA","lvl","East Dunbartonshire")</f>
        <v>0</v>
      </c>
      <c r="G21" s="682">
        <f>GETPIVOTDATA("Sum of Watch Manager",wtroleareapivot!$A$3,"ReportingLevel","1:LA","lvl","East Dunbartonshire")</f>
        <v>15</v>
      </c>
      <c r="H21" s="682">
        <f>GETPIVOTDATA("Sum of Crew Manager",wtroleareapivot!$A$3,"ReportingLevel","1:LA","lvl","East Dunbartonshire")</f>
        <v>15</v>
      </c>
      <c r="I21" s="682">
        <f>GETPIVOTDATA("Sum of Firefighter",wtroleareapivot!$A$3,"ReportingLevel","1:LA","lvl","East Dunbartonshire")</f>
        <v>46</v>
      </c>
      <c r="J21" s="66">
        <f t="shared" si="1"/>
        <v>76</v>
      </c>
    </row>
    <row r="22" spans="1:10" x14ac:dyDescent="0.25">
      <c r="A22" s="89" t="s">
        <v>269</v>
      </c>
      <c r="B22" s="48" t="s">
        <v>40</v>
      </c>
      <c r="C22" s="690">
        <f>GETPIVOTDATA("Sum of Brigade Manager",wtroleareapivot!$A$3,"ReportingLevel","1:LA","lvl","East Lothian")</f>
        <v>0</v>
      </c>
      <c r="D22" s="690">
        <f>GETPIVOTDATA("Sum of Area Manager",wtroleareapivot!$A$3,"ReportingLevel","1:LA","lvl","East Lothian")</f>
        <v>0</v>
      </c>
      <c r="E22" s="690">
        <f>GETPIVOTDATA("Sum of Group Manager",wtroleareapivot!$A$3,"ReportingLevel","1:LA","lvl","East Lothian")</f>
        <v>0</v>
      </c>
      <c r="F22" s="690">
        <f>GETPIVOTDATA("Sum of Station Manager",wtroleareapivot!$A$3,"ReportingLevel","1:LA","lvl","East Lothian")</f>
        <v>0</v>
      </c>
      <c r="G22" s="682">
        <f>GETPIVOTDATA("Sum of Watch Manager",wtroleareapivot!$A$3,"ReportingLevel","1:LA","lvl","East Lothian")</f>
        <v>5</v>
      </c>
      <c r="H22" s="682">
        <f>GETPIVOTDATA("Sum of Crew Manager",wtroleareapivot!$A$3,"ReportingLevel","1:LA","lvl","East Lothian")</f>
        <v>5</v>
      </c>
      <c r="I22" s="682">
        <f>GETPIVOTDATA("Sum of Firefighter",wtroleareapivot!$A$3,"ReportingLevel","1:LA","lvl","East Lothian")</f>
        <v>15</v>
      </c>
      <c r="J22" s="66">
        <f t="shared" si="1"/>
        <v>25</v>
      </c>
    </row>
    <row r="23" spans="1:10" x14ac:dyDescent="0.25">
      <c r="A23" s="89" t="s">
        <v>270</v>
      </c>
      <c r="B23" s="48" t="s">
        <v>41</v>
      </c>
      <c r="C23" s="690">
        <f>GETPIVOTDATA("Sum of Brigade Manager",wtroleareapivot!$A$3,"ReportingLevel","1:LA","lvl","East Renfrewshire")</f>
        <v>0</v>
      </c>
      <c r="D23" s="690">
        <f>GETPIVOTDATA("Sum of Area Manager",wtroleareapivot!$A$3,"ReportingLevel","1:LA","lvl","East Renfrewshire")</f>
        <v>0</v>
      </c>
      <c r="E23" s="690">
        <f>GETPIVOTDATA("Sum of Group Manager",wtroleareapivot!$A$3,"ReportingLevel","1:LA","lvl","East Renfrewshire")</f>
        <v>0</v>
      </c>
      <c r="F23" s="690">
        <f>GETPIVOTDATA("Sum of Station Manager",wtroleareapivot!$A$3,"ReportingLevel","1:LA","lvl","East Renfrewshire")</f>
        <v>0</v>
      </c>
      <c r="G23" s="682">
        <f>GETPIVOTDATA("Sum of Watch Manager",wtroleareapivot!$A$3,"ReportingLevel","1:LA","lvl","East Renfrewshire")</f>
        <v>10</v>
      </c>
      <c r="H23" s="682">
        <f>GETPIVOTDATA("Sum of Crew Manager",wtroleareapivot!$A$3,"ReportingLevel","1:LA","lvl","East Renfrewshire")</f>
        <v>10</v>
      </c>
      <c r="I23" s="682">
        <f>GETPIVOTDATA("Sum of Firefighter",wtroleareapivot!$A$3,"ReportingLevel","1:LA","lvl","East Renfrewshire")</f>
        <v>33</v>
      </c>
      <c r="J23" s="66">
        <f t="shared" si="1"/>
        <v>53</v>
      </c>
    </row>
    <row r="24" spans="1:10" x14ac:dyDescent="0.25">
      <c r="A24" s="89" t="s">
        <v>272</v>
      </c>
      <c r="B24" s="48" t="s">
        <v>42</v>
      </c>
      <c r="C24" s="690">
        <f>GETPIVOTDATA("Sum of Brigade Manager",wtroleareapivot!$A$3,"ReportingLevel","1:LA","lvl","Falkirk")</f>
        <v>0</v>
      </c>
      <c r="D24" s="690">
        <f>GETPIVOTDATA("Sum of Area Manager",wtroleareapivot!$A$3,"ReportingLevel","1:LA","lvl","Falkirk")</f>
        <v>0</v>
      </c>
      <c r="E24" s="690">
        <f>GETPIVOTDATA("Sum of Group Manager",wtroleareapivot!$A$3,"ReportingLevel","1:LA","lvl","Falkirk")</f>
        <v>0</v>
      </c>
      <c r="F24" s="690">
        <f>GETPIVOTDATA("Sum of Station Manager",wtroleareapivot!$A$3,"ReportingLevel","1:LA","lvl","Falkirk")</f>
        <v>0</v>
      </c>
      <c r="G24" s="682">
        <f>GETPIVOTDATA("Sum of Watch Manager",wtroleareapivot!$A$3,"ReportingLevel","1:LA","lvl","Falkirk")</f>
        <v>15</v>
      </c>
      <c r="H24" s="682">
        <f>GETPIVOTDATA("Sum of Crew Manager",wtroleareapivot!$A$3,"ReportingLevel","1:LA","lvl","Falkirk")</f>
        <v>20</v>
      </c>
      <c r="I24" s="682">
        <f>GETPIVOTDATA("Sum of Firefighter",wtroleareapivot!$A$3,"ReportingLevel","1:LA","lvl","Falkirk")</f>
        <v>56</v>
      </c>
      <c r="J24" s="66">
        <f t="shared" si="1"/>
        <v>91</v>
      </c>
    </row>
    <row r="25" spans="1:10" x14ac:dyDescent="0.25">
      <c r="A25" s="89" t="s">
        <v>297</v>
      </c>
      <c r="B25" s="48" t="s">
        <v>43</v>
      </c>
      <c r="C25" s="690">
        <f>GETPIVOTDATA("Sum of Brigade Manager",wtroleareapivot!$A$3,"ReportingLevel","1:LA","lvl","Fife")</f>
        <v>0</v>
      </c>
      <c r="D25" s="690">
        <f>GETPIVOTDATA("Sum of Area Manager",wtroleareapivot!$A$3,"ReportingLevel","1:LA","lvl","Fife")</f>
        <v>0</v>
      </c>
      <c r="E25" s="690">
        <f>GETPIVOTDATA("Sum of Group Manager",wtroleareapivot!$A$3,"ReportingLevel","1:LA","lvl","Fife")</f>
        <v>0</v>
      </c>
      <c r="F25" s="690">
        <f>GETPIVOTDATA("Sum of Station Manager",wtroleareapivot!$A$3,"ReportingLevel","1:LA","lvl","Fife")</f>
        <v>0</v>
      </c>
      <c r="G25" s="682">
        <f>GETPIVOTDATA("Sum of Watch Manager",wtroleareapivot!$A$3,"ReportingLevel","1:LA","lvl","Fife")</f>
        <v>27</v>
      </c>
      <c r="H25" s="682">
        <f>GETPIVOTDATA("Sum of Crew Manager",wtroleareapivot!$A$3,"ReportingLevel","1:LA","lvl","Fife")</f>
        <v>43</v>
      </c>
      <c r="I25" s="682">
        <f>GETPIVOTDATA("Sum of Firefighter",wtroleareapivot!$A$3,"ReportingLevel","1:LA","lvl","Fife")</f>
        <v>146</v>
      </c>
      <c r="J25" s="66">
        <f t="shared" si="1"/>
        <v>216</v>
      </c>
    </row>
    <row r="26" spans="1:10" x14ac:dyDescent="0.25">
      <c r="A26" s="89" t="str">
        <f>IF(OR(A9 = "2018-19", A9 = "2017-18", A9 = "2016-17", A9 = "2015-16", A9 = "2014-15", A9 = "2013-14"),"S12000049","S12000046")</f>
        <v>S12000046</v>
      </c>
      <c r="B26" s="48" t="s">
        <v>117</v>
      </c>
      <c r="C26" s="690">
        <f>GETPIVOTDATA("Sum of Brigade Manager",wtroleareapivot!$A$3,"ReportingLevel","1:LA","lvl","Glasgow City")</f>
        <v>0</v>
      </c>
      <c r="D26" s="690">
        <f>GETPIVOTDATA("Sum of Area Manager",wtroleareapivot!$A$3,"ReportingLevel","1:LA","lvl","Glasgow City")</f>
        <v>0</v>
      </c>
      <c r="E26" s="690">
        <f>GETPIVOTDATA("Sum of Group Manager",wtroleareapivot!$A$3,"ReportingLevel","1:LA","lvl","Glasgow City")</f>
        <v>0</v>
      </c>
      <c r="F26" s="690">
        <f>GETPIVOTDATA("Sum of Station Manager",wtroleareapivot!$A$3,"ReportingLevel","1:LA","lvl","Glasgow City")</f>
        <v>0</v>
      </c>
      <c r="G26" s="682">
        <f>GETPIVOTDATA("Sum of Watch Manager",wtroleareapivot!$A$3,"ReportingLevel","1:LA","lvl","Glasgow City")</f>
        <v>67</v>
      </c>
      <c r="H26" s="682">
        <f>GETPIVOTDATA("Sum of Crew Manager",wtroleareapivot!$A$3,"ReportingLevel","1:LA","lvl","Glasgow City")</f>
        <v>94</v>
      </c>
      <c r="I26" s="682">
        <f>GETPIVOTDATA("Sum of Firefighter",wtroleareapivot!$A$3,"ReportingLevel","1:LA","lvl","Glasgow City")</f>
        <v>302</v>
      </c>
      <c r="J26" s="66">
        <f t="shared" si="1"/>
        <v>463</v>
      </c>
    </row>
    <row r="27" spans="1:10" x14ac:dyDescent="0.25">
      <c r="A27" s="89" t="s">
        <v>273</v>
      </c>
      <c r="B27" s="48" t="s">
        <v>44</v>
      </c>
      <c r="C27" s="690">
        <f>GETPIVOTDATA("Sum of Brigade Manager",wtroleareapivot!$A$3,"ReportingLevel","1:LA","lvl","Highland")</f>
        <v>0</v>
      </c>
      <c r="D27" s="690">
        <f>GETPIVOTDATA("Sum of Area Manager",wtroleareapivot!$A$3,"ReportingLevel","1:LA","lvl","Highland")</f>
        <v>0</v>
      </c>
      <c r="E27" s="690">
        <f>GETPIVOTDATA("Sum of Group Manager",wtroleareapivot!$A$3,"ReportingLevel","1:LA","lvl","Highland")</f>
        <v>0</v>
      </c>
      <c r="F27" s="690">
        <f>GETPIVOTDATA("Sum of Station Manager",wtroleareapivot!$A$3,"ReportingLevel","1:LA","lvl","Highland")</f>
        <v>0</v>
      </c>
      <c r="G27" s="682">
        <f>GETPIVOTDATA("Sum of Watch Manager",wtroleareapivot!$A$3,"ReportingLevel","1:LA","lvl","Highland")</f>
        <v>8</v>
      </c>
      <c r="H27" s="682">
        <f>GETPIVOTDATA("Sum of Crew Manager",wtroleareapivot!$A$3,"ReportingLevel","1:LA","lvl","Highland")</f>
        <v>20</v>
      </c>
      <c r="I27" s="682">
        <f>GETPIVOTDATA("Sum of Firefighter",wtroleareapivot!$A$3,"ReportingLevel","1:LA","lvl","Highland")</f>
        <v>52</v>
      </c>
      <c r="J27" s="66">
        <f t="shared" si="1"/>
        <v>80</v>
      </c>
    </row>
    <row r="28" spans="1:10" x14ac:dyDescent="0.25">
      <c r="A28" s="89" t="s">
        <v>274</v>
      </c>
      <c r="B28" s="48" t="s">
        <v>45</v>
      </c>
      <c r="C28" s="690">
        <f>GETPIVOTDATA("Sum of Brigade Manager",wtroleareapivot!$A$3,"ReportingLevel","1:LA","lvl","Inverclyde")</f>
        <v>0</v>
      </c>
      <c r="D28" s="690">
        <f>GETPIVOTDATA("Sum of Area Manager",wtroleareapivot!$A$3,"ReportingLevel","1:LA","lvl","Inverclyde")</f>
        <v>0</v>
      </c>
      <c r="E28" s="690">
        <f>GETPIVOTDATA("Sum of Group Manager",wtroleareapivot!$A$3,"ReportingLevel","1:LA","lvl","Inverclyde")</f>
        <v>0</v>
      </c>
      <c r="F28" s="690">
        <f>GETPIVOTDATA("Sum of Station Manager",wtroleareapivot!$A$3,"ReportingLevel","1:LA","lvl","Inverclyde")</f>
        <v>0</v>
      </c>
      <c r="G28" s="682">
        <f>GETPIVOTDATA("Sum of Watch Manager",wtroleareapivot!$A$3,"ReportingLevel","1:LA","lvl","Inverclyde")</f>
        <v>10</v>
      </c>
      <c r="H28" s="682">
        <f>GETPIVOTDATA("Sum of Crew Manager",wtroleareapivot!$A$3,"ReportingLevel","1:LA","lvl","Inverclyde")</f>
        <v>14</v>
      </c>
      <c r="I28" s="682">
        <f>GETPIVOTDATA("Sum of Firefighter",wtroleareapivot!$A$3,"ReportingLevel","1:LA","lvl","Inverclyde")</f>
        <v>39</v>
      </c>
      <c r="J28" s="66">
        <f t="shared" si="1"/>
        <v>63</v>
      </c>
    </row>
    <row r="29" spans="1:10" x14ac:dyDescent="0.25">
      <c r="A29" s="89" t="s">
        <v>275</v>
      </c>
      <c r="B29" s="48" t="s">
        <v>46</v>
      </c>
      <c r="C29" s="690">
        <f>GETPIVOTDATA("Sum of Brigade Manager",wtroleareapivot!$A$3,"ReportingLevel","1:LA","lvl","Midlothian")</f>
        <v>0</v>
      </c>
      <c r="D29" s="690">
        <f>GETPIVOTDATA("Sum of Area Manager",wtroleareapivot!$A$3,"ReportingLevel","1:LA","lvl","Midlothian")</f>
        <v>0</v>
      </c>
      <c r="E29" s="690">
        <f>GETPIVOTDATA("Sum of Group Manager",wtroleareapivot!$A$3,"ReportingLevel","1:LA","lvl","Midlothian")</f>
        <v>0</v>
      </c>
      <c r="F29" s="690">
        <f>GETPIVOTDATA("Sum of Station Manager",wtroleareapivot!$A$3,"ReportingLevel","1:LA","lvl","Midlothian")</f>
        <v>0</v>
      </c>
      <c r="G29" s="682">
        <f>GETPIVOTDATA("Sum of Watch Manager",wtroleareapivot!$A$3,"ReportingLevel","1:LA","lvl","Midlothian")</f>
        <v>6</v>
      </c>
      <c r="H29" s="682">
        <f>GETPIVOTDATA("Sum of Crew Manager",wtroleareapivot!$A$3,"ReportingLevel","1:LA","lvl","Midlothian")</f>
        <v>7</v>
      </c>
      <c r="I29" s="682">
        <f>GETPIVOTDATA("Sum of Firefighter",wtroleareapivot!$A$3,"ReportingLevel","1:LA","lvl","Midlothian")</f>
        <v>16</v>
      </c>
      <c r="J29" s="66">
        <f t="shared" si="1"/>
        <v>29</v>
      </c>
    </row>
    <row r="30" spans="1:10" x14ac:dyDescent="0.25">
      <c r="A30" s="89" t="s">
        <v>276</v>
      </c>
      <c r="B30" s="48" t="s">
        <v>47</v>
      </c>
      <c r="C30" s="690">
        <f>GETPIVOTDATA("Sum of Brigade Manager",wtroleareapivot!$A$3,"ReportingLevel","1:LA","lvl","Moray")</f>
        <v>0</v>
      </c>
      <c r="D30" s="690">
        <f>GETPIVOTDATA("Sum of Area Manager",wtroleareapivot!$A$3,"ReportingLevel","1:LA","lvl","Moray")</f>
        <v>0</v>
      </c>
      <c r="E30" s="690">
        <f>GETPIVOTDATA("Sum of Group Manager",wtroleareapivot!$A$3,"ReportingLevel","1:LA","lvl","Moray")</f>
        <v>0</v>
      </c>
      <c r="F30" s="690">
        <f>GETPIVOTDATA("Sum of Station Manager",wtroleareapivot!$A$3,"ReportingLevel","1:LA","lvl","Moray")</f>
        <v>0</v>
      </c>
      <c r="G30" s="682">
        <f>GETPIVOTDATA("Sum of Watch Manager",wtroleareapivot!$A$3,"ReportingLevel","1:LA","lvl","Moray")</f>
        <v>5</v>
      </c>
      <c r="H30" s="682">
        <f>GETPIVOTDATA("Sum of Crew Manager",wtroleareapivot!$A$3,"ReportingLevel","1:LA","lvl","Moray")</f>
        <v>4</v>
      </c>
      <c r="I30" s="682">
        <f>GETPIVOTDATA("Sum of Firefighter",wtroleareapivot!$A$3,"ReportingLevel","1:LA","lvl","Moray")</f>
        <v>21</v>
      </c>
      <c r="J30" s="66">
        <f t="shared" si="1"/>
        <v>30</v>
      </c>
    </row>
    <row r="31" spans="1:10" x14ac:dyDescent="0.25">
      <c r="A31" s="89" t="s">
        <v>271</v>
      </c>
      <c r="B31" s="48" t="s">
        <v>48</v>
      </c>
      <c r="C31" s="690">
        <f>IFERROR(GETPIVOTDATA("Sum of Brigade Manager",wtroleareapivot!$A$3,"ReportingLevel","1:LA","lvl","Na h-Eileanan Siar"), "-")</f>
        <v>0</v>
      </c>
      <c r="D31" s="690">
        <f>IFERROR(GETPIVOTDATA("Sum of Area Manager",wtroleareapivot!$A$3,"ReportingLevel","1:LA","lvl","Na h-Eileanan Siar"), "-")</f>
        <v>0</v>
      </c>
      <c r="E31" s="690">
        <f>IFERROR(GETPIVOTDATA("Sum of Group Manager",wtroleareapivot!$A$3,"ReportingLevel","1:LA","lvl","Na h-Eileanan Siar"), "-")</f>
        <v>0</v>
      </c>
      <c r="F31" s="690">
        <f>IFERROR(GETPIVOTDATA("Sum of Station Manager",wtroleareapivot!$A$3,"ReportingLevel","1:LA","lvl","Na h-Eileanan Siar"), "-")</f>
        <v>0</v>
      </c>
      <c r="G31" s="682">
        <f>IFERROR(GETPIVOTDATA("Sum of Watch Manager",wtroleareapivot!$A$3,"ReportingLevel","1:LA","lvl","Na h-Eileanan Siar"), "-")</f>
        <v>3</v>
      </c>
      <c r="H31" s="682">
        <f>IFERROR(GETPIVOTDATA("Sum of Crew Manager",wtroleareapivot!$A$3,"ReportingLevel","1:LA","lvl","Na h-Eileanan Siar"), "-")</f>
        <v>0</v>
      </c>
      <c r="I31" s="682">
        <f>IFERROR(GETPIVOTDATA("Sum of Firefighter",wtroleareapivot!$A$3,"ReportingLevel","1:LA","lvl","Na h-Eileanan Siar"), "-")</f>
        <v>0</v>
      </c>
      <c r="J31" s="66">
        <f t="shared" si="1"/>
        <v>3</v>
      </c>
    </row>
    <row r="32" spans="1:10" x14ac:dyDescent="0.25">
      <c r="A32" s="89" t="s">
        <v>277</v>
      </c>
      <c r="B32" s="48" t="s">
        <v>49</v>
      </c>
      <c r="C32" s="690">
        <f>GETPIVOTDATA("Sum of Brigade Manager",wtroleareapivot!$A$3,"ReportingLevel","1:LA","lvl","North Ayrshire")</f>
        <v>0</v>
      </c>
      <c r="D32" s="690">
        <f>GETPIVOTDATA("Sum of Area Manager",wtroleareapivot!$A$3,"ReportingLevel","1:LA","lvl","North Ayrshire")</f>
        <v>0</v>
      </c>
      <c r="E32" s="690">
        <f>GETPIVOTDATA("Sum of Group Manager",wtroleareapivot!$A$3,"ReportingLevel","1:LA","lvl","North Ayrshire")</f>
        <v>0</v>
      </c>
      <c r="F32" s="690">
        <f>GETPIVOTDATA("Sum of Station Manager",wtroleareapivot!$A$3,"ReportingLevel","1:LA","lvl","North Ayrshire")</f>
        <v>0</v>
      </c>
      <c r="G32" s="682">
        <f>GETPIVOTDATA("Sum of Watch Manager",wtroleareapivot!$A$3,"ReportingLevel","1:LA","lvl","North Ayrshire")</f>
        <v>15</v>
      </c>
      <c r="H32" s="682">
        <f>GETPIVOTDATA("Sum of Crew Manager",wtroleareapivot!$A$3,"ReportingLevel","1:LA","lvl","North Ayrshire")</f>
        <v>16</v>
      </c>
      <c r="I32" s="682">
        <f>GETPIVOTDATA("Sum of Firefighter",wtroleareapivot!$A$3,"ReportingLevel","1:LA","lvl","North Ayrshire")</f>
        <v>54</v>
      </c>
      <c r="J32" s="66">
        <f t="shared" si="1"/>
        <v>85</v>
      </c>
    </row>
    <row r="33" spans="1:10" x14ac:dyDescent="0.25">
      <c r="A33" s="89" t="str">
        <f>IF(OR(A9 = "2018-19", A9 = "2017-18", A9 = "2016-17", A9 = "2015-16", A9 = "2014-15", A9 = "2013-14"),"S12000050","S12000044")</f>
        <v>S12000044</v>
      </c>
      <c r="B33" s="48" t="s">
        <v>50</v>
      </c>
      <c r="C33" s="690">
        <f>GETPIVOTDATA("Sum of Brigade Manager",wtroleareapivot!$A$3,"ReportingLevel","1:LA","lvl","North Lanarkshire")</f>
        <v>0</v>
      </c>
      <c r="D33" s="690">
        <f>GETPIVOTDATA("Sum of Area Manager",wtroleareapivot!$A$3,"ReportingLevel","1:LA","lvl","North Lanarkshire")</f>
        <v>0</v>
      </c>
      <c r="E33" s="690">
        <f>GETPIVOTDATA("Sum of Group Manager",wtroleareapivot!$A$3,"ReportingLevel","1:LA","lvl","North Lanarkshire")</f>
        <v>0</v>
      </c>
      <c r="F33" s="690">
        <f>GETPIVOTDATA("Sum of Station Manager",wtroleareapivot!$A$3,"ReportingLevel","1:LA","lvl","North Lanarkshire")</f>
        <v>0</v>
      </c>
      <c r="G33" s="682">
        <f>GETPIVOTDATA("Sum of Watch Manager",wtroleareapivot!$A$3,"ReportingLevel","1:LA","lvl","North Lanarkshire")</f>
        <v>21</v>
      </c>
      <c r="H33" s="682">
        <f>GETPIVOTDATA("Sum of Crew Manager",wtroleareapivot!$A$3,"ReportingLevel","1:LA","lvl","North Lanarkshire")</f>
        <v>36</v>
      </c>
      <c r="I33" s="682">
        <f>GETPIVOTDATA("Sum of Firefighter",wtroleareapivot!$A$3,"ReportingLevel","1:LA","lvl","North Lanarkshire")</f>
        <v>112</v>
      </c>
      <c r="J33" s="66">
        <f t="shared" si="1"/>
        <v>169</v>
      </c>
    </row>
    <row r="34" spans="1:10" x14ac:dyDescent="0.25">
      <c r="A34" s="89" t="s">
        <v>278</v>
      </c>
      <c r="B34" s="48" t="s">
        <v>51</v>
      </c>
      <c r="C34" s="690" t="str">
        <f>IFERROR(GETPIVOTDATA("Sum of Brigade Manager",wtroleareapivot!$A$3,"ReportingLevel","1:LA","lvl","Orkney Islands"),"-")</f>
        <v>-</v>
      </c>
      <c r="D34" s="690" t="str">
        <f>IFERROR(GETPIVOTDATA("Sum of Area Manager",wtroleareapivot!$A$3,"ReportingLevel","1:LA","lvl","Orkney Islands"),"-")</f>
        <v>-</v>
      </c>
      <c r="E34" s="690" t="str">
        <f>IFERROR(GETPIVOTDATA("Sum of Group Manager",wtroleareapivot!$A$3,"ReportingLevel","1:LA","lvl","Orkney Islands"),"-")</f>
        <v>-</v>
      </c>
      <c r="F34" s="690" t="str">
        <f>IFERROR(GETPIVOTDATA("Sum of Station Manager",wtroleareapivot!$A$3,"ReportingLevel","1:LA","lvl","Orkney Islands"),"-")</f>
        <v>-</v>
      </c>
      <c r="G34" s="682" t="str">
        <f>IFERROR(GETPIVOTDATA("Sum of Watch Manager",wtroleareapivot!$A$3,"ReportingLevel","1:LA","lvl","Orkney Islands"),"-")</f>
        <v>-</v>
      </c>
      <c r="H34" s="682" t="str">
        <f>IFERROR(GETPIVOTDATA("Sum of Crew Manager",wtroleareapivot!$A$3,"ReportingLevel","1:LA","lvl","Orkney Islands"),"-")</f>
        <v>-</v>
      </c>
      <c r="I34" s="682" t="str">
        <f>IFERROR(GETPIVOTDATA("Sum of Firefighter",wtroleareapivot!$A$3,"ReportingLevel","1:LA","lvl","Orkney Islands"),"-")</f>
        <v>-</v>
      </c>
      <c r="J34" s="66">
        <f t="shared" si="1"/>
        <v>0</v>
      </c>
    </row>
    <row r="35" spans="1:10" x14ac:dyDescent="0.25">
      <c r="A35" s="89" t="s">
        <v>279</v>
      </c>
      <c r="B35" s="48" t="s">
        <v>52</v>
      </c>
      <c r="C35" s="690">
        <f>GETPIVOTDATA("Sum of Brigade Manager",wtroleareapivot!$A$3,"ReportingLevel","1:LA","lvl","Perth and Kinross")</f>
        <v>0</v>
      </c>
      <c r="D35" s="690">
        <f>GETPIVOTDATA("Sum of Area Manager",wtroleareapivot!$A$3,"ReportingLevel","1:LA","lvl","Perth and Kinross")</f>
        <v>0</v>
      </c>
      <c r="E35" s="690">
        <f>GETPIVOTDATA("Sum of Group Manager",wtroleareapivot!$A$3,"ReportingLevel","1:LA","lvl","Perth and Kinross")</f>
        <v>0</v>
      </c>
      <c r="F35" s="690">
        <f>GETPIVOTDATA("Sum of Station Manager",wtroleareapivot!$A$3,"ReportingLevel","1:LA","lvl","Perth and Kinross")</f>
        <v>0</v>
      </c>
      <c r="G35" s="682">
        <f>GETPIVOTDATA("Sum of Watch Manager",wtroleareapivot!$A$3,"ReportingLevel","1:LA","lvl","Perth and Kinross")</f>
        <v>5</v>
      </c>
      <c r="H35" s="682">
        <f>GETPIVOTDATA("Sum of Crew Manager",wtroleareapivot!$A$3,"ReportingLevel","1:LA","lvl","Perth and Kinross")</f>
        <v>12</v>
      </c>
      <c r="I35" s="682">
        <f>GETPIVOTDATA("Sum of Firefighter",wtroleareapivot!$A$3,"ReportingLevel","1:LA","lvl","Perth and Kinross")</f>
        <v>49</v>
      </c>
      <c r="J35" s="66">
        <f t="shared" si="1"/>
        <v>66</v>
      </c>
    </row>
    <row r="36" spans="1:10" x14ac:dyDescent="0.25">
      <c r="A36" s="89" t="s">
        <v>289</v>
      </c>
      <c r="B36" s="48" t="s">
        <v>53</v>
      </c>
      <c r="C36" s="690">
        <f>GETPIVOTDATA("Sum of Brigade Manager",wtroleareapivot!$A$3,"ReportingLevel","1:LA","lvl","Renfrewshire")</f>
        <v>0</v>
      </c>
      <c r="D36" s="690">
        <f>GETPIVOTDATA("Sum of Area Manager",wtroleareapivot!$A$3,"ReportingLevel","1:LA","lvl","Renfrewshire")</f>
        <v>0</v>
      </c>
      <c r="E36" s="690">
        <f>GETPIVOTDATA("Sum of Group Manager",wtroleareapivot!$A$3,"ReportingLevel","1:LA","lvl","Renfrewshire")</f>
        <v>0</v>
      </c>
      <c r="F36" s="690">
        <f>GETPIVOTDATA("Sum of Station Manager",wtroleareapivot!$A$3,"ReportingLevel","1:LA","lvl","Renfrewshire")</f>
        <v>0</v>
      </c>
      <c r="G36" s="682">
        <f>GETPIVOTDATA("Sum of Watch Manager",wtroleareapivot!$A$3,"ReportingLevel","1:LA","lvl","Renfrewshire")</f>
        <v>15</v>
      </c>
      <c r="H36" s="682">
        <f>GETPIVOTDATA("Sum of Crew Manager",wtroleareapivot!$A$3,"ReportingLevel","1:LA","lvl","Renfrewshire")</f>
        <v>21</v>
      </c>
      <c r="I36" s="682">
        <f>GETPIVOTDATA("Sum of Firefighter",wtroleareapivot!$A$3,"ReportingLevel","1:LA","lvl","Renfrewshire")</f>
        <v>66</v>
      </c>
      <c r="J36" s="66">
        <f t="shared" si="1"/>
        <v>102</v>
      </c>
    </row>
    <row r="37" spans="1:10" x14ac:dyDescent="0.25">
      <c r="A37" s="89" t="s">
        <v>280</v>
      </c>
      <c r="B37" s="48" t="s">
        <v>54</v>
      </c>
      <c r="C37" s="690">
        <f>GETPIVOTDATA("Sum of Brigade Manager",wtroleareapivot!$A$3,"ReportingLevel","1:LA","lvl","Scottish Borders")</f>
        <v>0</v>
      </c>
      <c r="D37" s="690">
        <f>GETPIVOTDATA("Sum of Area Manager",wtroleareapivot!$A$3,"ReportingLevel","1:LA","lvl","Scottish Borders")</f>
        <v>0</v>
      </c>
      <c r="E37" s="690">
        <f>GETPIVOTDATA("Sum of Group Manager",wtroleareapivot!$A$3,"ReportingLevel","1:LA","lvl","Scottish Borders")</f>
        <v>0</v>
      </c>
      <c r="F37" s="690">
        <f>GETPIVOTDATA("Sum of Station Manager",wtroleareapivot!$A$3,"ReportingLevel","1:LA","lvl","Scottish Borders")</f>
        <v>0</v>
      </c>
      <c r="G37" s="682">
        <f>GETPIVOTDATA("Sum of Watch Manager",wtroleareapivot!$A$3,"ReportingLevel","1:LA","lvl","Scottish Borders")</f>
        <v>10</v>
      </c>
      <c r="H37" s="682">
        <f>GETPIVOTDATA("Sum of Crew Manager",wtroleareapivot!$A$3,"ReportingLevel","1:LA","lvl","Scottish Borders")</f>
        <v>9</v>
      </c>
      <c r="I37" s="682">
        <f>GETPIVOTDATA("Sum of Firefighter",wtroleareapivot!$A$3,"ReportingLevel","1:LA","lvl","Scottish Borders")</f>
        <v>38</v>
      </c>
      <c r="J37" s="66">
        <f t="shared" si="1"/>
        <v>57</v>
      </c>
    </row>
    <row r="38" spans="1:10" x14ac:dyDescent="0.25">
      <c r="A38" s="89" t="s">
        <v>281</v>
      </c>
      <c r="B38" s="48" t="s">
        <v>55</v>
      </c>
      <c r="C38" s="690">
        <f>IFERROR(GETPIVOTDATA("Sum of Brigade Manager",wtroleareapivot!$A$3,"ReportingLevel","1:LA","lvl","Shetland Islands"),"-")</f>
        <v>0</v>
      </c>
      <c r="D38" s="690">
        <f>IFERROR(GETPIVOTDATA("Sum of Area Manager",wtroleareapivot!$A$3,"ReportingLevel","1:LA","lvl","Shetland Islands"),"-")</f>
        <v>0</v>
      </c>
      <c r="E38" s="690">
        <f>IFERROR(GETPIVOTDATA("Sum of Group Manager",wtroleareapivot!$A$3,"ReportingLevel","1:LA","lvl","Shetland Islands"),"-")</f>
        <v>0</v>
      </c>
      <c r="F38" s="690">
        <f>IFERROR(GETPIVOTDATA("Sum of Station Manager",wtroleareapivot!$A$3,"ReportingLevel","1:LA","lvl","Shetland Islands"),"-")</f>
        <v>0</v>
      </c>
      <c r="G38" s="682">
        <f>IFERROR(GETPIVOTDATA("Sum of Watch Manager",wtroleareapivot!$A$3,"ReportingLevel","1:LA","lvl","Shetland Islands"),"-")</f>
        <v>1</v>
      </c>
      <c r="H38" s="682">
        <f>IFERROR(GETPIVOTDATA("Sum of Crew Manager",wtroleareapivot!$A$3,"ReportingLevel","1:LA","lvl","Shetland Islands"),"-")</f>
        <v>0</v>
      </c>
      <c r="I38" s="682">
        <f>IFERROR(GETPIVOTDATA("Sum of Firefighter",wtroleareapivot!$A$3,"ReportingLevel","1:LA","lvl","Shetland Islands"),"-")</f>
        <v>0</v>
      </c>
      <c r="J38" s="66">
        <f t="shared" si="1"/>
        <v>1</v>
      </c>
    </row>
    <row r="39" spans="1:10" x14ac:dyDescent="0.25">
      <c r="A39" s="89" t="s">
        <v>282</v>
      </c>
      <c r="B39" s="48" t="s">
        <v>56</v>
      </c>
      <c r="C39" s="690">
        <f>GETPIVOTDATA("Sum of Brigade Manager",wtroleareapivot!$A$3,"ReportingLevel","1:LA","lvl","South Ayrshire")</f>
        <v>0</v>
      </c>
      <c r="D39" s="690">
        <f>GETPIVOTDATA("Sum of Area Manager",wtroleareapivot!$A$3,"ReportingLevel","1:LA","lvl","South Ayrshire")</f>
        <v>0</v>
      </c>
      <c r="E39" s="690">
        <f>GETPIVOTDATA("Sum of Group Manager",wtroleareapivot!$A$3,"ReportingLevel","1:LA","lvl","South Ayrshire")</f>
        <v>0</v>
      </c>
      <c r="F39" s="690">
        <f>GETPIVOTDATA("Sum of Station Manager",wtroleareapivot!$A$3,"ReportingLevel","1:LA","lvl","South Ayrshire")</f>
        <v>0</v>
      </c>
      <c r="G39" s="682">
        <f>GETPIVOTDATA("Sum of Watch Manager",wtroleareapivot!$A$3,"ReportingLevel","1:LA","lvl","South Ayrshire")</f>
        <v>6</v>
      </c>
      <c r="H39" s="682">
        <f>GETPIVOTDATA("Sum of Crew Manager",wtroleareapivot!$A$3,"ReportingLevel","1:LA","lvl","South Ayrshire")</f>
        <v>10</v>
      </c>
      <c r="I39" s="682">
        <f>GETPIVOTDATA("Sum of Firefighter",wtroleareapivot!$A$3,"ReportingLevel","1:LA","lvl","South Ayrshire")</f>
        <v>36</v>
      </c>
      <c r="J39" s="66">
        <f t="shared" si="1"/>
        <v>52</v>
      </c>
    </row>
    <row r="40" spans="1:10" x14ac:dyDescent="0.25">
      <c r="A40" s="89" t="s">
        <v>283</v>
      </c>
      <c r="B40" s="48" t="s">
        <v>57</v>
      </c>
      <c r="C40" s="690">
        <f>GETPIVOTDATA("Sum of Brigade Manager",wtroleareapivot!$A$3,"ReportingLevel","1:LA","lvl","South Lanarkshire")</f>
        <v>0</v>
      </c>
      <c r="D40" s="690">
        <f>GETPIVOTDATA("Sum of Area Manager",wtroleareapivot!$A$3,"ReportingLevel","1:LA","lvl","South Lanarkshire")</f>
        <v>0</v>
      </c>
      <c r="E40" s="690">
        <f>GETPIVOTDATA("Sum of Group Manager",wtroleareapivot!$A$3,"ReportingLevel","1:LA","lvl","South Lanarkshire")</f>
        <v>0</v>
      </c>
      <c r="F40" s="690">
        <f>GETPIVOTDATA("Sum of Station Manager",wtroleareapivot!$A$3,"ReportingLevel","1:LA","lvl","South Lanarkshire")</f>
        <v>0</v>
      </c>
      <c r="G40" s="682">
        <f>GETPIVOTDATA("Sum of Watch Manager",wtroleareapivot!$A$3,"ReportingLevel","1:LA","lvl","South Lanarkshire")</f>
        <v>20</v>
      </c>
      <c r="H40" s="682">
        <f>GETPIVOTDATA("Sum of Crew Manager",wtroleareapivot!$A$3,"ReportingLevel","1:LA","lvl","South Lanarkshire")</f>
        <v>30</v>
      </c>
      <c r="I40" s="682">
        <f>GETPIVOTDATA("Sum of Firefighter",wtroleareapivot!$A$3,"ReportingLevel","1:LA","lvl","South Lanarkshire")</f>
        <v>111</v>
      </c>
      <c r="J40" s="66">
        <f t="shared" si="1"/>
        <v>161</v>
      </c>
    </row>
    <row r="41" spans="1:10" x14ac:dyDescent="0.25">
      <c r="A41" s="89" t="s">
        <v>284</v>
      </c>
      <c r="B41" s="48" t="s">
        <v>58</v>
      </c>
      <c r="C41" s="690">
        <f>GETPIVOTDATA("Sum of Brigade Manager",wtroleareapivot!$A$3,"ReportingLevel","1:LA","lvl","Stirling")</f>
        <v>0</v>
      </c>
      <c r="D41" s="690">
        <f>GETPIVOTDATA("Sum of Area Manager",wtroleareapivot!$A$3,"ReportingLevel","1:LA","lvl","Stirling")</f>
        <v>0</v>
      </c>
      <c r="E41" s="690">
        <f>GETPIVOTDATA("Sum of Group Manager",wtroleareapivot!$A$3,"ReportingLevel","1:LA","lvl","Stirling")</f>
        <v>0</v>
      </c>
      <c r="F41" s="690">
        <f>GETPIVOTDATA("Sum of Station Manager",wtroleareapivot!$A$3,"ReportingLevel","1:LA","lvl","Stirling")</f>
        <v>0</v>
      </c>
      <c r="G41" s="682">
        <f>GETPIVOTDATA("Sum of Watch Manager",wtroleareapivot!$A$3,"ReportingLevel","1:LA","lvl","Stirling")</f>
        <v>5</v>
      </c>
      <c r="H41" s="682">
        <f>GETPIVOTDATA("Sum of Crew Manager",wtroleareapivot!$A$3,"ReportingLevel","1:LA","lvl","Stirling")</f>
        <v>10</v>
      </c>
      <c r="I41" s="682">
        <f>GETPIVOTDATA("Sum of Firefighter",wtroleareapivot!$A$3,"ReportingLevel","1:LA","lvl","Stirling")</f>
        <v>34</v>
      </c>
      <c r="J41" s="66">
        <f t="shared" si="1"/>
        <v>49</v>
      </c>
    </row>
    <row r="42" spans="1:10" x14ac:dyDescent="0.25">
      <c r="A42" s="89" t="s">
        <v>290</v>
      </c>
      <c r="B42" s="48" t="s">
        <v>59</v>
      </c>
      <c r="C42" s="690">
        <f>GETPIVOTDATA("Sum of Brigade Manager",wtroleareapivot!$A$3,"ReportingLevel","1:LA","lvl","West Dunbartonshire")</f>
        <v>0</v>
      </c>
      <c r="D42" s="690">
        <f>GETPIVOTDATA("Sum of Area Manager",wtroleareapivot!$A$3,"ReportingLevel","1:LA","lvl","West Dunbartonshire")</f>
        <v>0</v>
      </c>
      <c r="E42" s="690">
        <f>GETPIVOTDATA("Sum of Group Manager",wtroleareapivot!$A$3,"ReportingLevel","1:LA","lvl","West Dunbartonshire")</f>
        <v>0</v>
      </c>
      <c r="F42" s="690">
        <f>GETPIVOTDATA("Sum of Station Manager",wtroleareapivot!$A$3,"ReportingLevel","1:LA","lvl","West Dunbartonshire")</f>
        <v>0</v>
      </c>
      <c r="G42" s="682">
        <f>GETPIVOTDATA("Sum of Watch Manager",wtroleareapivot!$A$3,"ReportingLevel","1:LA","lvl","West Dunbartonshire")</f>
        <v>11</v>
      </c>
      <c r="H42" s="682">
        <f>GETPIVOTDATA("Sum of Crew Manager",wtroleareapivot!$A$3,"ReportingLevel","1:LA","lvl","West Dunbartonshire")</f>
        <v>13</v>
      </c>
      <c r="I42" s="682">
        <f>GETPIVOTDATA("Sum of Firefighter",wtroleareapivot!$A$3,"ReportingLevel","1:LA","lvl","West Dunbartonshire")</f>
        <v>51</v>
      </c>
      <c r="J42" s="66">
        <f t="shared" si="1"/>
        <v>75</v>
      </c>
    </row>
    <row r="43" spans="1:10" x14ac:dyDescent="0.25">
      <c r="A43" s="89" t="s">
        <v>291</v>
      </c>
      <c r="B43" s="48" t="s">
        <v>60</v>
      </c>
      <c r="C43" s="690">
        <f>GETPIVOTDATA("Sum of Brigade Manager",wtroleareapivot!$A$3,"ReportingLevel","1:LA","lvl","West Lothian")</f>
        <v>0</v>
      </c>
      <c r="D43" s="690">
        <f>GETPIVOTDATA("Sum of Area Manager",wtroleareapivot!$A$3,"ReportingLevel","1:LA","lvl","West Lothian")</f>
        <v>0</v>
      </c>
      <c r="E43" s="690">
        <f>GETPIVOTDATA("Sum of Group Manager",wtroleareapivot!$A$3,"ReportingLevel","1:LA","lvl","West Lothian")</f>
        <v>0</v>
      </c>
      <c r="F43" s="690">
        <f>GETPIVOTDATA("Sum of Station Manager",wtroleareapivot!$A$3,"ReportingLevel","1:LA","lvl","West Lothian")</f>
        <v>0</v>
      </c>
      <c r="G43" s="682">
        <f>GETPIVOTDATA("Sum of Watch Manager",wtroleareapivot!$A$3,"ReportingLevel","1:LA","lvl","West Lothian")</f>
        <v>13</v>
      </c>
      <c r="H43" s="682">
        <f>GETPIVOTDATA("Sum of Crew Manager",wtroleareapivot!$A$3,"ReportingLevel","1:LA","lvl","West Lothian")</f>
        <v>11</v>
      </c>
      <c r="I43" s="682">
        <f>GETPIVOTDATA("Sum of Firefighter",wtroleareapivot!$A$3,"ReportingLevel","1:LA","lvl","West Lothian")</f>
        <v>39</v>
      </c>
      <c r="J43" s="66">
        <f t="shared" si="1"/>
        <v>63</v>
      </c>
    </row>
    <row r="44" spans="1:10" ht="19.5" customHeight="1" thickBot="1" x14ac:dyDescent="0.3">
      <c r="A44" s="52"/>
      <c r="B44" s="52" t="s">
        <v>61</v>
      </c>
      <c r="C44" s="445">
        <f t="shared" ref="C44:J44" si="2">SUM(C12:C43)</f>
        <v>0</v>
      </c>
      <c r="D44" s="445">
        <f t="shared" si="2"/>
        <v>0</v>
      </c>
      <c r="E44" s="445">
        <f t="shared" si="2"/>
        <v>0</v>
      </c>
      <c r="F44" s="445">
        <f t="shared" si="2"/>
        <v>0</v>
      </c>
      <c r="G44" s="643">
        <f t="shared" si="2"/>
        <v>408</v>
      </c>
      <c r="H44" s="643">
        <f t="shared" si="2"/>
        <v>569</v>
      </c>
      <c r="I44" s="643">
        <f t="shared" si="2"/>
        <v>1893</v>
      </c>
      <c r="J44" s="643">
        <f t="shared" si="2"/>
        <v>2870</v>
      </c>
    </row>
    <row r="45" spans="1:10" x14ac:dyDescent="0.25">
      <c r="A45" s="48"/>
      <c r="B45" s="48"/>
      <c r="C45" s="71"/>
      <c r="D45" s="71"/>
      <c r="E45" s="71"/>
      <c r="F45" s="55"/>
      <c r="G45" s="55"/>
      <c r="H45" s="55"/>
      <c r="I45" s="55"/>
      <c r="J45" s="41"/>
    </row>
    <row r="46" spans="1:10" x14ac:dyDescent="0.25">
      <c r="A46" s="54" t="s">
        <v>459</v>
      </c>
      <c r="B46" s="54" t="s">
        <v>62</v>
      </c>
      <c r="C46" s="44"/>
      <c r="D46" s="44"/>
      <c r="E46" s="44"/>
      <c r="F46" s="44"/>
      <c r="G46" s="44"/>
      <c r="H46" s="44"/>
      <c r="I46" s="44"/>
      <c r="J46" s="72"/>
    </row>
    <row r="47" spans="1:10" ht="19.5" customHeight="1" x14ac:dyDescent="0.25">
      <c r="A47" s="399" t="str">
        <f>IF(OR(A9="2021-22", A9 = "2022-23", A9 = "2023-24"), "S39000023", "S39000001")</f>
        <v>S39000023</v>
      </c>
      <c r="B47" s="684" t="str">
        <f>IF(OR(A9="2021-22", A9 = "2022-23", A9 = "2023-24"), "Abderdeen City, Aberdeenshire and Moray", "Aberdeen City")</f>
        <v>Abderdeen City, Aberdeenshire and Moray</v>
      </c>
      <c r="C47" s="443">
        <f>IF(OR(A9="2021-22", A9 = "2022-23", A9 = "2023-24"),GETPIVOTDATA("Sum of Brigade Manager",wtroleareapivot!$A$3,"ReportingLevel","2:LSO","lvl","Aberdeen City, Aberdeenshire and Moray"), GETPIVOTDATA("Sum of Brigade Manager",wtroleareapivot!$A$3,"ReportingLevel","2:LSO","lvl","Aberdeen City"))</f>
        <v>0</v>
      </c>
      <c r="D47" s="303">
        <f>IF(OR(A9="2021-22", A9 = "2022-23", A9 = "2023-24"),GETPIVOTDATA("Sum of Area Manager",wtroleareapivot!$A$3,"ReportingLevel","2:LSO","lvl","Aberdeen City, Aberdeenshire and Moray"), GETPIVOTDATA("Sum of Area Manager",wtroleareapivot!$A$3,"ReportingLevel","2:LSO","lvl","Aberdeen City"))</f>
        <v>1</v>
      </c>
      <c r="E47" s="303">
        <f>IF(OR(A9="2021-22", A9 = "2022-23", A9 = "2023-24"),GETPIVOTDATA("Sum of Group Manager",wtroleareapivot!$A$3,"ReportingLevel","2:LSO","lvl","Aberdeen City, Aberdeenshire and Moray"), GETPIVOTDATA("Sum of Group Manager",wtroleareapivot!$A$3,"ReportingLevel","2:LSO","lvl","Aberdeen City"))</f>
        <v>4</v>
      </c>
      <c r="F47" s="303">
        <f>IF(OR(A9="2021-22", A9 = "2022-23", A9 = "2023-24"),GETPIVOTDATA("Sum of Station Manager",wtroleareapivot!$A$3,"ReportingLevel","2:LSO","lvl","Aberdeen City, Aberdeenshire and Moray"), GETPIVOTDATA("Sum of Station Manager",wtroleareapivot!$A$3,"ReportingLevel","2:LSO","lvl","Aberdeen City"))</f>
        <v>11</v>
      </c>
      <c r="G47" s="303">
        <f>IF(OR(A9="2021-22", A9 = "2022-23", A9 = "2023-24"),GETPIVOTDATA("Sum of Watch Manager",wtroleareapivot!$A$3,"ReportingLevel","2:LSO","lvl","Aberdeen City, Aberdeenshire and Moray"), GETPIVOTDATA("Sum of Watch Manager",wtroleareapivot!$A$3,"ReportingLevel","2:LSO","lvl","Aberdeen City"))</f>
        <v>6</v>
      </c>
      <c r="H47" s="303">
        <f>IF(OR(A9="2021-22", A9 = "2022-23", A9 = "2023-24"),GETPIVOTDATA("Sum of Crew Manager",wtroleareapivot!$A$3,"ReportingLevel","2:LSO","lvl","Aberdeen City, Aberdeenshire and Moray"), GETPIVOTDATA("Sum of Crew Manager",wtroleareapivot!$A$3,"ReportingLevel","2:LSO","lvl","Aberdeen City"))</f>
        <v>0</v>
      </c>
      <c r="I47" s="303">
        <f>IF(OR(A9="2021-22", A9 = "2022-23", A9 = "2023-24"),GETPIVOTDATA("Sum of Firefighter",wtroleareapivot!$A$3,"ReportingLevel","2:LSO","lvl","Aberdeen City, Aberdeenshire and Moray"), GETPIVOTDATA("Sum of Firefighter",wtroleareapivot!$A$3,"ReportingLevel","2:LSO","lvl","Aberdeen City"))</f>
        <v>0</v>
      </c>
      <c r="J47" s="67">
        <f t="shared" ref="J47:J63" si="3">SUM(C47:I47)</f>
        <v>22</v>
      </c>
    </row>
    <row r="48" spans="1:10" x14ac:dyDescent="0.25">
      <c r="A48" s="686" t="str">
        <f>IF(OR(A9="2021-22", A9 = "2022-23", A9 = "2023-24"), "", "S39000002")</f>
        <v/>
      </c>
      <c r="B48" s="681" t="str">
        <f>IF(OR(A9="2021-22", A9 = "2022-23", A9 = "2023-24"), "", "Aberdeenshire and Moray")</f>
        <v/>
      </c>
      <c r="C48" s="444" t="str">
        <f>IF(OR(A9="2021-22", A9 = "2022-23", A9 = "2023-24"),"", GETPIVOTDATA("Sum of Brigade Manager",wtroleareapivot!$A$3,"ReportingLevel","2:LSO","lvl","Aberdeenshire and Moray"))</f>
        <v/>
      </c>
      <c r="D48" s="66" t="str">
        <f>IF(OR(A9="2021-22", A9 = "2022-23", A9 = "2023-24"),"", GETPIVOTDATA("Sum of Area Manager",wtroleareapivot!$A$3,"ReportingLevel","2:LSO","lvl","Aberdeenshire and Moray"))</f>
        <v/>
      </c>
      <c r="E48" s="66" t="str">
        <f>IF(OR(A9="2021-22", A9 = "2022-23", A9 = "2023-24"),"", GETPIVOTDATA("Sum of Group Manager",wtroleareapivot!$A$3,"ReportingLevel","2:LSO","lvl","Aberdeenshire and Moray"))</f>
        <v/>
      </c>
      <c r="F48" s="66" t="str">
        <f>IF(OR(A9="2021-22", A9 = "2022-23", A9 = "2023-24"),"", GETPIVOTDATA("Sum of Station Manager",wtroleareapivot!$A$3,"ReportingLevel","2:LSO","lvl","Aberdeenshire and Moray"))</f>
        <v/>
      </c>
      <c r="G48" s="66" t="str">
        <f>IF(OR(A9="2021-22", A9 = "2022-23", A9 = "2023-24"),"", GETPIVOTDATA("Sum of Watch Manager",wtroleareapivot!$A$3,"ReportingLevel","2:LSO","lvl","Aberdeenshire and Moray"))</f>
        <v/>
      </c>
      <c r="H48" s="66" t="str">
        <f>IF(OR(A9="2021-22", A9 = "2022-23", A9 = "2023-24"),"", GETPIVOTDATA("Sum of Crew Manager",wtroleareapivot!$A$3,"ReportingLevel","2:LSO","lvl","Aberdeenshire and Moray"))</f>
        <v/>
      </c>
      <c r="I48" s="66" t="str">
        <f>IF(OR(A9="2021-22", A9 = "2022-23", A9 = "2023-24"),"", GETPIVOTDATA("Sum of Firefighter",wtroleareapivot!$A$3,"ReportingLevel","2:LSO","lvl","Aberdeenshire and Moray"))</f>
        <v/>
      </c>
      <c r="J48" s="67">
        <f t="shared" si="3"/>
        <v>0</v>
      </c>
    </row>
    <row r="49" spans="1:10" x14ac:dyDescent="0.25">
      <c r="A49" s="686" t="s">
        <v>337</v>
      </c>
      <c r="B49" s="681" t="s">
        <v>64</v>
      </c>
      <c r="C49" s="444">
        <f>GETPIVOTDATA("Sum of Brigade Manager",wtroleareapivot!$A$3,"ReportingLevel","2:LSO","lvl","Argyll and Bute, East Dunbartonshire and West Dunbartonshire")</f>
        <v>0</v>
      </c>
      <c r="D49" s="66">
        <f>GETPIVOTDATA("Sum of Area Manager",wtroleareapivot!$A$3,"ReportingLevel","2:LSO","lvl","Argyll and Bute, East Dunbartonshire and West Dunbartonshire")</f>
        <v>1</v>
      </c>
      <c r="E49" s="66">
        <f>GETPIVOTDATA("Sum of Group Manager",wtroleareapivot!$A$3,"ReportingLevel","2:LSO","lvl","Argyll and Bute, East Dunbartonshire and West Dunbartonshire")</f>
        <v>4</v>
      </c>
      <c r="F49" s="66">
        <f>GETPIVOTDATA("Sum of Station Manager",wtroleareapivot!$A$3,"ReportingLevel","2:LSO","lvl","Argyll and Bute, East Dunbartonshire and West Dunbartonshire")</f>
        <v>9</v>
      </c>
      <c r="G49" s="66">
        <f>GETPIVOTDATA("Sum of Watch Manager",wtroleareapivot!$A$3,"ReportingLevel","2:LSO","lvl","Argyll and Bute, East Dunbartonshire and West Dunbartonshire")</f>
        <v>6</v>
      </c>
      <c r="H49" s="66">
        <f>GETPIVOTDATA("Sum of Crew Manager",wtroleareapivot!$A$3,"ReportingLevel","2:LSO","lvl","Argyll and Bute, East Dunbartonshire and West Dunbartonshire")</f>
        <v>6</v>
      </c>
      <c r="I49" s="66">
        <f>GETPIVOTDATA("Sum of Firefighter",wtroleareapivot!$A$3,"ReportingLevel","2:LSO","lvl","Argyll and Bute, East Dunbartonshire and West Dunbartonshire")</f>
        <v>2</v>
      </c>
      <c r="J49" s="67">
        <f t="shared" si="3"/>
        <v>28</v>
      </c>
    </row>
    <row r="50" spans="1:10" x14ac:dyDescent="0.25">
      <c r="A50" s="400" t="s">
        <v>338</v>
      </c>
      <c r="B50" s="681" t="s">
        <v>36</v>
      </c>
      <c r="C50" s="444">
        <f>GETPIVOTDATA("Sum of Brigade Manager",wtroleareapivot!$A$3,"ReportingLevel","2:LSO","lvl","Dumfries and Galloway")</f>
        <v>0</v>
      </c>
      <c r="D50" s="66">
        <f>GETPIVOTDATA("Sum of Area Manager",wtroleareapivot!$A$3,"ReportingLevel","2:LSO","lvl","Dumfries and Galloway")</f>
        <v>1</v>
      </c>
      <c r="E50" s="66">
        <f>GETPIVOTDATA("Sum of Group Manager",wtroleareapivot!$A$3,"ReportingLevel","2:LSO","lvl","Dumfries and Galloway")</f>
        <v>2</v>
      </c>
      <c r="F50" s="66">
        <f>GETPIVOTDATA("Sum of Station Manager",wtroleareapivot!$A$3,"ReportingLevel","2:LSO","lvl","Dumfries and Galloway")</f>
        <v>5</v>
      </c>
      <c r="G50" s="66">
        <f>GETPIVOTDATA("Sum of Watch Manager",wtroleareapivot!$A$3,"ReportingLevel","2:LSO","lvl","Dumfries and Galloway")</f>
        <v>7</v>
      </c>
      <c r="H50" s="66">
        <f>GETPIVOTDATA("Sum of Crew Manager",wtroleareapivot!$A$3,"ReportingLevel","2:LSO","lvl","Dumfries and Galloway")</f>
        <v>5</v>
      </c>
      <c r="I50" s="66">
        <f>GETPIVOTDATA("Sum of Firefighter",wtroleareapivot!$A$3,"ReportingLevel","2:LSO","lvl","Dumfries and Galloway")</f>
        <v>2</v>
      </c>
      <c r="J50" s="67">
        <f t="shared" si="3"/>
        <v>22</v>
      </c>
    </row>
    <row r="51" spans="1:10" x14ac:dyDescent="0.25">
      <c r="A51" s="400" t="s">
        <v>336</v>
      </c>
      <c r="B51" s="681" t="s">
        <v>65</v>
      </c>
      <c r="C51" s="444">
        <f>GETPIVOTDATA("Sum of Brigade Manager",wtroleareapivot!$A$3,"ReportingLevel","2:LSO","lvl","Dundee, Angus, Perth and Kinross")</f>
        <v>0</v>
      </c>
      <c r="D51" s="66">
        <f>GETPIVOTDATA("Sum of Area Manager",wtroleareapivot!$A$3,"ReportingLevel","2:LSO","lvl","Dundee, Angus, Perth and Kinross")</f>
        <v>2</v>
      </c>
      <c r="E51" s="66">
        <f>GETPIVOTDATA("Sum of Group Manager",wtroleareapivot!$A$3,"ReportingLevel","2:LSO","lvl","Dundee, Angus, Perth and Kinross")</f>
        <v>4</v>
      </c>
      <c r="F51" s="66">
        <f>GETPIVOTDATA("Sum of Station Manager",wtroleareapivot!$A$3,"ReportingLevel","2:LSO","lvl","Dundee, Angus, Perth and Kinross")</f>
        <v>8</v>
      </c>
      <c r="G51" s="66">
        <f>GETPIVOTDATA("Sum of Watch Manager",wtroleareapivot!$A$3,"ReportingLevel","2:LSO","lvl","Dundee, Angus, Perth and Kinross")</f>
        <v>9</v>
      </c>
      <c r="H51" s="66">
        <f>GETPIVOTDATA("Sum of Crew Manager",wtroleareapivot!$A$3,"ReportingLevel","2:LSO","lvl","Dundee, Angus, Perth and Kinross")</f>
        <v>0</v>
      </c>
      <c r="I51" s="66">
        <f>GETPIVOTDATA("Sum of Firefighter",wtroleareapivot!$A$3,"ReportingLevel","2:LSO","lvl","Dundee, Angus, Perth and Kinross")</f>
        <v>0</v>
      </c>
      <c r="J51" s="67">
        <f t="shared" si="3"/>
        <v>23</v>
      </c>
    </row>
    <row r="52" spans="1:10" x14ac:dyDescent="0.25">
      <c r="A52" s="400" t="s">
        <v>339</v>
      </c>
      <c r="B52" s="681" t="s">
        <v>66</v>
      </c>
      <c r="C52" s="444">
        <f>GETPIVOTDATA("Sum of Brigade Manager",wtroleareapivot!$A$3,"ReportingLevel","2:LSO","lvl","East Ayrshire, North Ayrshire and South Ayrshire")</f>
        <v>0</v>
      </c>
      <c r="D52" s="66">
        <f>GETPIVOTDATA("Sum of Area Manager",wtroleareapivot!$A$3,"ReportingLevel","2:LSO","lvl","East Ayrshire, North Ayrshire and South Ayrshire")</f>
        <v>1</v>
      </c>
      <c r="E52" s="66">
        <f>GETPIVOTDATA("Sum of Group Manager",wtroleareapivot!$A$3,"ReportingLevel","2:LSO","lvl","East Ayrshire, North Ayrshire and South Ayrshire")</f>
        <v>3</v>
      </c>
      <c r="F52" s="66">
        <f>GETPIVOTDATA("Sum of Station Manager",wtroleareapivot!$A$3,"ReportingLevel","2:LSO","lvl","East Ayrshire, North Ayrshire and South Ayrshire")</f>
        <v>9</v>
      </c>
      <c r="G52" s="66">
        <f>GETPIVOTDATA("Sum of Watch Manager",wtroleareapivot!$A$3,"ReportingLevel","2:LSO","lvl","East Ayrshire, North Ayrshire and South Ayrshire")</f>
        <v>7</v>
      </c>
      <c r="H52" s="66">
        <f>GETPIVOTDATA("Sum of Crew Manager",wtroleareapivot!$A$3,"ReportingLevel","2:LSO","lvl","East Ayrshire, North Ayrshire and South Ayrshire")</f>
        <v>5</v>
      </c>
      <c r="I52" s="66">
        <f>GETPIVOTDATA("Sum of Firefighter",wtroleareapivot!$A$3,"ReportingLevel","2:LSO","lvl","East Ayrshire, North Ayrshire and South Ayrshire")</f>
        <v>0</v>
      </c>
      <c r="J52" s="67">
        <f t="shared" si="3"/>
        <v>25</v>
      </c>
    </row>
    <row r="53" spans="1:10" x14ac:dyDescent="0.25">
      <c r="A53" s="400" t="s">
        <v>340</v>
      </c>
      <c r="B53" s="681" t="s">
        <v>67</v>
      </c>
      <c r="C53" s="444">
        <f>GETPIVOTDATA("Sum of Brigade Manager",wtroleareapivot!$A$3,"ReportingLevel","2:LSO","lvl","East Lothian, Midlothian and the Scottish Borders")</f>
        <v>0</v>
      </c>
      <c r="D53" s="66">
        <f>GETPIVOTDATA("Sum of Area Manager",wtroleareapivot!$A$3,"ReportingLevel","2:LSO","lvl","East Lothian, Midlothian and the Scottish Borders")</f>
        <v>1</v>
      </c>
      <c r="E53" s="66">
        <f>GETPIVOTDATA("Sum of Group Manager",wtroleareapivot!$A$3,"ReportingLevel","2:LSO","lvl","East Lothian, Midlothian and the Scottish Borders")</f>
        <v>3</v>
      </c>
      <c r="F53" s="66">
        <f>GETPIVOTDATA("Sum of Station Manager",wtroleareapivot!$A$3,"ReportingLevel","2:LSO","lvl","East Lothian, Midlothian and the Scottish Borders")</f>
        <v>6</v>
      </c>
      <c r="G53" s="66">
        <f>GETPIVOTDATA("Sum of Watch Manager",wtroleareapivot!$A$3,"ReportingLevel","2:LSO","lvl","East Lothian, Midlothian and the Scottish Borders")</f>
        <v>9</v>
      </c>
      <c r="H53" s="66">
        <f>GETPIVOTDATA("Sum of Crew Manager",wtroleareapivot!$A$3,"ReportingLevel","2:LSO","lvl","East Lothian, Midlothian and the Scottish Borders")</f>
        <v>3</v>
      </c>
      <c r="I53" s="66">
        <f>GETPIVOTDATA("Sum of Firefighter",wtroleareapivot!$A$3,"ReportingLevel","2:LSO","lvl","East Lothian, Midlothian and the Scottish Borders")</f>
        <v>4</v>
      </c>
      <c r="J53" s="67">
        <f t="shared" si="3"/>
        <v>26</v>
      </c>
    </row>
    <row r="54" spans="1:10" x14ac:dyDescent="0.25">
      <c r="A54" s="343" t="s">
        <v>341</v>
      </c>
      <c r="B54" s="681" t="s">
        <v>68</v>
      </c>
      <c r="C54" s="444">
        <f>GETPIVOTDATA("Sum of Brigade Manager",wtroleareapivot!$A$3,"ReportingLevel","2:LSO","lvl","East Renfrewshire, Renfrewshire and Inverclyde")</f>
        <v>0</v>
      </c>
      <c r="D54" s="66">
        <f>GETPIVOTDATA("Sum of Area Manager",wtroleareapivot!$A$3,"ReportingLevel","2:LSO","lvl","East Renfrewshire, Renfrewshire and Inverclyde")</f>
        <v>1</v>
      </c>
      <c r="E54" s="66">
        <f>GETPIVOTDATA("Sum of Group Manager",wtroleareapivot!$A$3,"ReportingLevel","2:LSO","lvl","East Renfrewshire, Renfrewshire and Inverclyde")</f>
        <v>3</v>
      </c>
      <c r="F54" s="66">
        <f>GETPIVOTDATA("Sum of Station Manager",wtroleareapivot!$A$3,"ReportingLevel","2:LSO","lvl","East Renfrewshire, Renfrewshire and Inverclyde")</f>
        <v>6</v>
      </c>
      <c r="G54" s="66">
        <f>GETPIVOTDATA("Sum of Watch Manager",wtroleareapivot!$A$3,"ReportingLevel","2:LSO","lvl","East Renfrewshire, Renfrewshire and Inverclyde")</f>
        <v>4</v>
      </c>
      <c r="H54" s="66">
        <f>GETPIVOTDATA("Sum of Crew Manager",wtroleareapivot!$A$3,"ReportingLevel","2:LSO","lvl","East Renfrewshire, Renfrewshire and Inverclyde")</f>
        <v>3</v>
      </c>
      <c r="I54" s="66">
        <f>GETPIVOTDATA("Sum of Firefighter",wtroleareapivot!$A$3,"ReportingLevel","2:LSO","lvl","East Renfrewshire, Renfrewshire and Inverclyde")</f>
        <v>1</v>
      </c>
      <c r="J54" s="67">
        <f t="shared" si="3"/>
        <v>18</v>
      </c>
    </row>
    <row r="55" spans="1:10" x14ac:dyDescent="0.25">
      <c r="A55" s="400" t="s">
        <v>342</v>
      </c>
      <c r="B55" s="681" t="s">
        <v>165</v>
      </c>
      <c r="C55" s="444">
        <f>GETPIVOTDATA("Sum of Brigade Manager",wtroleareapivot!$A$3,"ReportingLevel","2:LSO","lvl","Edinburgh City")</f>
        <v>0</v>
      </c>
      <c r="D55" s="66">
        <f>GETPIVOTDATA("Sum of Area Manager",wtroleareapivot!$A$3,"ReportingLevel","2:LSO","lvl","Edinburgh City")</f>
        <v>1</v>
      </c>
      <c r="E55" s="66">
        <f>GETPIVOTDATA("Sum of Group Manager",wtroleareapivot!$A$3,"ReportingLevel","2:LSO","lvl","Edinburgh City")</f>
        <v>3</v>
      </c>
      <c r="F55" s="66">
        <f>GETPIVOTDATA("Sum of Station Manager",wtroleareapivot!$A$3,"ReportingLevel","2:LSO","lvl","Edinburgh City")</f>
        <v>7</v>
      </c>
      <c r="G55" s="66">
        <f>GETPIVOTDATA("Sum of Watch Manager",wtroleareapivot!$A$3,"ReportingLevel","2:LSO","lvl","Edinburgh City")</f>
        <v>9</v>
      </c>
      <c r="H55" s="66">
        <f>GETPIVOTDATA("Sum of Crew Manager",wtroleareapivot!$A$3,"ReportingLevel","2:LSO","lvl","Edinburgh City")</f>
        <v>4</v>
      </c>
      <c r="I55" s="66">
        <f>GETPIVOTDATA("Sum of Firefighter",wtroleareapivot!$A$3,"ReportingLevel","2:LSO","lvl","Edinburgh City")</f>
        <v>3</v>
      </c>
      <c r="J55" s="67">
        <f t="shared" si="3"/>
        <v>27</v>
      </c>
    </row>
    <row r="56" spans="1:10" x14ac:dyDescent="0.25">
      <c r="A56" s="400" t="s">
        <v>343</v>
      </c>
      <c r="B56" s="681" t="s">
        <v>69</v>
      </c>
      <c r="C56" s="444">
        <f>GETPIVOTDATA("Sum of Brigade Manager",wtroleareapivot!$A$3,"ReportingLevel","2:LSO","lvl","Falkirk and West Lothian")</f>
        <v>0</v>
      </c>
      <c r="D56" s="66">
        <f>GETPIVOTDATA("Sum of Area Manager",wtroleareapivot!$A$3,"ReportingLevel","2:LSO","lvl","Falkirk and West Lothian")</f>
        <v>1</v>
      </c>
      <c r="E56" s="66">
        <f>GETPIVOTDATA("Sum of Group Manager",wtroleareapivot!$A$3,"ReportingLevel","2:LSO","lvl","Falkirk and West Lothian")</f>
        <v>2</v>
      </c>
      <c r="F56" s="66">
        <f>GETPIVOTDATA("Sum of Station Manager",wtroleareapivot!$A$3,"ReportingLevel","2:LSO","lvl","Falkirk and West Lothian")</f>
        <v>6</v>
      </c>
      <c r="G56" s="66">
        <f>GETPIVOTDATA("Sum of Watch Manager",wtroleareapivot!$A$3,"ReportingLevel","2:LSO","lvl","Falkirk and West Lothian")</f>
        <v>6</v>
      </c>
      <c r="H56" s="66">
        <f>GETPIVOTDATA("Sum of Crew Manager",wtroleareapivot!$A$3,"ReportingLevel","2:LSO","lvl","Falkirk and West Lothian")</f>
        <v>3</v>
      </c>
      <c r="I56" s="66">
        <f>GETPIVOTDATA("Sum of Firefighter",wtroleareapivot!$A$3,"ReportingLevel","2:LSO","lvl","Falkirk and West Lothian")</f>
        <v>1</v>
      </c>
      <c r="J56" s="67">
        <f t="shared" si="3"/>
        <v>19</v>
      </c>
    </row>
    <row r="57" spans="1:10" x14ac:dyDescent="0.25">
      <c r="A57" s="400" t="str">
        <f>IF(OR(A9 = "2018-19", A9 = "2017-18", A9 = "2016-17", A9 = "2015-16", A9 = "2014-15", A9 = "2013-14"),"S39000019","")</f>
        <v/>
      </c>
      <c r="B57" s="317" t="str">
        <f>IF(OR(A9 = "2018-19", A9 = "2017-18", A9 = "2016-17", A9 = "2015-16", A9 = "2014-15", A9 = "2013-14"), "Fife", "")</f>
        <v/>
      </c>
      <c r="C57" s="444" t="str">
        <f>IF(OR(A9 = "2018-19", A9 = "2017-18", A9 = "2016-17", A9 = "2015-16", A9 = "2014-15", A9 = "2013-14"),GETPIVOTDATA("Sum of Brigade Manager",wtroleareapivot!$A$3,"ReportingLevel","2:LSO","lvl","Fife"), "")</f>
        <v/>
      </c>
      <c r="D57" s="66" t="str">
        <f>IF(OR(A9 = "2018-19", A9 = "2017-18", A9 = "2016-17", A9 = "2015-16", A9 = "2014-15", A9 = "2013-14"),GETPIVOTDATA("Sum of Area Manager",wtroleareapivot!$A$3,"ReportingLevel","2:LSO","lvl","Fife"), "")</f>
        <v/>
      </c>
      <c r="E57" s="66" t="str">
        <f>IF(OR(A9 = "2018-19", A9 = "2017-18", A9 = "2016-17", A9 = "2015-16", A9 = "2014-15", A9 = "2013-14"),GETPIVOTDATA("Sum of Group Manager",wtroleareapivot!$A$3,"ReportingLevel","2:LSO","lvl","Fife"), "")</f>
        <v/>
      </c>
      <c r="F57" s="66" t="str">
        <f>IF(OR(A9 = "2018-19", A9 = "2017-18", A9 = "2016-17", A9 = "2015-16", A9 = "2014-15", A9 = "2013-14"),GETPIVOTDATA("Sum of Station Manager",wtroleareapivot!$A$3,"ReportingLevel","2:LSO","lvl","Fife"), "")</f>
        <v/>
      </c>
      <c r="G57" s="66" t="str">
        <f>IF(OR(A9 = "2018-19", A9 = "2017-18", A9 = "2016-17", A9 = "2015-16", A9 = "2014-15", A9 = "2013-14"),GETPIVOTDATA("Sum of Watch Manager",wtroleareapivot!$A$3,"ReportingLevel","2:LSO","lvl","Fife"), "")</f>
        <v/>
      </c>
      <c r="H57" s="66" t="str">
        <f>IF(OR(A9 = "2018-19", A9 = "2017-18", A9 = "2016-17", A9 = "2015-16", A9 = "2014-15", A9 = "2013-14"),GETPIVOTDATA("Sum of Crew Manager",wtroleareapivot!$A$3,"ReportingLevel","2:LSO","lvl","Fife"), "")</f>
        <v/>
      </c>
      <c r="I57" s="66" t="str">
        <f>IF(OR(A9 = "2018-19", A9 = "2017-18", A9 = "2016-17", A9 = "2015-16", A9 = "2014-15", A9 = "2013-14"),GETPIVOTDATA("Sum of Firefighter",wtroleareapivot!$A$3,"ReportingLevel","2:LSO","lvl","Fife"), "")</f>
        <v/>
      </c>
      <c r="J57" s="67">
        <f t="shared" si="3"/>
        <v>0</v>
      </c>
    </row>
    <row r="58" spans="1:10" x14ac:dyDescent="0.25">
      <c r="A58" s="400" t="str">
        <f>IF(A9="2018-19","S39000012","S39000020")</f>
        <v>S39000020</v>
      </c>
      <c r="B58" s="681" t="s">
        <v>117</v>
      </c>
      <c r="C58" s="444">
        <f>GETPIVOTDATA("Sum of Brigade Manager",wtroleareapivot!$A$3,"ReportingLevel","2:LSO","lvl","Glasgow City")</f>
        <v>0</v>
      </c>
      <c r="D58" s="66">
        <f>GETPIVOTDATA("Sum of Area Manager",wtroleareapivot!$A$3,"ReportingLevel","2:LSO","lvl","Glasgow City")</f>
        <v>1</v>
      </c>
      <c r="E58" s="66">
        <f>GETPIVOTDATA("Sum of Group Manager",wtroleareapivot!$A$3,"ReportingLevel","2:LSO","lvl","Glasgow City")</f>
        <v>4</v>
      </c>
      <c r="F58" s="66">
        <f>GETPIVOTDATA("Sum of Station Manager",wtroleareapivot!$A$3,"ReportingLevel","2:LSO","lvl","Glasgow City")</f>
        <v>8</v>
      </c>
      <c r="G58" s="66">
        <f>GETPIVOTDATA("Sum of Watch Manager",wtroleareapivot!$A$3,"ReportingLevel","2:LSO","lvl","Glasgow City")</f>
        <v>7</v>
      </c>
      <c r="H58" s="66">
        <f>GETPIVOTDATA("Sum of Crew Manager",wtroleareapivot!$A$3,"ReportingLevel","2:LSO","lvl","Glasgow City")</f>
        <v>2</v>
      </c>
      <c r="I58" s="66">
        <f>GETPIVOTDATA("Sum of Firefighter",wtroleareapivot!$A$3,"ReportingLevel","2:LSO","lvl","Glasgow City")</f>
        <v>1</v>
      </c>
      <c r="J58" s="67">
        <f t="shared" si="3"/>
        <v>23</v>
      </c>
    </row>
    <row r="59" spans="1:10" x14ac:dyDescent="0.25">
      <c r="A59" s="400" t="s">
        <v>344</v>
      </c>
      <c r="B59" s="681" t="s">
        <v>70</v>
      </c>
      <c r="C59" s="444">
        <f>GETPIVOTDATA("Sum of Brigade Manager",wtroleareapivot!$A$3,"ReportingLevel","2:LSO","lvl","Highlands")</f>
        <v>0</v>
      </c>
      <c r="D59" s="66">
        <f>GETPIVOTDATA("Sum of Area Manager",wtroleareapivot!$A$3,"ReportingLevel","2:LSO","lvl","Highlands")</f>
        <v>1</v>
      </c>
      <c r="E59" s="66">
        <f>GETPIVOTDATA("Sum of Group Manager",wtroleareapivot!$A$3,"ReportingLevel","2:LSO","lvl","Highlands")</f>
        <v>4</v>
      </c>
      <c r="F59" s="66">
        <f>GETPIVOTDATA("Sum of Station Manager",wtroleareapivot!$A$3,"ReportingLevel","2:LSO","lvl","Highlands")</f>
        <v>12</v>
      </c>
      <c r="G59" s="66">
        <f>GETPIVOTDATA("Sum of Watch Manager",wtroleareapivot!$A$3,"ReportingLevel","2:LSO","lvl","Highlands")</f>
        <v>4</v>
      </c>
      <c r="H59" s="66">
        <f>GETPIVOTDATA("Sum of Crew Manager",wtroleareapivot!$A$3,"ReportingLevel","2:LSO","lvl","Highlands")</f>
        <v>1</v>
      </c>
      <c r="I59" s="66">
        <f>GETPIVOTDATA("Sum of Firefighter",wtroleareapivot!$A$3,"ReportingLevel","2:LSO","lvl","Highlands")</f>
        <v>1</v>
      </c>
      <c r="J59" s="67">
        <f t="shared" si="3"/>
        <v>23</v>
      </c>
    </row>
    <row r="60" spans="1:10" x14ac:dyDescent="0.25">
      <c r="A60" s="400" t="str">
        <f>IF(OR(A9="2021-22", A9 = "2022-23"),"S39000014","S39000021")</f>
        <v>S39000021</v>
      </c>
      <c r="B60" s="681" t="str">
        <f>IF(OR(A9="2021-22", A9 = "2022-23", A9 = "2023-24"), "Lanarkshire", "North Lanarkshire")</f>
        <v>Lanarkshire</v>
      </c>
      <c r="C60" s="444">
        <f>IF(OR(A9="2021-22", A9 = "2022-23", A9 = "2023-24"), GETPIVOTDATA("Sum of Brigade Manager",wtroleareapivot!$A$3,"ReportingLevel","2:LSO","lvl","Lanarkshire"), GETPIVOTDATA("Sum of Brigade Manager",wtroleareapivot!$A$3,"ReportingLevel","2:LSO","lvl","North Lanarkshire"))</f>
        <v>0</v>
      </c>
      <c r="D60" s="66">
        <f>IF(OR(A9="2021-22", A9 = "2022-23", A9 = "2023-24"), GETPIVOTDATA("Sum of Area Manager",wtroleareapivot!$A$3,"ReportingLevel","2:LSO","lvl","Lanarkshire"), GETPIVOTDATA("Sum of Area Manager",wtroleareapivot!$A$3,"ReportingLevel","2:LSO","lvl","North Lanarkshire"))</f>
        <v>1</v>
      </c>
      <c r="E60" s="66">
        <f>IF(OR(A9="2021-22", A9 = "2022-23", A9 = "2023-24"), GETPIVOTDATA("Sum of Group Manager",wtroleareapivot!$A$3,"ReportingLevel","2:LSO","lvl","Lanarkshire"), GETPIVOTDATA("Sum of Group Manager",wtroleareapivot!$A$3,"ReportingLevel","2:LSO","lvl","North Lanarkshire"))</f>
        <v>3</v>
      </c>
      <c r="F60" s="66">
        <f>IF(OR(A9="2021-22", A9 = "2022-23", A9 = "2023-24"), GETPIVOTDATA("Sum of Station Manager",wtroleareapivot!$A$3,"ReportingLevel","2:LSO","lvl","Lanarkshire"), GETPIVOTDATA("Sum of Station Manager",wtroleareapivot!$A$3,"ReportingLevel","2:LSO","lvl","North Lanarkshire"))</f>
        <v>10</v>
      </c>
      <c r="G60" s="66">
        <f>IF(OR(A9="2021-22", A9 = "2022-23", A9 = "2023-24"), GETPIVOTDATA("Sum of Watch Manager",wtroleareapivot!$A$3,"ReportingLevel","2:LSO","lvl","Lanarkshire"), GETPIVOTDATA("Sum of Watch Manager",wtroleareapivot!$A$3,"ReportingLevel","2:LSO","lvl","North Lanarkshire"))</f>
        <v>9</v>
      </c>
      <c r="H60" s="66">
        <f>IF(OR(A9="2021-22", A9 = "2022-23", A9 = "2023-24"), GETPIVOTDATA("Sum of Crew Manager",wtroleareapivot!$A$3,"ReportingLevel","2:LSO","lvl","Lanarkshire"), GETPIVOTDATA("Sum of Crew Manager",wtroleareapivot!$A$3,"ReportingLevel","2:LSO","lvl","North Lanarkshire"))</f>
        <v>3</v>
      </c>
      <c r="I60" s="66">
        <f>IF(OR(A9="2021-22", A9 = "2022-23", A9 = "2023-24"), GETPIVOTDATA("Sum of Firefighter",wtroleareapivot!$A$3,"ReportingLevel","2:LSO","lvl","Lanarkshire"), GETPIVOTDATA("Sum of Firefighter",wtroleareapivot!$A$3,"ReportingLevel","2:LSO","lvl","North Lanarkshire"))</f>
        <v>1</v>
      </c>
      <c r="J60" s="67">
        <f t="shared" si="3"/>
        <v>27</v>
      </c>
    </row>
    <row r="61" spans="1:10" x14ac:dyDescent="0.25">
      <c r="A61" s="400" t="str">
        <f>IF(OR(A9="2021-22", A9 = "2022-23", A9 = "2023-24"), "", "S39000015")</f>
        <v/>
      </c>
      <c r="B61" s="681" t="str">
        <f>IF(OR(A9="2021-22", A9 = "2022-23", A9 = "2023-24"),"","South Lanarkshire")</f>
        <v/>
      </c>
      <c r="C61" s="444" t="str">
        <f>IF(OR(A9="2021-22", A9 = "2022-23", A9 = "2023-24"), "",GETPIVOTDATA("Sum of Brigade Manager",wtroleareapivot!$A$3,"ReportingLevel","2:LSO","lvl","South Lanarkshire"))</f>
        <v/>
      </c>
      <c r="D61" s="66" t="str">
        <f>IF(OR(A9="2021-22", A9 = "2022-23", A9 = "2023-24"), "",GETPIVOTDATA("Sum of Area Manager",wtroleareapivot!$A$3,"ReportingLevel","2:LSO","lvl","South Lanarkshire"))</f>
        <v/>
      </c>
      <c r="E61" s="66" t="str">
        <f>IF(OR(A9="2021-22", A9 = "2022-23", A9 = "2023-24"), "",GETPIVOTDATA("Sum of Group Manager",wtroleareapivot!$A$3,"ReportingLevel","2:LSO","lvl","South Lanarkshire"))</f>
        <v/>
      </c>
      <c r="F61" s="66" t="str">
        <f>IF(OR(A9="2021-22", A9 = "2022-23", A9 = "2023-24"), "",GETPIVOTDATA("Sum of Station Manager",wtroleareapivot!$A$3,"ReportingLevel","2:LSO","lvl","South Lanarkshire"))</f>
        <v/>
      </c>
      <c r="G61" s="66" t="str">
        <f>IF(OR(A9="2021-22", A9 = "2022-23", A9 = "2023-24"), "",GETPIVOTDATA("Sum of Watch Manager",wtroleareapivot!$A$3,"ReportingLevel","2:LSO","lvl","South Lanarkshire"))</f>
        <v/>
      </c>
      <c r="H61" s="66" t="str">
        <f>IF(OR(A9="2021-22", A9 = "2022-23", A9 = "2023-24"), "",GETPIVOTDATA("Sum of Crew Manager",wtroleareapivot!$A$3,"ReportingLevel","2:LSO","lvl","South Lanarkshire"))</f>
        <v/>
      </c>
      <c r="I61" s="66" t="str">
        <f>IF(OR(A9="2021-22", A9 = "2022-23", A9 = "2023-24"), "",GETPIVOTDATA("Sum of Firefighter",wtroleareapivot!$A$3,"ReportingLevel","2:LSO","lvl","South Lanarkshire"))</f>
        <v/>
      </c>
      <c r="J61" s="67">
        <f t="shared" si="3"/>
        <v>0</v>
      </c>
    </row>
    <row r="62" spans="1:10" x14ac:dyDescent="0.25">
      <c r="A62" s="400" t="str">
        <f>IF(OR(A9 = "2018-19", A9 = "2017-18", A9 = "2016-17", A9 = "2015-16", A9 = "2014-15", A9 = "2013-14"),"S39000016","S39000022")</f>
        <v>S39000022</v>
      </c>
      <c r="B62" s="593" t="str">
        <f>IF(OR(A9 = "2018-19", A9 = "2017-18", A9 = "2016-17", A9 = "2015-16", A9 = "2014-15", A9 = "2013-14"), "Stirling and Clackmannanshire", "Clackmannanshire, Fife and Stirling")</f>
        <v>Clackmannanshire, Fife and Stirling</v>
      </c>
      <c r="C62" s="444">
        <f>IF(OR(A9 = "2018-19", A9 = "2017-18", A9 = "2016-17", A9 = "2015-16", A9 = "2014-15", A9 = "2013-14"),"", GETPIVOTDATA("Sum of Brigade Manager",wtroleareapivot!$A$3,"ReportingLevel","2:LSO","lvl","Stirling, Clackmannanshire and Fife"))</f>
        <v>0</v>
      </c>
      <c r="D62" s="66">
        <f>IF(OR(A9 = "2018-19", A9 = "2017-18", A9 = "2016-17", A9 = "2015-16", A9 = "2014-15", A9 = "2013-14"),GETPIVOTDATA("Sum of Area Manager",wtroleareapivot!$A$3,"ReportingLevel","2:LSO","lvl","Stirling and Clackmannanshire"), GETPIVOTDATA("Sum of Area Manager",wtroleareapivot!$A$3,"ReportingLevel","2:LSO","lvl","Stirling, Clackmannanshire and Fife"))</f>
        <v>1</v>
      </c>
      <c r="E62" s="66">
        <f>IF(OR(A9 = "2018-19", A9 = "2017-18", A9 = "2016-17", A9 = "2015-16", A9 = "2014-15", A9 = "2013-14"),GETPIVOTDATA("Sum of Group Manager",wtroleareapivot!$A$3,"ReportingLevel","2:LSO","lvl","Stirling and Clackmannanshire"), GETPIVOTDATA("Sum of Group Manager",wtroleareapivot!$A$3,"ReportingLevel","2:LSO","lvl","Stirling, Clackmannanshire and Fife"))</f>
        <v>4</v>
      </c>
      <c r="F62" s="66">
        <f>IF(OR(A9 = "2018-19", A9 = "2017-18", A9 = "2016-17", A9 = "2015-16", A9 = "2014-15", A9 = "2013-14"),GETPIVOTDATA("Sum of Station Manager",wtroleareapivot!$A$3,"ReportingLevel","2:LSO","lvl","Stirling and Clackmannanshire"), GETPIVOTDATA("Sum of Station Manager",wtroleareapivot!$A$3,"ReportingLevel","2:LSO","lvl","Stirling, Clackmannanshire and Fife"))</f>
        <v>9</v>
      </c>
      <c r="G62" s="66">
        <f>IF(OR(A9 = "2018-19", A9 = "2017-18", A9 = "2016-17", A9 = "2015-16", A9 = "2014-15", A9 = "2013-14"),GETPIVOTDATA("Sum of Watch Manager",wtroleareapivot!$A$3,"ReportingLevel","2:LSO","lvl","Stirling and Clackmannanshire"), GETPIVOTDATA("Sum of Watch Manager",wtroleareapivot!$A$3,"ReportingLevel","2:LSO","lvl","Stirling, Clackmannanshire and Fife"))</f>
        <v>10</v>
      </c>
      <c r="H62" s="66">
        <f>IF(OR(A9 = "2018-19", A9 = "2017-18", A9 = "2016-17", A9 = "2015-16", A9 = "2014-15", A9 = "2013-14"),GETPIVOTDATA("Sum of Crew Manager",wtroleareapivot!$A$3,"ReportingLevel","2:LSO","lvl","Stirling and Clackmannanshire"), GETPIVOTDATA("Sum of Crew Manager",wtroleareapivot!$A$3,"ReportingLevel","2:LSO","lvl","Stirling, Clackmannanshire and Fife"))</f>
        <v>7</v>
      </c>
      <c r="I62" s="66">
        <f>IF(OR(A9 = "2018-19", A9 = "2017-18", A9 = "2016-17", A9 = "2015-16", A9 = "2014-15", A9 = "2013-14"),GETPIVOTDATA("Sum of Firefighter",wtroleareapivot!$A$3,"ReportingLevel","2:LSO","lvl","Stirling and Clackmannanshire"), GETPIVOTDATA("Sum of Firefighter",wtroleareapivot!$A$3,"ReportingLevel","2:LSO","lvl","Stirling, Clackmannanshire and Fife"))</f>
        <v>2</v>
      </c>
      <c r="J62" s="67">
        <f t="shared" si="3"/>
        <v>33</v>
      </c>
    </row>
    <row r="63" spans="1:10" x14ac:dyDescent="0.25">
      <c r="A63" s="400" t="s">
        <v>346</v>
      </c>
      <c r="B63" s="681" t="s">
        <v>71</v>
      </c>
      <c r="C63" s="444">
        <f>GETPIVOTDATA("Sum of Brigade Manager",wtroleareapivot!$A$3,"ReportingLevel","2:LSO","lvl","Western Isles, Orkney and Shetland Islands")</f>
        <v>0</v>
      </c>
      <c r="D63" s="66">
        <f>GETPIVOTDATA("Sum of Area Manager",wtroleareapivot!$A$3,"ReportingLevel","2:LSO","lvl","Western Isles, Orkney and Shetland Islands")</f>
        <v>1</v>
      </c>
      <c r="E63" s="66">
        <f>GETPIVOTDATA("Sum of Group Manager",wtroleareapivot!$A$3,"ReportingLevel","2:LSO","lvl","Western Isles, Orkney and Shetland Islands")</f>
        <v>4</v>
      </c>
      <c r="F63" s="66">
        <f>GETPIVOTDATA("Sum of Station Manager",wtroleareapivot!$A$3,"ReportingLevel","2:LSO","lvl","Western Isles, Orkney and Shetland Islands")</f>
        <v>6</v>
      </c>
      <c r="G63" s="66">
        <f>GETPIVOTDATA("Sum of Watch Manager",wtroleareapivot!$A$3,"ReportingLevel","2:LSO","lvl","Western Isles, Orkney and Shetland Islands")</f>
        <v>0</v>
      </c>
      <c r="H63" s="66">
        <f>GETPIVOTDATA("Sum of Crew Manager",wtroleareapivot!$A$3,"ReportingLevel","2:LSO","lvl","Western Isles, Orkney and Shetland Islands")</f>
        <v>0</v>
      </c>
      <c r="I63" s="66">
        <f>GETPIVOTDATA("Sum of Firefighter",wtroleareapivot!$A$3,"ReportingLevel","2:LSO","lvl","Western Isles, Orkney and Shetland Islands")</f>
        <v>0</v>
      </c>
      <c r="J63" s="67">
        <f t="shared" si="3"/>
        <v>11</v>
      </c>
    </row>
    <row r="64" spans="1:10" ht="18" customHeight="1" thickBot="1" x14ac:dyDescent="0.3">
      <c r="A64" s="58"/>
      <c r="B64" s="58" t="s">
        <v>72</v>
      </c>
      <c r="C64" s="445">
        <f t="shared" ref="C64:J64" si="4">SUM(C47:C63)</f>
        <v>0</v>
      </c>
      <c r="D64" s="70">
        <f t="shared" si="4"/>
        <v>15</v>
      </c>
      <c r="E64" s="70">
        <f t="shared" si="4"/>
        <v>47</v>
      </c>
      <c r="F64" s="70">
        <f t="shared" si="4"/>
        <v>112</v>
      </c>
      <c r="G64" s="70">
        <f t="shared" si="4"/>
        <v>93</v>
      </c>
      <c r="H64" s="70">
        <f t="shared" si="4"/>
        <v>42</v>
      </c>
      <c r="I64" s="70">
        <f t="shared" si="4"/>
        <v>18</v>
      </c>
      <c r="J64" s="70">
        <f t="shared" si="4"/>
        <v>327</v>
      </c>
    </row>
    <row r="65" spans="1:12" x14ac:dyDescent="0.25">
      <c r="A65" s="48"/>
      <c r="B65" s="48"/>
      <c r="C65" s="74"/>
      <c r="D65" s="41"/>
      <c r="E65" s="41"/>
      <c r="F65" s="41"/>
      <c r="G65" s="41"/>
      <c r="H65" s="41"/>
      <c r="I65" s="41"/>
      <c r="J65" s="41"/>
    </row>
    <row r="66" spans="1:12" x14ac:dyDescent="0.25">
      <c r="A66" s="36" t="s">
        <v>333</v>
      </c>
      <c r="B66" s="36" t="s">
        <v>15</v>
      </c>
      <c r="C66" s="43"/>
      <c r="D66" s="43"/>
      <c r="E66" s="43"/>
      <c r="F66" s="43"/>
      <c r="G66" s="43"/>
      <c r="H66" s="43"/>
      <c r="I66" s="43"/>
      <c r="J66" s="75"/>
    </row>
    <row r="67" spans="1:12" ht="21" customHeight="1" x14ac:dyDescent="0.25">
      <c r="A67" s="490" t="s">
        <v>361</v>
      </c>
      <c r="B67" s="60" t="s">
        <v>164</v>
      </c>
      <c r="C67" s="444">
        <f>GETPIVOTDATA("Sum of Brigade Manager",wtroleareapivot!$A$3,"ReportingLevel","3:SDA","lvl","East")</f>
        <v>0</v>
      </c>
      <c r="D67" s="66">
        <f>GETPIVOTDATA("Sum of Area Manager",wtroleareapivot!$A$3,"ReportingLevel","3:SDA","lvl","East")</f>
        <v>1</v>
      </c>
      <c r="E67" s="66">
        <f>GETPIVOTDATA("Sum of Group Manager",wtroleareapivot!$A$3,"ReportingLevel","3:SDA","lvl","East")</f>
        <v>2</v>
      </c>
      <c r="F67" s="66">
        <f>GETPIVOTDATA("Sum of Station Manager",wtroleareapivot!$A$3,"ReportingLevel","3:SDA","lvl","East")</f>
        <v>5</v>
      </c>
      <c r="G67" s="66">
        <f>GETPIVOTDATA("Sum of Watch Manager",wtroleareapivot!$A$3,"ReportingLevel","3:SDA","lvl","East")</f>
        <v>18</v>
      </c>
      <c r="H67" s="66">
        <f>GETPIVOTDATA("Sum of Crew Manager",wtroleareapivot!$A$3,"ReportingLevel","3:SDA","lvl","East")</f>
        <v>3</v>
      </c>
      <c r="I67" s="66">
        <f>GETPIVOTDATA("Sum of Firefighter",wtroleareapivot!$A$3,"ReportingLevel","3:SDA","lvl","East")</f>
        <v>0</v>
      </c>
      <c r="J67" s="67">
        <f>SUM(C67:I67)</f>
        <v>29</v>
      </c>
    </row>
    <row r="68" spans="1:12" x14ac:dyDescent="0.25">
      <c r="A68" s="50" t="s">
        <v>363</v>
      </c>
      <c r="B68" s="48" t="s">
        <v>162</v>
      </c>
      <c r="C68" s="444">
        <f>GETPIVOTDATA("Sum of Brigade Manager",wtroleareapivot!$A$3,"ReportingLevel","3:SDA","lvl","North")</f>
        <v>0</v>
      </c>
      <c r="D68" s="66">
        <f>GETPIVOTDATA("Sum of Area Manager",wtroleareapivot!$A$3,"ReportingLevel","3:SDA","lvl","North")</f>
        <v>2</v>
      </c>
      <c r="E68" s="66">
        <f>GETPIVOTDATA("Sum of Group Manager",wtroleareapivot!$A$3,"ReportingLevel","3:SDA","lvl","North")</f>
        <v>2</v>
      </c>
      <c r="F68" s="66">
        <f>GETPIVOTDATA("Sum of Station Manager",wtroleareapivot!$A$3,"ReportingLevel","3:SDA","lvl","North")</f>
        <v>8</v>
      </c>
      <c r="G68" s="66">
        <f>GETPIVOTDATA("Sum of Watch Manager",wtroleareapivot!$A$3,"ReportingLevel","3:SDA","lvl","North")</f>
        <v>23</v>
      </c>
      <c r="H68" s="66">
        <f>GETPIVOTDATA("Sum of Crew Manager",wtroleareapivot!$A$3,"ReportingLevel","3:SDA","lvl","North")</f>
        <v>17</v>
      </c>
      <c r="I68" s="66">
        <f>GETPIVOTDATA("Sum of Firefighter",wtroleareapivot!$A$3,"ReportingLevel","3:SDA","lvl","North")</f>
        <v>0</v>
      </c>
      <c r="J68" s="67">
        <f>SUM(C68:I68)</f>
        <v>52</v>
      </c>
    </row>
    <row r="69" spans="1:12" x14ac:dyDescent="0.25">
      <c r="A69" s="462" t="s">
        <v>362</v>
      </c>
      <c r="B69" s="48" t="s">
        <v>163</v>
      </c>
      <c r="C69" s="444">
        <f>GETPIVOTDATA("Sum of Brigade Manager",wtroleareapivot!$A$3,"ReportingLevel","3:SDA","lvl","West")</f>
        <v>0</v>
      </c>
      <c r="D69" s="66">
        <f>GETPIVOTDATA("Sum of Area Manager",wtroleareapivot!$A$3,"ReportingLevel","3:SDA","lvl","West")</f>
        <v>2</v>
      </c>
      <c r="E69" s="66">
        <f>GETPIVOTDATA("Sum of Group Manager",wtroleareapivot!$A$3,"ReportingLevel","3:SDA","lvl","West")</f>
        <v>4</v>
      </c>
      <c r="F69" s="66">
        <f>GETPIVOTDATA("Sum of Station Manager",wtroleareapivot!$A$3,"ReportingLevel","3:SDA","lvl","West")</f>
        <v>7</v>
      </c>
      <c r="G69" s="66">
        <f>GETPIVOTDATA("Sum of Watch Manager",wtroleareapivot!$A$3,"ReportingLevel","3:SDA","lvl","West")</f>
        <v>38</v>
      </c>
      <c r="H69" s="66">
        <f>GETPIVOTDATA("Sum of Crew Manager",wtroleareapivot!$A$3,"ReportingLevel","3:SDA","lvl","West")</f>
        <v>8</v>
      </c>
      <c r="I69" s="66">
        <f>GETPIVOTDATA("Sum of Firefighter",wtroleareapivot!$A$3,"ReportingLevel","3:SDA","lvl","West")</f>
        <v>1</v>
      </c>
      <c r="J69" s="67">
        <f>SUM(C69:I69)</f>
        <v>60</v>
      </c>
    </row>
    <row r="70" spans="1:12" ht="18.75" customHeight="1" thickBot="1" x14ac:dyDescent="0.3">
      <c r="A70" s="52"/>
      <c r="B70" s="52" t="s">
        <v>73</v>
      </c>
      <c r="C70" s="445">
        <f>SUM(C67:C69)</f>
        <v>0</v>
      </c>
      <c r="D70" s="70">
        <f t="shared" ref="D70:J70" si="5">SUM(D67:D69)</f>
        <v>5</v>
      </c>
      <c r="E70" s="70">
        <f t="shared" si="5"/>
        <v>8</v>
      </c>
      <c r="F70" s="70">
        <f t="shared" si="5"/>
        <v>20</v>
      </c>
      <c r="G70" s="70">
        <f t="shared" si="5"/>
        <v>79</v>
      </c>
      <c r="H70" s="70">
        <f t="shared" si="5"/>
        <v>28</v>
      </c>
      <c r="I70" s="70">
        <f t="shared" si="5"/>
        <v>1</v>
      </c>
      <c r="J70" s="70">
        <f t="shared" si="5"/>
        <v>141</v>
      </c>
    </row>
    <row r="71" spans="1:12" x14ac:dyDescent="0.25">
      <c r="A71" s="36" t="s">
        <v>456</v>
      </c>
      <c r="B71" s="48"/>
      <c r="C71" s="44"/>
      <c r="D71" s="44"/>
      <c r="E71" s="44"/>
      <c r="F71" s="44"/>
      <c r="G71" s="44"/>
      <c r="H71" s="44"/>
      <c r="I71" s="44"/>
      <c r="J71" s="65"/>
    </row>
    <row r="72" spans="1:12" ht="15.75" thickBot="1" x14ac:dyDescent="0.3">
      <c r="A72" s="52" t="s">
        <v>347</v>
      </c>
      <c r="B72" s="76" t="s">
        <v>74</v>
      </c>
      <c r="C72" s="304">
        <f>GETPIVOTDATA("Sum of Brigade Manager",wtroleareapivot!$A$3,"ReportingLevel","4:National","lvl","Scotland")</f>
        <v>5</v>
      </c>
      <c r="D72" s="304">
        <f>GETPIVOTDATA("Sum of Area Manager",wtroleareapivot!$A$3,"ReportingLevel","4:National","lvl","Scotland")</f>
        <v>11</v>
      </c>
      <c r="E72" s="304">
        <f>GETPIVOTDATA("Sum of Group Manager",wtroleareapivot!$A$3,"ReportingLevel","4:National","lvl","Scotland")</f>
        <v>16</v>
      </c>
      <c r="F72" s="304">
        <f>GETPIVOTDATA("Sum of Station Manager",wtroleareapivot!$A$3,"ReportingLevel","4:National")</f>
        <v>24</v>
      </c>
      <c r="G72" s="304">
        <f>GETPIVOTDATA("Sum of Watch Manager",wtroleareapivot!$A$3,"ReportingLevel","4:National","lvl","Scotland")</f>
        <v>27</v>
      </c>
      <c r="H72" s="304">
        <f>GETPIVOTDATA("Sum of Crew Manager",wtroleareapivot!$A$3,"ReportingLevel","4:National","lvl","Scotland")</f>
        <v>1</v>
      </c>
      <c r="I72" s="304">
        <f>GETPIVOTDATA("Sum of Firefighter",wtroleareapivot!$A$3,"ReportingLevel","4:National","lvl","Scotland")</f>
        <v>0</v>
      </c>
      <c r="J72" s="70">
        <f>SUM(C72:I72)</f>
        <v>84</v>
      </c>
    </row>
    <row r="74" spans="1:12" x14ac:dyDescent="0.25">
      <c r="A74" s="353" t="s">
        <v>8</v>
      </c>
      <c r="B74" s="354"/>
      <c r="C74" s="354"/>
      <c r="D74" s="354"/>
      <c r="E74" s="354"/>
      <c r="F74" s="354"/>
      <c r="G74" s="354"/>
      <c r="H74" s="354"/>
      <c r="I74" s="354"/>
    </row>
    <row r="75" spans="1:12" x14ac:dyDescent="0.25">
      <c r="A75" s="350" t="s">
        <v>217</v>
      </c>
      <c r="B75" s="344"/>
      <c r="C75" s="351"/>
      <c r="D75" s="352"/>
      <c r="E75" s="352"/>
      <c r="F75" s="352"/>
      <c r="G75" s="352"/>
      <c r="H75" s="352"/>
      <c r="I75" s="352"/>
    </row>
    <row r="76" spans="1:12" ht="33.950000000000003" customHeight="1" x14ac:dyDescent="0.25">
      <c r="A76" s="1003" t="s">
        <v>844</v>
      </c>
      <c r="B76" s="1003"/>
      <c r="C76" s="1003"/>
      <c r="D76" s="1003"/>
      <c r="E76" s="1003"/>
      <c r="F76" s="1003"/>
      <c r="G76" s="1003"/>
      <c r="H76" s="1003"/>
      <c r="I76" s="1003"/>
    </row>
    <row r="77" spans="1:12" x14ac:dyDescent="0.25">
      <c r="A77" s="384" t="s">
        <v>727</v>
      </c>
      <c r="B77" s="430"/>
      <c r="C77" s="430"/>
      <c r="D77" s="430"/>
      <c r="E77" s="430"/>
      <c r="F77" s="430"/>
      <c r="G77" s="430"/>
      <c r="H77" s="430"/>
      <c r="I77" s="430"/>
      <c r="K77" s="379"/>
      <c r="L77" s="379"/>
    </row>
    <row r="78" spans="1:12" x14ac:dyDescent="0.25">
      <c r="A78" s="350" t="s">
        <v>728</v>
      </c>
    </row>
  </sheetData>
  <sheetProtection algorithmName="SHA-512" hashValue="+SpgQk77rskJeX8Roehz58EcV/v5pwneUtee1z77gHAs9x++ocusF754GbGsKLXmll+6Yx8MGWVQvZFl0LSzoA==" saltValue="XaFCa1QbMyb7KTiRD2YO6w==" spinCount="100000" sheet="1" scenarios="1" formatCells="0" sort="0" autoFilter="0" pivotTables="0"/>
  <mergeCells count="3">
    <mergeCell ref="A1:H1"/>
    <mergeCell ref="A4:J4"/>
    <mergeCell ref="A76:I76"/>
  </mergeCells>
  <hyperlinks>
    <hyperlink ref="A2" location="'Table of Contents'!A1" display="Back to Table of Contents" xr:uid="{00000000-0004-0000-3600-000000000000}"/>
  </hyperlinks>
  <pageMargins left="0.70866141732283472" right="0.70866141732283472" top="0.74803149606299213" bottom="0.74803149606299213" header="0.31496062992125984" footer="0.31496062992125984"/>
  <pageSetup scale="55" orientation="portrait" r:id="rId1"/>
  <drawing r:id="rId2"/>
  <extLst>
    <ext xmlns:x14="http://schemas.microsoft.com/office/spreadsheetml/2009/9/main" uri="{A8765BA9-456A-4dab-B4F3-ACF838C121DE}">
      <x14:slicerList>
        <x14:slicer r:id="rId3"/>
      </x14:slicerList>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9" tint="0.39997558519241921"/>
  </sheetPr>
  <dimension ref="A1:D33"/>
  <sheetViews>
    <sheetView workbookViewId="0">
      <selection activeCell="B19" sqref="B19"/>
    </sheetView>
  </sheetViews>
  <sheetFormatPr defaultRowHeight="15" x14ac:dyDescent="0.25"/>
  <cols>
    <col min="1" max="1" width="20.85546875" bestFit="1" customWidth="1"/>
    <col min="2" max="2" width="21" bestFit="1" customWidth="1"/>
    <col min="3" max="3" width="19.7109375" bestFit="1" customWidth="1"/>
    <col min="4" max="4" width="16.42578125" bestFit="1" customWidth="1"/>
  </cols>
  <sheetData>
    <row r="1" spans="1:4" x14ac:dyDescent="0.25">
      <c r="A1" s="394" t="s">
        <v>1</v>
      </c>
      <c r="B1" t="s">
        <v>1108</v>
      </c>
    </row>
    <row r="3" spans="1:4" x14ac:dyDescent="0.25">
      <c r="A3" s="394" t="s">
        <v>231</v>
      </c>
      <c r="B3" t="s">
        <v>241</v>
      </c>
      <c r="C3" t="s">
        <v>253</v>
      </c>
      <c r="D3" t="s">
        <v>254</v>
      </c>
    </row>
    <row r="4" spans="1:4" x14ac:dyDescent="0.25">
      <c r="A4" s="395" t="s">
        <v>31</v>
      </c>
      <c r="B4">
        <v>1</v>
      </c>
      <c r="C4">
        <v>4</v>
      </c>
      <c r="D4">
        <v>5</v>
      </c>
    </row>
    <row r="5" spans="1:4" x14ac:dyDescent="0.25">
      <c r="A5" s="395" t="s">
        <v>32</v>
      </c>
      <c r="B5">
        <v>22</v>
      </c>
      <c r="C5">
        <v>66</v>
      </c>
      <c r="D5">
        <v>178</v>
      </c>
    </row>
    <row r="6" spans="1:4" x14ac:dyDescent="0.25">
      <c r="A6" s="395" t="s">
        <v>33</v>
      </c>
      <c r="B6">
        <v>6</v>
      </c>
      <c r="C6">
        <v>18</v>
      </c>
      <c r="D6">
        <v>76</v>
      </c>
    </row>
    <row r="7" spans="1:4" x14ac:dyDescent="0.25">
      <c r="A7" s="395" t="s">
        <v>34</v>
      </c>
      <c r="B7">
        <v>15</v>
      </c>
      <c r="C7">
        <v>23</v>
      </c>
      <c r="D7">
        <v>135</v>
      </c>
    </row>
    <row r="8" spans="1:4" x14ac:dyDescent="0.25">
      <c r="A8" s="395" t="s">
        <v>243</v>
      </c>
      <c r="B8">
        <v>1</v>
      </c>
      <c r="C8">
        <v>2</v>
      </c>
      <c r="D8">
        <v>6</v>
      </c>
    </row>
    <row r="9" spans="1:4" x14ac:dyDescent="0.25">
      <c r="A9" s="395" t="s">
        <v>35</v>
      </c>
      <c r="B9">
        <v>2</v>
      </c>
      <c r="C9">
        <v>4</v>
      </c>
      <c r="D9">
        <v>17</v>
      </c>
    </row>
    <row r="10" spans="1:4" x14ac:dyDescent="0.25">
      <c r="A10" s="395" t="s">
        <v>36</v>
      </c>
      <c r="B10">
        <v>15</v>
      </c>
      <c r="C10">
        <v>32</v>
      </c>
      <c r="D10">
        <v>132</v>
      </c>
    </row>
    <row r="11" spans="1:4" x14ac:dyDescent="0.25">
      <c r="A11" s="395" t="s">
        <v>37</v>
      </c>
      <c r="B11">
        <v>1</v>
      </c>
      <c r="C11">
        <v>2</v>
      </c>
      <c r="D11">
        <v>11</v>
      </c>
    </row>
    <row r="12" spans="1:4" x14ac:dyDescent="0.25">
      <c r="A12" s="395" t="s">
        <v>38</v>
      </c>
      <c r="B12">
        <v>6</v>
      </c>
      <c r="C12">
        <v>12</v>
      </c>
      <c r="D12">
        <v>53</v>
      </c>
    </row>
    <row r="13" spans="1:4" x14ac:dyDescent="0.25">
      <c r="A13" s="395" t="s">
        <v>40</v>
      </c>
      <c r="B13">
        <v>5</v>
      </c>
      <c r="C13">
        <v>12</v>
      </c>
      <c r="D13">
        <v>39</v>
      </c>
    </row>
    <row r="14" spans="1:4" x14ac:dyDescent="0.25">
      <c r="A14" s="395" t="s">
        <v>42</v>
      </c>
      <c r="B14">
        <v>5</v>
      </c>
      <c r="C14">
        <v>10</v>
      </c>
      <c r="D14">
        <v>46</v>
      </c>
    </row>
    <row r="15" spans="1:4" x14ac:dyDescent="0.25">
      <c r="A15" s="395" t="s">
        <v>43</v>
      </c>
      <c r="B15">
        <v>8</v>
      </c>
      <c r="C15">
        <v>22</v>
      </c>
      <c r="D15">
        <v>74</v>
      </c>
    </row>
    <row r="16" spans="1:4" x14ac:dyDescent="0.25">
      <c r="A16" s="395" t="s">
        <v>44</v>
      </c>
      <c r="B16">
        <v>45</v>
      </c>
      <c r="C16">
        <v>91</v>
      </c>
      <c r="D16">
        <v>328</v>
      </c>
    </row>
    <row r="17" spans="1:4" x14ac:dyDescent="0.25">
      <c r="A17" s="395" t="s">
        <v>45</v>
      </c>
      <c r="B17">
        <v>3</v>
      </c>
      <c r="C17">
        <v>7</v>
      </c>
      <c r="D17">
        <v>25</v>
      </c>
    </row>
    <row r="18" spans="1:4" x14ac:dyDescent="0.25">
      <c r="A18" s="395" t="s">
        <v>46</v>
      </c>
      <c r="B18">
        <v>1</v>
      </c>
      <c r="C18">
        <v>2</v>
      </c>
      <c r="D18">
        <v>10</v>
      </c>
    </row>
    <row r="19" spans="1:4" x14ac:dyDescent="0.25">
      <c r="A19" s="395" t="s">
        <v>47</v>
      </c>
      <c r="B19">
        <v>12</v>
      </c>
      <c r="C19">
        <v>28</v>
      </c>
      <c r="D19">
        <v>76</v>
      </c>
    </row>
    <row r="20" spans="1:4" x14ac:dyDescent="0.25">
      <c r="A20" s="395" t="s">
        <v>48</v>
      </c>
      <c r="B20">
        <v>14</v>
      </c>
      <c r="C20">
        <v>28</v>
      </c>
      <c r="D20">
        <v>90</v>
      </c>
    </row>
    <row r="21" spans="1:4" x14ac:dyDescent="0.25">
      <c r="A21" s="395" t="s">
        <v>49</v>
      </c>
      <c r="B21">
        <v>9</v>
      </c>
      <c r="C21">
        <v>12</v>
      </c>
      <c r="D21">
        <v>77</v>
      </c>
    </row>
    <row r="22" spans="1:4" x14ac:dyDescent="0.25">
      <c r="A22" s="395" t="s">
        <v>50</v>
      </c>
      <c r="B22">
        <v>3</v>
      </c>
      <c r="C22">
        <v>6</v>
      </c>
      <c r="D22">
        <v>20</v>
      </c>
    </row>
    <row r="23" spans="1:4" x14ac:dyDescent="0.25">
      <c r="A23" s="395" t="s">
        <v>51</v>
      </c>
      <c r="B23">
        <v>12</v>
      </c>
      <c r="C23">
        <v>23</v>
      </c>
      <c r="D23">
        <v>77</v>
      </c>
    </row>
    <row r="24" spans="1:4" x14ac:dyDescent="0.25">
      <c r="A24" s="395" t="s">
        <v>52</v>
      </c>
      <c r="B24">
        <v>11</v>
      </c>
      <c r="C24">
        <v>20</v>
      </c>
      <c r="D24">
        <v>86</v>
      </c>
    </row>
    <row r="25" spans="1:4" x14ac:dyDescent="0.25">
      <c r="A25" s="395" t="s">
        <v>53</v>
      </c>
      <c r="B25">
        <v>1</v>
      </c>
      <c r="C25">
        <v>2</v>
      </c>
      <c r="D25">
        <v>8</v>
      </c>
    </row>
    <row r="26" spans="1:4" x14ac:dyDescent="0.25">
      <c r="A26" s="395" t="s">
        <v>54</v>
      </c>
      <c r="B26">
        <v>12</v>
      </c>
      <c r="C26">
        <v>28</v>
      </c>
      <c r="D26">
        <v>97</v>
      </c>
    </row>
    <row r="27" spans="1:4" x14ac:dyDescent="0.25">
      <c r="A27" s="395" t="s">
        <v>55</v>
      </c>
      <c r="B27">
        <v>14</v>
      </c>
      <c r="C27">
        <v>23</v>
      </c>
      <c r="D27">
        <v>77</v>
      </c>
    </row>
    <row r="28" spans="1:4" x14ac:dyDescent="0.25">
      <c r="A28" s="395" t="s">
        <v>56</v>
      </c>
      <c r="B28">
        <v>4</v>
      </c>
      <c r="C28">
        <v>8</v>
      </c>
      <c r="D28">
        <v>34</v>
      </c>
    </row>
    <row r="29" spans="1:4" x14ac:dyDescent="0.25">
      <c r="A29" s="395" t="s">
        <v>57</v>
      </c>
      <c r="B29">
        <v>8</v>
      </c>
      <c r="C29">
        <v>13</v>
      </c>
      <c r="D29">
        <v>52</v>
      </c>
    </row>
    <row r="30" spans="1:4" x14ac:dyDescent="0.25">
      <c r="A30" s="395" t="s">
        <v>58</v>
      </c>
      <c r="B30">
        <v>7</v>
      </c>
      <c r="C30">
        <v>15</v>
      </c>
      <c r="D30">
        <v>46</v>
      </c>
    </row>
    <row r="31" spans="1:4" x14ac:dyDescent="0.25">
      <c r="A31" s="395" t="s">
        <v>59</v>
      </c>
      <c r="B31">
        <v>2</v>
      </c>
      <c r="C31">
        <v>2</v>
      </c>
      <c r="D31">
        <v>17</v>
      </c>
    </row>
    <row r="32" spans="1:4" x14ac:dyDescent="0.25">
      <c r="A32" s="395" t="s">
        <v>60</v>
      </c>
      <c r="B32">
        <v>6</v>
      </c>
      <c r="C32">
        <v>10</v>
      </c>
      <c r="D32">
        <v>40</v>
      </c>
    </row>
    <row r="33" spans="1:4" x14ac:dyDescent="0.25">
      <c r="A33" s="395" t="s">
        <v>236</v>
      </c>
      <c r="B33">
        <v>251</v>
      </c>
      <c r="C33">
        <v>525</v>
      </c>
      <c r="D33">
        <v>1932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9" tint="0.39997558519241921"/>
  </sheetPr>
  <dimension ref="A1:G335"/>
  <sheetViews>
    <sheetView topLeftCell="A2" workbookViewId="0">
      <selection activeCell="D17" sqref="D17"/>
    </sheetView>
  </sheetViews>
  <sheetFormatPr defaultRowHeight="15" x14ac:dyDescent="0.25"/>
  <cols>
    <col min="1" max="1" width="7.42578125" bestFit="1" customWidth="1"/>
    <col min="2" max="2" width="16.140625" bestFit="1" customWidth="1"/>
    <col min="3" max="3" width="20.85546875" bestFit="1" customWidth="1"/>
    <col min="4" max="4" width="11.28515625" bestFit="1" customWidth="1"/>
    <col min="5" max="5" width="16.7109375" bestFit="1" customWidth="1"/>
    <col min="6" max="6" width="15.5703125" bestFit="1" customWidth="1"/>
    <col min="7" max="7" width="12.28515625" bestFit="1" customWidth="1"/>
  </cols>
  <sheetData>
    <row r="1" spans="1:7" x14ac:dyDescent="0.25">
      <c r="A1" t="s">
        <v>1</v>
      </c>
      <c r="B1" t="s">
        <v>982</v>
      </c>
      <c r="C1" t="s">
        <v>205</v>
      </c>
      <c r="D1" t="s">
        <v>456</v>
      </c>
      <c r="E1" t="s">
        <v>21</v>
      </c>
      <c r="F1" t="s">
        <v>22</v>
      </c>
      <c r="G1" t="s">
        <v>23</v>
      </c>
    </row>
    <row r="2" spans="1:7" x14ac:dyDescent="0.25">
      <c r="A2" t="s">
        <v>192</v>
      </c>
      <c r="B2" t="s">
        <v>232</v>
      </c>
      <c r="C2" t="s">
        <v>31</v>
      </c>
      <c r="D2" t="s">
        <v>285</v>
      </c>
      <c r="E2">
        <v>2</v>
      </c>
      <c r="F2">
        <v>1</v>
      </c>
      <c r="G2">
        <v>5</v>
      </c>
    </row>
    <row r="3" spans="1:7" x14ac:dyDescent="0.25">
      <c r="A3" t="s">
        <v>192</v>
      </c>
      <c r="B3" t="s">
        <v>232</v>
      </c>
      <c r="C3" t="s">
        <v>32</v>
      </c>
      <c r="D3" t="s">
        <v>286</v>
      </c>
      <c r="E3">
        <v>65</v>
      </c>
      <c r="F3">
        <v>29</v>
      </c>
      <c r="G3">
        <v>203</v>
      </c>
    </row>
    <row r="4" spans="1:7" x14ac:dyDescent="0.25">
      <c r="A4" t="s">
        <v>192</v>
      </c>
      <c r="B4" t="s">
        <v>232</v>
      </c>
      <c r="C4" t="s">
        <v>33</v>
      </c>
      <c r="D4" t="s">
        <v>292</v>
      </c>
      <c r="E4">
        <v>19</v>
      </c>
      <c r="F4">
        <v>7</v>
      </c>
      <c r="G4">
        <v>73</v>
      </c>
    </row>
    <row r="5" spans="1:7" x14ac:dyDescent="0.25">
      <c r="A5" t="s">
        <v>192</v>
      </c>
      <c r="B5" t="s">
        <v>232</v>
      </c>
      <c r="C5" t="s">
        <v>34</v>
      </c>
      <c r="D5" t="s">
        <v>287</v>
      </c>
      <c r="E5">
        <v>24</v>
      </c>
      <c r="F5">
        <v>17</v>
      </c>
      <c r="G5">
        <v>146</v>
      </c>
    </row>
    <row r="6" spans="1:7" x14ac:dyDescent="0.25">
      <c r="A6" t="s">
        <v>192</v>
      </c>
      <c r="B6" t="s">
        <v>232</v>
      </c>
      <c r="C6" t="s">
        <v>243</v>
      </c>
      <c r="D6" t="s">
        <v>288</v>
      </c>
      <c r="E6">
        <v>2</v>
      </c>
      <c r="F6">
        <v>1</v>
      </c>
      <c r="G6">
        <v>9</v>
      </c>
    </row>
    <row r="7" spans="1:7" x14ac:dyDescent="0.25">
      <c r="A7" t="s">
        <v>192</v>
      </c>
      <c r="B7" t="s">
        <v>232</v>
      </c>
      <c r="C7" t="s">
        <v>35</v>
      </c>
      <c r="D7" t="s">
        <v>266</v>
      </c>
      <c r="E7">
        <v>4</v>
      </c>
      <c r="F7">
        <v>2</v>
      </c>
      <c r="G7">
        <v>15</v>
      </c>
    </row>
    <row r="8" spans="1:7" x14ac:dyDescent="0.25">
      <c r="A8" t="s">
        <v>192</v>
      </c>
      <c r="B8" t="s">
        <v>232</v>
      </c>
      <c r="C8" t="s">
        <v>36</v>
      </c>
      <c r="D8" t="s">
        <v>267</v>
      </c>
      <c r="E8">
        <v>34</v>
      </c>
      <c r="F8">
        <v>17</v>
      </c>
      <c r="G8">
        <v>147</v>
      </c>
    </row>
    <row r="9" spans="1:7" x14ac:dyDescent="0.25">
      <c r="A9" t="s">
        <v>192</v>
      </c>
      <c r="B9" t="s">
        <v>232</v>
      </c>
      <c r="C9" t="s">
        <v>37</v>
      </c>
      <c r="D9" t="s">
        <v>293</v>
      </c>
      <c r="E9">
        <v>3</v>
      </c>
      <c r="F9">
        <v>1</v>
      </c>
      <c r="G9">
        <v>10</v>
      </c>
    </row>
    <row r="10" spans="1:7" x14ac:dyDescent="0.25">
      <c r="A10" t="s">
        <v>192</v>
      </c>
      <c r="B10" t="s">
        <v>232</v>
      </c>
      <c r="C10" t="s">
        <v>38</v>
      </c>
      <c r="D10" t="s">
        <v>268</v>
      </c>
      <c r="E10">
        <v>10</v>
      </c>
      <c r="F10">
        <v>9</v>
      </c>
      <c r="G10">
        <v>58</v>
      </c>
    </row>
    <row r="11" spans="1:7" x14ac:dyDescent="0.25">
      <c r="A11" t="s">
        <v>192</v>
      </c>
      <c r="B11" t="s">
        <v>232</v>
      </c>
      <c r="C11" t="s">
        <v>39</v>
      </c>
      <c r="D11" t="s">
        <v>295</v>
      </c>
      <c r="E11">
        <v>0</v>
      </c>
      <c r="F11">
        <v>0</v>
      </c>
      <c r="G11">
        <v>0</v>
      </c>
    </row>
    <row r="12" spans="1:7" x14ac:dyDescent="0.25">
      <c r="A12" t="s">
        <v>192</v>
      </c>
      <c r="B12" t="s">
        <v>232</v>
      </c>
      <c r="C12" t="s">
        <v>40</v>
      </c>
      <c r="D12" t="s">
        <v>269</v>
      </c>
      <c r="E12">
        <v>9</v>
      </c>
      <c r="F12">
        <v>5</v>
      </c>
      <c r="G12">
        <v>38</v>
      </c>
    </row>
    <row r="13" spans="1:7" x14ac:dyDescent="0.25">
      <c r="A13" t="s">
        <v>192</v>
      </c>
      <c r="B13" t="s">
        <v>232</v>
      </c>
      <c r="C13" t="s">
        <v>41</v>
      </c>
      <c r="D13" t="s">
        <v>270</v>
      </c>
      <c r="E13">
        <v>0</v>
      </c>
      <c r="F13">
        <v>0</v>
      </c>
      <c r="G13">
        <v>0</v>
      </c>
    </row>
    <row r="14" spans="1:7" x14ac:dyDescent="0.25">
      <c r="A14" t="s">
        <v>192</v>
      </c>
      <c r="B14" t="s">
        <v>232</v>
      </c>
      <c r="C14" t="s">
        <v>42</v>
      </c>
      <c r="D14" t="s">
        <v>272</v>
      </c>
      <c r="E14">
        <v>10</v>
      </c>
      <c r="F14">
        <v>5</v>
      </c>
      <c r="G14">
        <v>50</v>
      </c>
    </row>
    <row r="15" spans="1:7" x14ac:dyDescent="0.25">
      <c r="A15" t="s">
        <v>192</v>
      </c>
      <c r="B15" t="s">
        <v>232</v>
      </c>
      <c r="C15" t="s">
        <v>43</v>
      </c>
      <c r="D15" t="s">
        <v>297</v>
      </c>
      <c r="E15">
        <v>19</v>
      </c>
      <c r="F15">
        <v>11</v>
      </c>
      <c r="G15">
        <v>81</v>
      </c>
    </row>
    <row r="16" spans="1:7" x14ac:dyDescent="0.25">
      <c r="A16" t="s">
        <v>192</v>
      </c>
      <c r="B16" t="s">
        <v>232</v>
      </c>
      <c r="C16" t="s">
        <v>117</v>
      </c>
      <c r="D16" t="s">
        <v>296</v>
      </c>
      <c r="E16">
        <v>1</v>
      </c>
      <c r="F16">
        <v>0</v>
      </c>
      <c r="G16">
        <v>1</v>
      </c>
    </row>
    <row r="17" spans="1:7" x14ac:dyDescent="0.25">
      <c r="A17" t="s">
        <v>192</v>
      </c>
      <c r="B17" t="s">
        <v>232</v>
      </c>
      <c r="C17" t="s">
        <v>44</v>
      </c>
      <c r="D17" t="s">
        <v>273</v>
      </c>
      <c r="E17">
        <v>115</v>
      </c>
      <c r="F17">
        <v>55</v>
      </c>
      <c r="G17">
        <v>394</v>
      </c>
    </row>
    <row r="18" spans="1:7" x14ac:dyDescent="0.25">
      <c r="A18" t="s">
        <v>192</v>
      </c>
      <c r="B18" t="s">
        <v>232</v>
      </c>
      <c r="C18" t="s">
        <v>45</v>
      </c>
      <c r="D18" t="s">
        <v>274</v>
      </c>
      <c r="E18">
        <v>4</v>
      </c>
      <c r="F18">
        <v>3</v>
      </c>
      <c r="G18">
        <v>35</v>
      </c>
    </row>
    <row r="19" spans="1:7" x14ac:dyDescent="0.25">
      <c r="A19" t="s">
        <v>192</v>
      </c>
      <c r="B19" t="s">
        <v>232</v>
      </c>
      <c r="C19" t="s">
        <v>46</v>
      </c>
      <c r="D19" t="s">
        <v>275</v>
      </c>
      <c r="E19">
        <v>2</v>
      </c>
      <c r="F19">
        <v>1</v>
      </c>
      <c r="G19">
        <v>7</v>
      </c>
    </row>
    <row r="20" spans="1:7" x14ac:dyDescent="0.25">
      <c r="A20" t="s">
        <v>192</v>
      </c>
      <c r="B20" t="s">
        <v>232</v>
      </c>
      <c r="C20" t="s">
        <v>47</v>
      </c>
      <c r="D20" t="s">
        <v>276</v>
      </c>
      <c r="E20">
        <v>22</v>
      </c>
      <c r="F20">
        <v>9</v>
      </c>
      <c r="G20">
        <v>73</v>
      </c>
    </row>
    <row r="21" spans="1:7" x14ac:dyDescent="0.25">
      <c r="A21" t="s">
        <v>192</v>
      </c>
      <c r="B21" t="s">
        <v>232</v>
      </c>
      <c r="C21" t="s">
        <v>48</v>
      </c>
      <c r="D21" t="s">
        <v>271</v>
      </c>
      <c r="E21">
        <v>25</v>
      </c>
      <c r="F21">
        <v>13</v>
      </c>
      <c r="G21">
        <v>94</v>
      </c>
    </row>
    <row r="22" spans="1:7" x14ac:dyDescent="0.25">
      <c r="A22" t="s">
        <v>192</v>
      </c>
      <c r="B22" t="s">
        <v>232</v>
      </c>
      <c r="C22" t="s">
        <v>49</v>
      </c>
      <c r="D22" t="s">
        <v>277</v>
      </c>
      <c r="E22">
        <v>15</v>
      </c>
      <c r="F22">
        <v>9</v>
      </c>
      <c r="G22">
        <v>70</v>
      </c>
    </row>
    <row r="23" spans="1:7" x14ac:dyDescent="0.25">
      <c r="A23" t="s">
        <v>192</v>
      </c>
      <c r="B23" t="s">
        <v>232</v>
      </c>
      <c r="C23" t="s">
        <v>50</v>
      </c>
      <c r="D23" t="s">
        <v>294</v>
      </c>
      <c r="E23">
        <v>3</v>
      </c>
      <c r="F23">
        <v>3</v>
      </c>
      <c r="G23">
        <v>22</v>
      </c>
    </row>
    <row r="24" spans="1:7" x14ac:dyDescent="0.25">
      <c r="A24" t="s">
        <v>192</v>
      </c>
      <c r="B24" t="s">
        <v>232</v>
      </c>
      <c r="C24" t="s">
        <v>51</v>
      </c>
      <c r="D24" t="s">
        <v>278</v>
      </c>
      <c r="E24">
        <v>22</v>
      </c>
      <c r="F24">
        <v>12</v>
      </c>
      <c r="G24">
        <v>79</v>
      </c>
    </row>
    <row r="25" spans="1:7" x14ac:dyDescent="0.25">
      <c r="A25" t="s">
        <v>192</v>
      </c>
      <c r="B25" t="s">
        <v>232</v>
      </c>
      <c r="C25" t="s">
        <v>52</v>
      </c>
      <c r="D25" t="s">
        <v>279</v>
      </c>
      <c r="E25">
        <v>25</v>
      </c>
      <c r="F25">
        <v>10</v>
      </c>
      <c r="G25">
        <v>105</v>
      </c>
    </row>
    <row r="26" spans="1:7" x14ac:dyDescent="0.25">
      <c r="A26" t="s">
        <v>192</v>
      </c>
      <c r="B26" t="s">
        <v>232</v>
      </c>
      <c r="C26" t="s">
        <v>53</v>
      </c>
      <c r="D26" t="s">
        <v>289</v>
      </c>
      <c r="E26">
        <v>2</v>
      </c>
      <c r="F26">
        <v>1</v>
      </c>
      <c r="G26">
        <v>11</v>
      </c>
    </row>
    <row r="27" spans="1:7" x14ac:dyDescent="0.25">
      <c r="A27" t="s">
        <v>192</v>
      </c>
      <c r="B27" t="s">
        <v>232</v>
      </c>
      <c r="C27" t="s">
        <v>54</v>
      </c>
      <c r="D27" t="s">
        <v>280</v>
      </c>
      <c r="E27">
        <v>25</v>
      </c>
      <c r="F27">
        <v>13</v>
      </c>
      <c r="G27">
        <v>96</v>
      </c>
    </row>
    <row r="28" spans="1:7" x14ac:dyDescent="0.25">
      <c r="A28" t="s">
        <v>192</v>
      </c>
      <c r="B28" t="s">
        <v>232</v>
      </c>
      <c r="C28" t="s">
        <v>55</v>
      </c>
      <c r="D28" t="s">
        <v>281</v>
      </c>
      <c r="E28">
        <v>29</v>
      </c>
      <c r="F28">
        <v>13</v>
      </c>
      <c r="G28">
        <v>92</v>
      </c>
    </row>
    <row r="29" spans="1:7" x14ac:dyDescent="0.25">
      <c r="A29" t="s">
        <v>192</v>
      </c>
      <c r="B29" t="s">
        <v>232</v>
      </c>
      <c r="C29" t="s">
        <v>56</v>
      </c>
      <c r="D29" t="s">
        <v>282</v>
      </c>
      <c r="E29">
        <v>9</v>
      </c>
      <c r="F29">
        <v>5</v>
      </c>
      <c r="G29">
        <v>40</v>
      </c>
    </row>
    <row r="30" spans="1:7" x14ac:dyDescent="0.25">
      <c r="A30" t="s">
        <v>192</v>
      </c>
      <c r="B30" t="s">
        <v>232</v>
      </c>
      <c r="C30" t="s">
        <v>57</v>
      </c>
      <c r="D30" t="s">
        <v>283</v>
      </c>
      <c r="E30">
        <v>8</v>
      </c>
      <c r="F30">
        <v>9</v>
      </c>
      <c r="G30">
        <v>67</v>
      </c>
    </row>
    <row r="31" spans="1:7" x14ac:dyDescent="0.25">
      <c r="A31" t="s">
        <v>192</v>
      </c>
      <c r="B31" t="s">
        <v>232</v>
      </c>
      <c r="C31" t="s">
        <v>58</v>
      </c>
      <c r="D31" t="s">
        <v>284</v>
      </c>
      <c r="E31">
        <v>15</v>
      </c>
      <c r="F31">
        <v>9</v>
      </c>
      <c r="G31">
        <v>50</v>
      </c>
    </row>
    <row r="32" spans="1:7" x14ac:dyDescent="0.25">
      <c r="A32" t="s">
        <v>192</v>
      </c>
      <c r="B32" t="s">
        <v>232</v>
      </c>
      <c r="C32" t="s">
        <v>59</v>
      </c>
      <c r="D32" t="s">
        <v>290</v>
      </c>
      <c r="E32">
        <v>1</v>
      </c>
      <c r="F32">
        <v>2</v>
      </c>
      <c r="G32">
        <v>15</v>
      </c>
    </row>
    <row r="33" spans="1:7" x14ac:dyDescent="0.25">
      <c r="A33" t="s">
        <v>192</v>
      </c>
      <c r="B33" t="s">
        <v>232</v>
      </c>
      <c r="C33" t="s">
        <v>60</v>
      </c>
      <c r="D33" t="s">
        <v>291</v>
      </c>
      <c r="E33">
        <v>11</v>
      </c>
      <c r="F33">
        <v>6</v>
      </c>
      <c r="G33">
        <v>41</v>
      </c>
    </row>
    <row r="34" spans="1:7" x14ac:dyDescent="0.25">
      <c r="A34" t="s">
        <v>191</v>
      </c>
      <c r="B34" t="s">
        <v>232</v>
      </c>
      <c r="C34" t="s">
        <v>31</v>
      </c>
      <c r="D34" t="s">
        <v>285</v>
      </c>
      <c r="E34">
        <v>2</v>
      </c>
      <c r="F34">
        <v>1</v>
      </c>
      <c r="G34">
        <v>5</v>
      </c>
    </row>
    <row r="35" spans="1:7" x14ac:dyDescent="0.25">
      <c r="A35" t="s">
        <v>191</v>
      </c>
      <c r="B35" t="s">
        <v>232</v>
      </c>
      <c r="C35" t="s">
        <v>32</v>
      </c>
      <c r="D35" t="s">
        <v>286</v>
      </c>
      <c r="E35">
        <v>63</v>
      </c>
      <c r="F35">
        <v>27</v>
      </c>
      <c r="G35">
        <v>190</v>
      </c>
    </row>
    <row r="36" spans="1:7" x14ac:dyDescent="0.25">
      <c r="A36" t="s">
        <v>191</v>
      </c>
      <c r="B36" t="s">
        <v>232</v>
      </c>
      <c r="C36" t="s">
        <v>33</v>
      </c>
      <c r="D36" t="s">
        <v>292</v>
      </c>
      <c r="E36">
        <v>20</v>
      </c>
      <c r="F36">
        <v>7</v>
      </c>
      <c r="G36">
        <v>68</v>
      </c>
    </row>
    <row r="37" spans="1:7" x14ac:dyDescent="0.25">
      <c r="A37" t="s">
        <v>191</v>
      </c>
      <c r="B37" t="s">
        <v>232</v>
      </c>
      <c r="C37" t="s">
        <v>34</v>
      </c>
      <c r="D37" t="s">
        <v>287</v>
      </c>
      <c r="E37">
        <v>24</v>
      </c>
      <c r="F37">
        <v>15</v>
      </c>
      <c r="G37">
        <v>136</v>
      </c>
    </row>
    <row r="38" spans="1:7" x14ac:dyDescent="0.25">
      <c r="A38" t="s">
        <v>191</v>
      </c>
      <c r="B38" t="s">
        <v>232</v>
      </c>
      <c r="C38" t="s">
        <v>243</v>
      </c>
      <c r="D38" t="s">
        <v>288</v>
      </c>
      <c r="E38">
        <v>2</v>
      </c>
      <c r="F38">
        <v>1</v>
      </c>
      <c r="G38">
        <v>10</v>
      </c>
    </row>
    <row r="39" spans="1:7" x14ac:dyDescent="0.25">
      <c r="A39" t="s">
        <v>191</v>
      </c>
      <c r="B39" t="s">
        <v>232</v>
      </c>
      <c r="C39" t="s">
        <v>35</v>
      </c>
      <c r="D39" t="s">
        <v>266</v>
      </c>
      <c r="E39">
        <v>5</v>
      </c>
      <c r="F39">
        <v>2</v>
      </c>
      <c r="G39">
        <v>16</v>
      </c>
    </row>
    <row r="40" spans="1:7" x14ac:dyDescent="0.25">
      <c r="A40" t="s">
        <v>191</v>
      </c>
      <c r="B40" t="s">
        <v>232</v>
      </c>
      <c r="C40" t="s">
        <v>36</v>
      </c>
      <c r="D40" t="s">
        <v>267</v>
      </c>
      <c r="E40">
        <v>36</v>
      </c>
      <c r="F40">
        <v>17</v>
      </c>
      <c r="G40">
        <v>153</v>
      </c>
    </row>
    <row r="41" spans="1:7" x14ac:dyDescent="0.25">
      <c r="A41" t="s">
        <v>191</v>
      </c>
      <c r="B41" t="s">
        <v>232</v>
      </c>
      <c r="C41" t="s">
        <v>37</v>
      </c>
      <c r="D41" t="s">
        <v>293</v>
      </c>
      <c r="E41">
        <v>3</v>
      </c>
      <c r="F41">
        <v>1</v>
      </c>
      <c r="G41">
        <v>10</v>
      </c>
    </row>
    <row r="42" spans="1:7" x14ac:dyDescent="0.25">
      <c r="A42" t="s">
        <v>191</v>
      </c>
      <c r="B42" t="s">
        <v>232</v>
      </c>
      <c r="C42" t="s">
        <v>38</v>
      </c>
      <c r="D42" t="s">
        <v>268</v>
      </c>
      <c r="E42">
        <v>9</v>
      </c>
      <c r="F42">
        <v>8</v>
      </c>
      <c r="G42">
        <v>63</v>
      </c>
    </row>
    <row r="43" spans="1:7" x14ac:dyDescent="0.25">
      <c r="A43" t="s">
        <v>191</v>
      </c>
      <c r="B43" t="s">
        <v>232</v>
      </c>
      <c r="C43" t="s">
        <v>39</v>
      </c>
      <c r="D43" t="s">
        <v>295</v>
      </c>
      <c r="E43">
        <v>0</v>
      </c>
      <c r="F43">
        <v>0</v>
      </c>
      <c r="G43">
        <v>0</v>
      </c>
    </row>
    <row r="44" spans="1:7" x14ac:dyDescent="0.25">
      <c r="A44" t="s">
        <v>191</v>
      </c>
      <c r="B44" t="s">
        <v>232</v>
      </c>
      <c r="C44" t="s">
        <v>40</v>
      </c>
      <c r="D44" t="s">
        <v>269</v>
      </c>
      <c r="E44">
        <v>12</v>
      </c>
      <c r="F44">
        <v>5</v>
      </c>
      <c r="G44">
        <v>43</v>
      </c>
    </row>
    <row r="45" spans="1:7" x14ac:dyDescent="0.25">
      <c r="A45" t="s">
        <v>191</v>
      </c>
      <c r="B45" t="s">
        <v>232</v>
      </c>
      <c r="C45" t="s">
        <v>41</v>
      </c>
      <c r="D45" t="s">
        <v>270</v>
      </c>
      <c r="E45">
        <v>0</v>
      </c>
      <c r="F45">
        <v>0</v>
      </c>
      <c r="G45">
        <v>0</v>
      </c>
    </row>
    <row r="46" spans="1:7" x14ac:dyDescent="0.25">
      <c r="A46" t="s">
        <v>191</v>
      </c>
      <c r="B46" t="s">
        <v>232</v>
      </c>
      <c r="C46" t="s">
        <v>42</v>
      </c>
      <c r="D46" t="s">
        <v>272</v>
      </c>
      <c r="E46">
        <v>9</v>
      </c>
      <c r="F46">
        <v>6</v>
      </c>
      <c r="G46">
        <v>53</v>
      </c>
    </row>
    <row r="47" spans="1:7" x14ac:dyDescent="0.25">
      <c r="A47" t="s">
        <v>191</v>
      </c>
      <c r="B47" t="s">
        <v>232</v>
      </c>
      <c r="C47" t="s">
        <v>43</v>
      </c>
      <c r="D47" t="s">
        <v>297</v>
      </c>
      <c r="E47">
        <v>23</v>
      </c>
      <c r="F47">
        <v>10</v>
      </c>
      <c r="G47">
        <v>79</v>
      </c>
    </row>
    <row r="48" spans="1:7" x14ac:dyDescent="0.25">
      <c r="A48" t="s">
        <v>191</v>
      </c>
      <c r="B48" t="s">
        <v>232</v>
      </c>
      <c r="C48" t="s">
        <v>117</v>
      </c>
      <c r="D48" t="s">
        <v>296</v>
      </c>
      <c r="E48">
        <v>0</v>
      </c>
      <c r="F48">
        <v>0</v>
      </c>
      <c r="G48">
        <v>0</v>
      </c>
    </row>
    <row r="49" spans="1:7" x14ac:dyDescent="0.25">
      <c r="A49" t="s">
        <v>191</v>
      </c>
      <c r="B49" t="s">
        <v>232</v>
      </c>
      <c r="C49" t="s">
        <v>44</v>
      </c>
      <c r="D49" t="s">
        <v>273</v>
      </c>
      <c r="E49">
        <v>106</v>
      </c>
      <c r="F49">
        <v>54</v>
      </c>
      <c r="G49">
        <v>388</v>
      </c>
    </row>
    <row r="50" spans="1:7" x14ac:dyDescent="0.25">
      <c r="A50" t="s">
        <v>191</v>
      </c>
      <c r="B50" t="s">
        <v>232</v>
      </c>
      <c r="C50" t="s">
        <v>45</v>
      </c>
      <c r="D50" t="s">
        <v>274</v>
      </c>
      <c r="E50">
        <v>4</v>
      </c>
      <c r="F50">
        <v>3</v>
      </c>
      <c r="G50">
        <v>33</v>
      </c>
    </row>
    <row r="51" spans="1:7" x14ac:dyDescent="0.25">
      <c r="A51" t="s">
        <v>191</v>
      </c>
      <c r="B51" t="s">
        <v>232</v>
      </c>
      <c r="C51" t="s">
        <v>46</v>
      </c>
      <c r="D51" t="s">
        <v>275</v>
      </c>
      <c r="E51">
        <v>2</v>
      </c>
      <c r="F51">
        <v>1</v>
      </c>
      <c r="G51">
        <v>11</v>
      </c>
    </row>
    <row r="52" spans="1:7" x14ac:dyDescent="0.25">
      <c r="A52" t="s">
        <v>191</v>
      </c>
      <c r="B52" t="s">
        <v>232</v>
      </c>
      <c r="C52" t="s">
        <v>47</v>
      </c>
      <c r="D52" t="s">
        <v>276</v>
      </c>
      <c r="E52">
        <v>26</v>
      </c>
      <c r="F52">
        <v>11</v>
      </c>
      <c r="G52">
        <v>84</v>
      </c>
    </row>
    <row r="53" spans="1:7" x14ac:dyDescent="0.25">
      <c r="A53" t="s">
        <v>191</v>
      </c>
      <c r="B53" t="s">
        <v>232</v>
      </c>
      <c r="C53" t="s">
        <v>48</v>
      </c>
      <c r="D53" t="s">
        <v>271</v>
      </c>
      <c r="E53">
        <v>27</v>
      </c>
      <c r="F53">
        <v>16</v>
      </c>
      <c r="G53">
        <v>104</v>
      </c>
    </row>
    <row r="54" spans="1:7" x14ac:dyDescent="0.25">
      <c r="A54" t="s">
        <v>191</v>
      </c>
      <c r="B54" t="s">
        <v>232</v>
      </c>
      <c r="C54" t="s">
        <v>49</v>
      </c>
      <c r="D54" t="s">
        <v>277</v>
      </c>
      <c r="E54">
        <v>17</v>
      </c>
      <c r="F54">
        <v>9</v>
      </c>
      <c r="G54">
        <v>64</v>
      </c>
    </row>
    <row r="55" spans="1:7" x14ac:dyDescent="0.25">
      <c r="A55" t="s">
        <v>191</v>
      </c>
      <c r="B55" t="s">
        <v>232</v>
      </c>
      <c r="C55" t="s">
        <v>50</v>
      </c>
      <c r="D55" t="s">
        <v>294</v>
      </c>
      <c r="E55">
        <v>3</v>
      </c>
      <c r="F55">
        <v>3</v>
      </c>
      <c r="G55">
        <v>24</v>
      </c>
    </row>
    <row r="56" spans="1:7" x14ac:dyDescent="0.25">
      <c r="A56" t="s">
        <v>191</v>
      </c>
      <c r="B56" t="s">
        <v>232</v>
      </c>
      <c r="C56" t="s">
        <v>51</v>
      </c>
      <c r="D56" t="s">
        <v>278</v>
      </c>
      <c r="E56">
        <v>26</v>
      </c>
      <c r="F56">
        <v>12</v>
      </c>
      <c r="G56">
        <v>71</v>
      </c>
    </row>
    <row r="57" spans="1:7" x14ac:dyDescent="0.25">
      <c r="A57" t="s">
        <v>191</v>
      </c>
      <c r="B57" t="s">
        <v>232</v>
      </c>
      <c r="C57" t="s">
        <v>52</v>
      </c>
      <c r="D57" t="s">
        <v>279</v>
      </c>
      <c r="E57">
        <v>26</v>
      </c>
      <c r="F57">
        <v>13</v>
      </c>
      <c r="G57">
        <v>89</v>
      </c>
    </row>
    <row r="58" spans="1:7" x14ac:dyDescent="0.25">
      <c r="A58" t="s">
        <v>191</v>
      </c>
      <c r="B58" t="s">
        <v>232</v>
      </c>
      <c r="C58" t="s">
        <v>53</v>
      </c>
      <c r="D58" t="s">
        <v>289</v>
      </c>
      <c r="E58">
        <v>2</v>
      </c>
      <c r="F58">
        <v>1</v>
      </c>
      <c r="G58">
        <v>11</v>
      </c>
    </row>
    <row r="59" spans="1:7" x14ac:dyDescent="0.25">
      <c r="A59" t="s">
        <v>191</v>
      </c>
      <c r="B59" t="s">
        <v>232</v>
      </c>
      <c r="C59" t="s">
        <v>54</v>
      </c>
      <c r="D59" t="s">
        <v>280</v>
      </c>
      <c r="E59">
        <v>26</v>
      </c>
      <c r="F59">
        <v>14</v>
      </c>
      <c r="G59">
        <v>111</v>
      </c>
    </row>
    <row r="60" spans="1:7" x14ac:dyDescent="0.25">
      <c r="A60" t="s">
        <v>191</v>
      </c>
      <c r="B60" t="s">
        <v>232</v>
      </c>
      <c r="C60" t="s">
        <v>55</v>
      </c>
      <c r="D60" t="s">
        <v>281</v>
      </c>
      <c r="E60">
        <v>29</v>
      </c>
      <c r="F60">
        <v>12</v>
      </c>
      <c r="G60">
        <v>86</v>
      </c>
    </row>
    <row r="61" spans="1:7" x14ac:dyDescent="0.25">
      <c r="A61" t="s">
        <v>191</v>
      </c>
      <c r="B61" t="s">
        <v>232</v>
      </c>
      <c r="C61" t="s">
        <v>56</v>
      </c>
      <c r="D61" t="s">
        <v>282</v>
      </c>
      <c r="E61">
        <v>9</v>
      </c>
      <c r="F61">
        <v>5</v>
      </c>
      <c r="G61">
        <v>40</v>
      </c>
    </row>
    <row r="62" spans="1:7" x14ac:dyDescent="0.25">
      <c r="A62" t="s">
        <v>191</v>
      </c>
      <c r="B62" t="s">
        <v>232</v>
      </c>
      <c r="C62" t="s">
        <v>57</v>
      </c>
      <c r="D62" t="s">
        <v>283</v>
      </c>
      <c r="E62">
        <v>8</v>
      </c>
      <c r="F62">
        <v>9</v>
      </c>
      <c r="G62">
        <v>65</v>
      </c>
    </row>
    <row r="63" spans="1:7" x14ac:dyDescent="0.25">
      <c r="A63" t="s">
        <v>191</v>
      </c>
      <c r="B63" t="s">
        <v>232</v>
      </c>
      <c r="C63" t="s">
        <v>58</v>
      </c>
      <c r="D63" t="s">
        <v>284</v>
      </c>
      <c r="E63">
        <v>14</v>
      </c>
      <c r="F63">
        <v>9</v>
      </c>
      <c r="G63">
        <v>52</v>
      </c>
    </row>
    <row r="64" spans="1:7" x14ac:dyDescent="0.25">
      <c r="A64" t="s">
        <v>191</v>
      </c>
      <c r="B64" t="s">
        <v>232</v>
      </c>
      <c r="C64" t="s">
        <v>59</v>
      </c>
      <c r="D64" t="s">
        <v>290</v>
      </c>
      <c r="E64">
        <v>1</v>
      </c>
      <c r="F64">
        <v>2</v>
      </c>
      <c r="G64">
        <v>18</v>
      </c>
    </row>
    <row r="65" spans="1:7" x14ac:dyDescent="0.25">
      <c r="A65" t="s">
        <v>191</v>
      </c>
      <c r="B65" t="s">
        <v>232</v>
      </c>
      <c r="C65" t="s">
        <v>60</v>
      </c>
      <c r="D65" t="s">
        <v>291</v>
      </c>
      <c r="E65">
        <v>12</v>
      </c>
      <c r="F65">
        <v>6</v>
      </c>
      <c r="G65">
        <v>47</v>
      </c>
    </row>
    <row r="66" spans="1:7" x14ac:dyDescent="0.25">
      <c r="A66" t="s">
        <v>190</v>
      </c>
      <c r="B66" t="s">
        <v>232</v>
      </c>
      <c r="C66" t="s">
        <v>31</v>
      </c>
      <c r="D66" t="s">
        <v>285</v>
      </c>
      <c r="E66">
        <v>8</v>
      </c>
      <c r="F66">
        <v>2</v>
      </c>
      <c r="G66">
        <v>13</v>
      </c>
    </row>
    <row r="67" spans="1:7" x14ac:dyDescent="0.25">
      <c r="A67" t="s">
        <v>190</v>
      </c>
      <c r="B67" t="s">
        <v>232</v>
      </c>
      <c r="C67" t="s">
        <v>32</v>
      </c>
      <c r="D67" t="s">
        <v>286</v>
      </c>
      <c r="E67">
        <v>66</v>
      </c>
      <c r="F67">
        <v>25</v>
      </c>
      <c r="G67">
        <v>180</v>
      </c>
    </row>
    <row r="68" spans="1:7" x14ac:dyDescent="0.25">
      <c r="A68" t="s">
        <v>190</v>
      </c>
      <c r="B68" t="s">
        <v>232</v>
      </c>
      <c r="C68" t="s">
        <v>33</v>
      </c>
      <c r="D68" t="s">
        <v>292</v>
      </c>
      <c r="E68">
        <v>16</v>
      </c>
      <c r="F68">
        <v>6</v>
      </c>
      <c r="G68">
        <v>76</v>
      </c>
    </row>
    <row r="69" spans="1:7" x14ac:dyDescent="0.25">
      <c r="A69" t="s">
        <v>190</v>
      </c>
      <c r="B69" t="s">
        <v>232</v>
      </c>
      <c r="C69" t="s">
        <v>34</v>
      </c>
      <c r="D69" t="s">
        <v>287</v>
      </c>
      <c r="E69">
        <v>26</v>
      </c>
      <c r="F69">
        <v>12</v>
      </c>
      <c r="G69">
        <v>144</v>
      </c>
    </row>
    <row r="70" spans="1:7" x14ac:dyDescent="0.25">
      <c r="A70" t="s">
        <v>190</v>
      </c>
      <c r="B70" t="s">
        <v>232</v>
      </c>
      <c r="C70" t="s">
        <v>243</v>
      </c>
      <c r="D70" t="s">
        <v>288</v>
      </c>
      <c r="E70">
        <v>2</v>
      </c>
      <c r="F70">
        <v>1</v>
      </c>
      <c r="G70">
        <v>9</v>
      </c>
    </row>
    <row r="71" spans="1:7" x14ac:dyDescent="0.25">
      <c r="A71" t="s">
        <v>190</v>
      </c>
      <c r="B71" t="s">
        <v>232</v>
      </c>
      <c r="C71" t="s">
        <v>35</v>
      </c>
      <c r="D71" t="s">
        <v>266</v>
      </c>
      <c r="E71">
        <v>4</v>
      </c>
      <c r="F71">
        <v>2</v>
      </c>
      <c r="G71">
        <v>15</v>
      </c>
    </row>
    <row r="72" spans="1:7" x14ac:dyDescent="0.25">
      <c r="A72" t="s">
        <v>190</v>
      </c>
      <c r="B72" t="s">
        <v>232</v>
      </c>
      <c r="C72" t="s">
        <v>36</v>
      </c>
      <c r="D72" t="s">
        <v>267</v>
      </c>
      <c r="E72">
        <v>34</v>
      </c>
      <c r="F72">
        <v>16</v>
      </c>
      <c r="G72">
        <v>140</v>
      </c>
    </row>
    <row r="73" spans="1:7" x14ac:dyDescent="0.25">
      <c r="A73" t="s">
        <v>190</v>
      </c>
      <c r="B73" t="s">
        <v>232</v>
      </c>
      <c r="C73" t="s">
        <v>37</v>
      </c>
      <c r="D73" t="s">
        <v>293</v>
      </c>
      <c r="E73">
        <v>3</v>
      </c>
      <c r="F73">
        <v>1</v>
      </c>
      <c r="G73">
        <v>7</v>
      </c>
    </row>
    <row r="74" spans="1:7" x14ac:dyDescent="0.25">
      <c r="A74" t="s">
        <v>190</v>
      </c>
      <c r="B74" t="s">
        <v>232</v>
      </c>
      <c r="C74" t="s">
        <v>38</v>
      </c>
      <c r="D74" t="s">
        <v>268</v>
      </c>
      <c r="E74">
        <v>11</v>
      </c>
      <c r="F74">
        <v>7</v>
      </c>
      <c r="G74">
        <v>65</v>
      </c>
    </row>
    <row r="75" spans="1:7" x14ac:dyDescent="0.25">
      <c r="A75" t="s">
        <v>190</v>
      </c>
      <c r="B75" t="s">
        <v>232</v>
      </c>
      <c r="C75" t="s">
        <v>39</v>
      </c>
      <c r="D75" t="s">
        <v>295</v>
      </c>
      <c r="E75">
        <v>0</v>
      </c>
      <c r="F75">
        <v>0</v>
      </c>
      <c r="G75">
        <v>1</v>
      </c>
    </row>
    <row r="76" spans="1:7" x14ac:dyDescent="0.25">
      <c r="A76" t="s">
        <v>190</v>
      </c>
      <c r="B76" t="s">
        <v>232</v>
      </c>
      <c r="C76" t="s">
        <v>40</v>
      </c>
      <c r="D76" t="s">
        <v>269</v>
      </c>
      <c r="E76">
        <v>11</v>
      </c>
      <c r="F76">
        <v>4</v>
      </c>
      <c r="G76">
        <v>40</v>
      </c>
    </row>
    <row r="77" spans="1:7" x14ac:dyDescent="0.25">
      <c r="A77" t="s">
        <v>190</v>
      </c>
      <c r="B77" t="s">
        <v>232</v>
      </c>
      <c r="C77" t="s">
        <v>41</v>
      </c>
      <c r="D77" t="s">
        <v>270</v>
      </c>
      <c r="E77">
        <v>0</v>
      </c>
      <c r="F77">
        <v>0</v>
      </c>
      <c r="G77">
        <v>2</v>
      </c>
    </row>
    <row r="78" spans="1:7" x14ac:dyDescent="0.25">
      <c r="A78" t="s">
        <v>190</v>
      </c>
      <c r="B78" t="s">
        <v>232</v>
      </c>
      <c r="C78" t="s">
        <v>42</v>
      </c>
      <c r="D78" t="s">
        <v>272</v>
      </c>
      <c r="E78">
        <v>9</v>
      </c>
      <c r="F78">
        <v>5</v>
      </c>
      <c r="G78">
        <v>39</v>
      </c>
    </row>
    <row r="79" spans="1:7" x14ac:dyDescent="0.25">
      <c r="A79" t="s">
        <v>190</v>
      </c>
      <c r="B79" t="s">
        <v>232</v>
      </c>
      <c r="C79" t="s">
        <v>43</v>
      </c>
      <c r="D79" t="s">
        <v>297</v>
      </c>
      <c r="E79">
        <v>23</v>
      </c>
      <c r="F79">
        <v>9</v>
      </c>
      <c r="G79">
        <v>80</v>
      </c>
    </row>
    <row r="80" spans="1:7" x14ac:dyDescent="0.25">
      <c r="A80" t="s">
        <v>190</v>
      </c>
      <c r="B80" t="s">
        <v>232</v>
      </c>
      <c r="C80" t="s">
        <v>117</v>
      </c>
      <c r="D80" t="s">
        <v>296</v>
      </c>
      <c r="E80">
        <v>0</v>
      </c>
      <c r="F80">
        <v>0</v>
      </c>
      <c r="G80">
        <v>6</v>
      </c>
    </row>
    <row r="81" spans="1:7" x14ac:dyDescent="0.25">
      <c r="A81" t="s">
        <v>190</v>
      </c>
      <c r="B81" t="s">
        <v>232</v>
      </c>
      <c r="C81" t="s">
        <v>44</v>
      </c>
      <c r="D81" t="s">
        <v>273</v>
      </c>
      <c r="E81">
        <v>107</v>
      </c>
      <c r="F81">
        <v>53</v>
      </c>
      <c r="G81">
        <v>365</v>
      </c>
    </row>
    <row r="82" spans="1:7" x14ac:dyDescent="0.25">
      <c r="A82" t="s">
        <v>190</v>
      </c>
      <c r="B82" t="s">
        <v>232</v>
      </c>
      <c r="C82" t="s">
        <v>45</v>
      </c>
      <c r="D82" t="s">
        <v>274</v>
      </c>
      <c r="E82">
        <v>6</v>
      </c>
      <c r="F82">
        <v>4</v>
      </c>
      <c r="G82">
        <v>31</v>
      </c>
    </row>
    <row r="83" spans="1:7" x14ac:dyDescent="0.25">
      <c r="A83" t="s">
        <v>190</v>
      </c>
      <c r="B83" t="s">
        <v>232</v>
      </c>
      <c r="C83" t="s">
        <v>46</v>
      </c>
      <c r="D83" t="s">
        <v>275</v>
      </c>
      <c r="E83">
        <v>2</v>
      </c>
      <c r="F83">
        <v>1</v>
      </c>
      <c r="G83">
        <v>8</v>
      </c>
    </row>
    <row r="84" spans="1:7" x14ac:dyDescent="0.25">
      <c r="A84" t="s">
        <v>190</v>
      </c>
      <c r="B84" t="s">
        <v>232</v>
      </c>
      <c r="C84" t="s">
        <v>47</v>
      </c>
      <c r="D84" t="s">
        <v>276</v>
      </c>
      <c r="E84">
        <v>26</v>
      </c>
      <c r="F84">
        <v>12</v>
      </c>
      <c r="G84">
        <v>72</v>
      </c>
    </row>
    <row r="85" spans="1:7" x14ac:dyDescent="0.25">
      <c r="A85" t="s">
        <v>190</v>
      </c>
      <c r="B85" t="s">
        <v>232</v>
      </c>
      <c r="C85" t="s">
        <v>48</v>
      </c>
      <c r="D85" t="s">
        <v>271</v>
      </c>
      <c r="E85">
        <v>34</v>
      </c>
      <c r="F85">
        <v>12</v>
      </c>
      <c r="G85">
        <v>94</v>
      </c>
    </row>
    <row r="86" spans="1:7" x14ac:dyDescent="0.25">
      <c r="A86" t="s">
        <v>190</v>
      </c>
      <c r="B86" t="s">
        <v>232</v>
      </c>
      <c r="C86" t="s">
        <v>49</v>
      </c>
      <c r="D86" t="s">
        <v>277</v>
      </c>
      <c r="E86">
        <v>12</v>
      </c>
      <c r="F86">
        <v>9</v>
      </c>
      <c r="G86">
        <v>87</v>
      </c>
    </row>
    <row r="87" spans="1:7" x14ac:dyDescent="0.25">
      <c r="A87" t="s">
        <v>190</v>
      </c>
      <c r="B87" t="s">
        <v>232</v>
      </c>
      <c r="C87" t="s">
        <v>50</v>
      </c>
      <c r="D87" t="s">
        <v>294</v>
      </c>
      <c r="E87">
        <v>3</v>
      </c>
      <c r="F87">
        <v>3</v>
      </c>
      <c r="G87">
        <v>28</v>
      </c>
    </row>
    <row r="88" spans="1:7" x14ac:dyDescent="0.25">
      <c r="A88" t="s">
        <v>190</v>
      </c>
      <c r="B88" t="s">
        <v>232</v>
      </c>
      <c r="C88" t="s">
        <v>51</v>
      </c>
      <c r="D88" t="s">
        <v>278</v>
      </c>
      <c r="E88">
        <v>19</v>
      </c>
      <c r="F88">
        <v>12</v>
      </c>
      <c r="G88">
        <v>67</v>
      </c>
    </row>
    <row r="89" spans="1:7" x14ac:dyDescent="0.25">
      <c r="A89" t="s">
        <v>190</v>
      </c>
      <c r="B89" t="s">
        <v>232</v>
      </c>
      <c r="C89" t="s">
        <v>52</v>
      </c>
      <c r="D89" t="s">
        <v>279</v>
      </c>
      <c r="E89">
        <v>24</v>
      </c>
      <c r="F89">
        <v>9</v>
      </c>
      <c r="G89">
        <v>93</v>
      </c>
    </row>
    <row r="90" spans="1:7" x14ac:dyDescent="0.25">
      <c r="A90" t="s">
        <v>190</v>
      </c>
      <c r="B90" t="s">
        <v>232</v>
      </c>
      <c r="C90" t="s">
        <v>53</v>
      </c>
      <c r="D90" t="s">
        <v>289</v>
      </c>
      <c r="E90">
        <v>1</v>
      </c>
      <c r="F90">
        <v>1</v>
      </c>
      <c r="G90">
        <v>11</v>
      </c>
    </row>
    <row r="91" spans="1:7" x14ac:dyDescent="0.25">
      <c r="A91" t="s">
        <v>190</v>
      </c>
      <c r="B91" t="s">
        <v>232</v>
      </c>
      <c r="C91" t="s">
        <v>54</v>
      </c>
      <c r="D91" t="s">
        <v>280</v>
      </c>
      <c r="E91">
        <v>26</v>
      </c>
      <c r="F91">
        <v>13</v>
      </c>
      <c r="G91">
        <v>108</v>
      </c>
    </row>
    <row r="92" spans="1:7" x14ac:dyDescent="0.25">
      <c r="A92" t="s">
        <v>190</v>
      </c>
      <c r="B92" t="s">
        <v>232</v>
      </c>
      <c r="C92" t="s">
        <v>55</v>
      </c>
      <c r="D92" t="s">
        <v>281</v>
      </c>
      <c r="E92">
        <v>25</v>
      </c>
      <c r="F92">
        <v>14</v>
      </c>
      <c r="G92">
        <v>87</v>
      </c>
    </row>
    <row r="93" spans="1:7" x14ac:dyDescent="0.25">
      <c r="A93" t="s">
        <v>190</v>
      </c>
      <c r="B93" t="s">
        <v>232</v>
      </c>
      <c r="C93" t="s">
        <v>56</v>
      </c>
      <c r="D93" t="s">
        <v>282</v>
      </c>
      <c r="E93">
        <v>7</v>
      </c>
      <c r="F93">
        <v>5</v>
      </c>
      <c r="G93">
        <v>41</v>
      </c>
    </row>
    <row r="94" spans="1:7" x14ac:dyDescent="0.25">
      <c r="A94" t="s">
        <v>190</v>
      </c>
      <c r="B94" t="s">
        <v>232</v>
      </c>
      <c r="C94" t="s">
        <v>57</v>
      </c>
      <c r="D94" t="s">
        <v>283</v>
      </c>
      <c r="E94">
        <v>9</v>
      </c>
      <c r="F94">
        <v>8</v>
      </c>
      <c r="G94">
        <v>54</v>
      </c>
    </row>
    <row r="95" spans="1:7" x14ac:dyDescent="0.25">
      <c r="A95" t="s">
        <v>190</v>
      </c>
      <c r="B95" t="s">
        <v>232</v>
      </c>
      <c r="C95" t="s">
        <v>58</v>
      </c>
      <c r="D95" t="s">
        <v>284</v>
      </c>
      <c r="E95">
        <v>17</v>
      </c>
      <c r="F95">
        <v>9</v>
      </c>
      <c r="G95">
        <v>47</v>
      </c>
    </row>
    <row r="96" spans="1:7" x14ac:dyDescent="0.25">
      <c r="A96" t="s">
        <v>190</v>
      </c>
      <c r="B96" t="s">
        <v>232</v>
      </c>
      <c r="C96" t="s">
        <v>59</v>
      </c>
      <c r="D96" t="s">
        <v>290</v>
      </c>
      <c r="E96">
        <v>2</v>
      </c>
      <c r="F96">
        <v>2</v>
      </c>
      <c r="G96">
        <v>15</v>
      </c>
    </row>
    <row r="97" spans="1:7" x14ac:dyDescent="0.25">
      <c r="A97" t="s">
        <v>190</v>
      </c>
      <c r="B97" t="s">
        <v>232</v>
      </c>
      <c r="C97" t="s">
        <v>60</v>
      </c>
      <c r="D97" t="s">
        <v>291</v>
      </c>
      <c r="E97">
        <v>10</v>
      </c>
      <c r="F97">
        <v>5</v>
      </c>
      <c r="G97">
        <v>40</v>
      </c>
    </row>
    <row r="98" spans="1:7" x14ac:dyDescent="0.25">
      <c r="A98" t="s">
        <v>257</v>
      </c>
      <c r="B98" t="s">
        <v>232</v>
      </c>
      <c r="C98" t="s">
        <v>31</v>
      </c>
      <c r="D98" t="s">
        <v>285</v>
      </c>
      <c r="E98">
        <v>2</v>
      </c>
      <c r="F98">
        <v>1</v>
      </c>
      <c r="G98">
        <v>5</v>
      </c>
    </row>
    <row r="99" spans="1:7" x14ac:dyDescent="0.25">
      <c r="A99" t="s">
        <v>257</v>
      </c>
      <c r="B99" t="s">
        <v>232</v>
      </c>
      <c r="C99" t="s">
        <v>32</v>
      </c>
      <c r="D99" t="s">
        <v>286</v>
      </c>
      <c r="E99">
        <v>68</v>
      </c>
      <c r="F99">
        <v>26</v>
      </c>
      <c r="G99">
        <v>188</v>
      </c>
    </row>
    <row r="100" spans="1:7" x14ac:dyDescent="0.25">
      <c r="A100" t="s">
        <v>257</v>
      </c>
      <c r="B100" t="s">
        <v>232</v>
      </c>
      <c r="C100" t="s">
        <v>33</v>
      </c>
      <c r="D100" t="s">
        <v>292</v>
      </c>
      <c r="E100">
        <v>17</v>
      </c>
      <c r="F100">
        <v>6</v>
      </c>
      <c r="G100">
        <v>71</v>
      </c>
    </row>
    <row r="101" spans="1:7" x14ac:dyDescent="0.25">
      <c r="A101" t="s">
        <v>257</v>
      </c>
      <c r="B101" t="s">
        <v>232</v>
      </c>
      <c r="C101" t="s">
        <v>34</v>
      </c>
      <c r="D101" t="s">
        <v>287</v>
      </c>
      <c r="E101">
        <v>27</v>
      </c>
      <c r="F101">
        <v>14</v>
      </c>
      <c r="G101">
        <v>144</v>
      </c>
    </row>
    <row r="102" spans="1:7" x14ac:dyDescent="0.25">
      <c r="A102" t="s">
        <v>257</v>
      </c>
      <c r="B102" t="s">
        <v>232</v>
      </c>
      <c r="C102" t="s">
        <v>243</v>
      </c>
      <c r="D102" t="s">
        <v>288</v>
      </c>
      <c r="E102">
        <v>1</v>
      </c>
      <c r="F102">
        <v>1</v>
      </c>
      <c r="G102">
        <v>10</v>
      </c>
    </row>
    <row r="103" spans="1:7" x14ac:dyDescent="0.25">
      <c r="A103" t="s">
        <v>257</v>
      </c>
      <c r="B103" t="s">
        <v>232</v>
      </c>
      <c r="C103" t="s">
        <v>35</v>
      </c>
      <c r="D103" t="s">
        <v>266</v>
      </c>
      <c r="E103">
        <v>4</v>
      </c>
      <c r="F103">
        <v>2</v>
      </c>
      <c r="G103">
        <v>18</v>
      </c>
    </row>
    <row r="104" spans="1:7" x14ac:dyDescent="0.25">
      <c r="A104" t="s">
        <v>257</v>
      </c>
      <c r="B104" t="s">
        <v>232</v>
      </c>
      <c r="C104" t="s">
        <v>36</v>
      </c>
      <c r="D104" t="s">
        <v>267</v>
      </c>
      <c r="E104">
        <v>37</v>
      </c>
      <c r="F104">
        <v>16</v>
      </c>
      <c r="G104">
        <v>149</v>
      </c>
    </row>
    <row r="105" spans="1:7" x14ac:dyDescent="0.25">
      <c r="A105" t="s">
        <v>257</v>
      </c>
      <c r="B105" t="s">
        <v>232</v>
      </c>
      <c r="C105" t="s">
        <v>37</v>
      </c>
      <c r="D105" t="s">
        <v>293</v>
      </c>
      <c r="E105">
        <v>3</v>
      </c>
      <c r="F105">
        <v>1</v>
      </c>
      <c r="G105">
        <v>9</v>
      </c>
    </row>
    <row r="106" spans="1:7" x14ac:dyDescent="0.25">
      <c r="A106" t="s">
        <v>257</v>
      </c>
      <c r="B106" t="s">
        <v>232</v>
      </c>
      <c r="C106" t="s">
        <v>38</v>
      </c>
      <c r="D106" t="s">
        <v>268</v>
      </c>
      <c r="E106">
        <v>11</v>
      </c>
      <c r="F106">
        <v>7</v>
      </c>
      <c r="G106">
        <v>63</v>
      </c>
    </row>
    <row r="107" spans="1:7" x14ac:dyDescent="0.25">
      <c r="A107" t="s">
        <v>257</v>
      </c>
      <c r="B107" t="s">
        <v>232</v>
      </c>
      <c r="C107" t="s">
        <v>39</v>
      </c>
      <c r="D107" t="s">
        <v>295</v>
      </c>
      <c r="E107">
        <v>0</v>
      </c>
      <c r="F107">
        <v>0</v>
      </c>
      <c r="G107">
        <v>0</v>
      </c>
    </row>
    <row r="108" spans="1:7" x14ac:dyDescent="0.25">
      <c r="A108" t="s">
        <v>257</v>
      </c>
      <c r="B108" t="s">
        <v>232</v>
      </c>
      <c r="C108" t="s">
        <v>40</v>
      </c>
      <c r="D108" t="s">
        <v>269</v>
      </c>
      <c r="E108">
        <v>12</v>
      </c>
      <c r="F108">
        <v>5</v>
      </c>
      <c r="G108">
        <v>38</v>
      </c>
    </row>
    <row r="109" spans="1:7" x14ac:dyDescent="0.25">
      <c r="A109" t="s">
        <v>257</v>
      </c>
      <c r="B109" t="s">
        <v>232</v>
      </c>
      <c r="C109" t="s">
        <v>41</v>
      </c>
      <c r="D109" t="s">
        <v>270</v>
      </c>
      <c r="E109">
        <v>0</v>
      </c>
      <c r="F109">
        <v>0</v>
      </c>
      <c r="G109">
        <v>0</v>
      </c>
    </row>
    <row r="110" spans="1:7" x14ac:dyDescent="0.25">
      <c r="A110" t="s">
        <v>257</v>
      </c>
      <c r="B110" t="s">
        <v>232</v>
      </c>
      <c r="C110" t="s">
        <v>42</v>
      </c>
      <c r="D110" t="s">
        <v>272</v>
      </c>
      <c r="E110">
        <v>10</v>
      </c>
      <c r="F110">
        <v>5</v>
      </c>
      <c r="G110">
        <v>41</v>
      </c>
    </row>
    <row r="111" spans="1:7" x14ac:dyDescent="0.25">
      <c r="A111" t="s">
        <v>257</v>
      </c>
      <c r="B111" t="s">
        <v>232</v>
      </c>
      <c r="C111" t="s">
        <v>43</v>
      </c>
      <c r="D111" t="s">
        <v>297</v>
      </c>
      <c r="E111">
        <v>22</v>
      </c>
      <c r="F111">
        <v>9</v>
      </c>
      <c r="G111">
        <v>78</v>
      </c>
    </row>
    <row r="112" spans="1:7" x14ac:dyDescent="0.25">
      <c r="A112" t="s">
        <v>257</v>
      </c>
      <c r="B112" t="s">
        <v>232</v>
      </c>
      <c r="C112" t="s">
        <v>117</v>
      </c>
      <c r="D112" t="s">
        <v>296</v>
      </c>
      <c r="E112">
        <v>0</v>
      </c>
      <c r="F112">
        <v>0</v>
      </c>
      <c r="G112">
        <v>0</v>
      </c>
    </row>
    <row r="113" spans="1:7" x14ac:dyDescent="0.25">
      <c r="A113" t="s">
        <v>257</v>
      </c>
      <c r="B113" t="s">
        <v>232</v>
      </c>
      <c r="C113" t="s">
        <v>44</v>
      </c>
      <c r="D113" t="s">
        <v>273</v>
      </c>
      <c r="E113">
        <v>102</v>
      </c>
      <c r="F113">
        <v>52</v>
      </c>
      <c r="G113">
        <v>371</v>
      </c>
    </row>
    <row r="114" spans="1:7" x14ac:dyDescent="0.25">
      <c r="A114" t="s">
        <v>257</v>
      </c>
      <c r="B114" t="s">
        <v>232</v>
      </c>
      <c r="C114" t="s">
        <v>45</v>
      </c>
      <c r="D114" t="s">
        <v>274</v>
      </c>
      <c r="E114">
        <v>6</v>
      </c>
      <c r="F114">
        <v>3</v>
      </c>
      <c r="G114">
        <v>30</v>
      </c>
    </row>
    <row r="115" spans="1:7" x14ac:dyDescent="0.25">
      <c r="A115" t="s">
        <v>257</v>
      </c>
      <c r="B115" t="s">
        <v>232</v>
      </c>
      <c r="C115" t="s">
        <v>46</v>
      </c>
      <c r="D115" t="s">
        <v>275</v>
      </c>
      <c r="E115">
        <v>2</v>
      </c>
      <c r="F115">
        <v>1</v>
      </c>
      <c r="G115">
        <v>8</v>
      </c>
    </row>
    <row r="116" spans="1:7" x14ac:dyDescent="0.25">
      <c r="A116" t="s">
        <v>257</v>
      </c>
      <c r="B116" t="s">
        <v>232</v>
      </c>
      <c r="C116" t="s">
        <v>47</v>
      </c>
      <c r="D116" t="s">
        <v>276</v>
      </c>
      <c r="E116">
        <v>26</v>
      </c>
      <c r="F116">
        <v>13</v>
      </c>
      <c r="G116">
        <v>86</v>
      </c>
    </row>
    <row r="117" spans="1:7" x14ac:dyDescent="0.25">
      <c r="A117" t="s">
        <v>257</v>
      </c>
      <c r="B117" t="s">
        <v>232</v>
      </c>
      <c r="C117" t="s">
        <v>48</v>
      </c>
      <c r="D117" t="s">
        <v>271</v>
      </c>
      <c r="E117">
        <v>33</v>
      </c>
      <c r="F117">
        <v>12</v>
      </c>
      <c r="G117">
        <v>92</v>
      </c>
    </row>
    <row r="118" spans="1:7" x14ac:dyDescent="0.25">
      <c r="A118" t="s">
        <v>257</v>
      </c>
      <c r="B118" t="s">
        <v>232</v>
      </c>
      <c r="C118" t="s">
        <v>49</v>
      </c>
      <c r="D118" t="s">
        <v>277</v>
      </c>
      <c r="E118">
        <v>12</v>
      </c>
      <c r="F118">
        <v>10</v>
      </c>
      <c r="G118">
        <v>84</v>
      </c>
    </row>
    <row r="119" spans="1:7" x14ac:dyDescent="0.25">
      <c r="A119" t="s">
        <v>257</v>
      </c>
      <c r="B119" t="s">
        <v>232</v>
      </c>
      <c r="C119" t="s">
        <v>50</v>
      </c>
      <c r="D119" t="s">
        <v>294</v>
      </c>
      <c r="E119">
        <v>6</v>
      </c>
      <c r="F119">
        <v>3</v>
      </c>
      <c r="G119">
        <v>26</v>
      </c>
    </row>
    <row r="120" spans="1:7" x14ac:dyDescent="0.25">
      <c r="A120" t="s">
        <v>257</v>
      </c>
      <c r="B120" t="s">
        <v>232</v>
      </c>
      <c r="C120" t="s">
        <v>51</v>
      </c>
      <c r="D120" t="s">
        <v>278</v>
      </c>
      <c r="E120">
        <v>21</v>
      </c>
      <c r="F120">
        <v>11</v>
      </c>
      <c r="G120">
        <v>63</v>
      </c>
    </row>
    <row r="121" spans="1:7" x14ac:dyDescent="0.25">
      <c r="A121" t="s">
        <v>257</v>
      </c>
      <c r="B121" t="s">
        <v>232</v>
      </c>
      <c r="C121" t="s">
        <v>52</v>
      </c>
      <c r="D121" t="s">
        <v>279</v>
      </c>
      <c r="E121">
        <v>23</v>
      </c>
      <c r="F121">
        <v>9</v>
      </c>
      <c r="G121">
        <v>90</v>
      </c>
    </row>
    <row r="122" spans="1:7" x14ac:dyDescent="0.25">
      <c r="A122" t="s">
        <v>257</v>
      </c>
      <c r="B122" t="s">
        <v>232</v>
      </c>
      <c r="C122" t="s">
        <v>53</v>
      </c>
      <c r="D122" t="s">
        <v>289</v>
      </c>
      <c r="E122">
        <v>2</v>
      </c>
      <c r="F122">
        <v>1</v>
      </c>
      <c r="G122">
        <v>10</v>
      </c>
    </row>
    <row r="123" spans="1:7" x14ac:dyDescent="0.25">
      <c r="A123" t="s">
        <v>257</v>
      </c>
      <c r="B123" t="s">
        <v>232</v>
      </c>
      <c r="C123" t="s">
        <v>54</v>
      </c>
      <c r="D123" t="s">
        <v>280</v>
      </c>
      <c r="E123">
        <v>27</v>
      </c>
      <c r="F123">
        <v>13</v>
      </c>
      <c r="G123">
        <v>103</v>
      </c>
    </row>
    <row r="124" spans="1:7" x14ac:dyDescent="0.25">
      <c r="A124" t="s">
        <v>257</v>
      </c>
      <c r="B124" t="s">
        <v>232</v>
      </c>
      <c r="C124" t="s">
        <v>55</v>
      </c>
      <c r="D124" t="s">
        <v>281</v>
      </c>
      <c r="E124">
        <v>27</v>
      </c>
      <c r="F124">
        <v>12</v>
      </c>
      <c r="G124">
        <v>83</v>
      </c>
    </row>
    <row r="125" spans="1:7" x14ac:dyDescent="0.25">
      <c r="A125" t="s">
        <v>257</v>
      </c>
      <c r="B125" t="s">
        <v>232</v>
      </c>
      <c r="C125" t="s">
        <v>56</v>
      </c>
      <c r="D125" t="s">
        <v>282</v>
      </c>
      <c r="E125">
        <v>8</v>
      </c>
      <c r="F125">
        <v>5</v>
      </c>
      <c r="G125">
        <v>35</v>
      </c>
    </row>
    <row r="126" spans="1:7" x14ac:dyDescent="0.25">
      <c r="A126" t="s">
        <v>257</v>
      </c>
      <c r="B126" t="s">
        <v>232</v>
      </c>
      <c r="C126" t="s">
        <v>57</v>
      </c>
      <c r="D126" t="s">
        <v>283</v>
      </c>
      <c r="E126">
        <v>9</v>
      </c>
      <c r="F126">
        <v>8</v>
      </c>
      <c r="G126">
        <v>57</v>
      </c>
    </row>
    <row r="127" spans="1:7" x14ac:dyDescent="0.25">
      <c r="A127" t="s">
        <v>257</v>
      </c>
      <c r="B127" t="s">
        <v>232</v>
      </c>
      <c r="C127" t="s">
        <v>58</v>
      </c>
      <c r="D127" t="s">
        <v>284</v>
      </c>
      <c r="E127">
        <v>17</v>
      </c>
      <c r="F127">
        <v>8</v>
      </c>
      <c r="G127">
        <v>48</v>
      </c>
    </row>
    <row r="128" spans="1:7" x14ac:dyDescent="0.25">
      <c r="A128" t="s">
        <v>257</v>
      </c>
      <c r="B128" t="s">
        <v>232</v>
      </c>
      <c r="C128" t="s">
        <v>59</v>
      </c>
      <c r="D128" t="s">
        <v>290</v>
      </c>
      <c r="E128">
        <v>2</v>
      </c>
      <c r="F128">
        <v>1</v>
      </c>
      <c r="G128">
        <v>14</v>
      </c>
    </row>
    <row r="129" spans="1:7" x14ac:dyDescent="0.25">
      <c r="A129" t="s">
        <v>257</v>
      </c>
      <c r="B129" t="s">
        <v>232</v>
      </c>
      <c r="C129" t="s">
        <v>60</v>
      </c>
      <c r="D129" t="s">
        <v>291</v>
      </c>
      <c r="E129">
        <v>12</v>
      </c>
      <c r="F129">
        <v>5</v>
      </c>
      <c r="G129">
        <v>47</v>
      </c>
    </row>
    <row r="130" spans="1:7" x14ac:dyDescent="0.25">
      <c r="A130" t="s">
        <v>240</v>
      </c>
      <c r="B130" t="s">
        <v>232</v>
      </c>
      <c r="C130" t="s">
        <v>31</v>
      </c>
      <c r="D130" t="s">
        <v>285</v>
      </c>
      <c r="E130">
        <v>1</v>
      </c>
      <c r="F130">
        <v>1</v>
      </c>
      <c r="G130">
        <v>6</v>
      </c>
    </row>
    <row r="131" spans="1:7" x14ac:dyDescent="0.25">
      <c r="A131" t="s">
        <v>240</v>
      </c>
      <c r="B131" t="s">
        <v>232</v>
      </c>
      <c r="C131" t="s">
        <v>32</v>
      </c>
      <c r="D131" t="s">
        <v>286</v>
      </c>
      <c r="E131">
        <v>69</v>
      </c>
      <c r="F131">
        <v>24</v>
      </c>
      <c r="G131">
        <v>182</v>
      </c>
    </row>
    <row r="132" spans="1:7" x14ac:dyDescent="0.25">
      <c r="A132" t="s">
        <v>240</v>
      </c>
      <c r="B132" t="s">
        <v>232</v>
      </c>
      <c r="C132" t="s">
        <v>33</v>
      </c>
      <c r="D132" t="s">
        <v>292</v>
      </c>
      <c r="E132">
        <v>16</v>
      </c>
      <c r="F132">
        <v>6</v>
      </c>
      <c r="G132">
        <v>71</v>
      </c>
    </row>
    <row r="133" spans="1:7" x14ac:dyDescent="0.25">
      <c r="A133" t="s">
        <v>240</v>
      </c>
      <c r="B133" t="s">
        <v>232</v>
      </c>
      <c r="C133" t="s">
        <v>34</v>
      </c>
      <c r="D133" t="s">
        <v>287</v>
      </c>
      <c r="E133">
        <v>26</v>
      </c>
      <c r="F133">
        <v>14</v>
      </c>
      <c r="G133">
        <v>137</v>
      </c>
    </row>
    <row r="134" spans="1:7" x14ac:dyDescent="0.25">
      <c r="A134" t="s">
        <v>240</v>
      </c>
      <c r="B134" t="s">
        <v>232</v>
      </c>
      <c r="C134" t="s">
        <v>243</v>
      </c>
      <c r="D134" t="s">
        <v>288</v>
      </c>
      <c r="E134">
        <v>1</v>
      </c>
      <c r="F134">
        <v>1</v>
      </c>
      <c r="G134">
        <v>9</v>
      </c>
    </row>
    <row r="135" spans="1:7" x14ac:dyDescent="0.25">
      <c r="A135" t="s">
        <v>240</v>
      </c>
      <c r="B135" t="s">
        <v>232</v>
      </c>
      <c r="C135" t="s">
        <v>35</v>
      </c>
      <c r="D135" t="s">
        <v>266</v>
      </c>
      <c r="E135">
        <v>3</v>
      </c>
      <c r="F135">
        <v>2</v>
      </c>
      <c r="G135">
        <v>17</v>
      </c>
    </row>
    <row r="136" spans="1:7" x14ac:dyDescent="0.25">
      <c r="A136" t="s">
        <v>240</v>
      </c>
      <c r="B136" t="s">
        <v>232</v>
      </c>
      <c r="C136" t="s">
        <v>36</v>
      </c>
      <c r="D136" t="s">
        <v>267</v>
      </c>
      <c r="E136">
        <v>34</v>
      </c>
      <c r="F136">
        <v>16</v>
      </c>
      <c r="G136">
        <v>139</v>
      </c>
    </row>
    <row r="137" spans="1:7" x14ac:dyDescent="0.25">
      <c r="A137" t="s">
        <v>240</v>
      </c>
      <c r="B137" t="s">
        <v>232</v>
      </c>
      <c r="C137" t="s">
        <v>37</v>
      </c>
      <c r="D137" t="s">
        <v>293</v>
      </c>
      <c r="E137">
        <v>2</v>
      </c>
      <c r="F137">
        <v>1</v>
      </c>
      <c r="G137">
        <v>10</v>
      </c>
    </row>
    <row r="138" spans="1:7" x14ac:dyDescent="0.25">
      <c r="A138" t="s">
        <v>240</v>
      </c>
      <c r="B138" t="s">
        <v>232</v>
      </c>
      <c r="C138" t="s">
        <v>38</v>
      </c>
      <c r="D138" t="s">
        <v>268</v>
      </c>
      <c r="E138">
        <v>9</v>
      </c>
      <c r="F138">
        <v>7</v>
      </c>
      <c r="G138">
        <v>66</v>
      </c>
    </row>
    <row r="139" spans="1:7" x14ac:dyDescent="0.25">
      <c r="A139" t="s">
        <v>240</v>
      </c>
      <c r="B139" t="s">
        <v>232</v>
      </c>
      <c r="C139" t="s">
        <v>40</v>
      </c>
      <c r="D139" t="s">
        <v>269</v>
      </c>
      <c r="E139">
        <v>10</v>
      </c>
      <c r="F139">
        <v>5</v>
      </c>
      <c r="G139">
        <v>41</v>
      </c>
    </row>
    <row r="140" spans="1:7" x14ac:dyDescent="0.25">
      <c r="A140" t="s">
        <v>240</v>
      </c>
      <c r="B140" t="s">
        <v>232</v>
      </c>
      <c r="C140" t="s">
        <v>42</v>
      </c>
      <c r="D140" t="s">
        <v>272</v>
      </c>
      <c r="E140">
        <v>11</v>
      </c>
      <c r="F140">
        <v>5</v>
      </c>
      <c r="G140">
        <v>38</v>
      </c>
    </row>
    <row r="141" spans="1:7" x14ac:dyDescent="0.25">
      <c r="A141" t="s">
        <v>240</v>
      </c>
      <c r="B141" t="s">
        <v>232</v>
      </c>
      <c r="C141" t="s">
        <v>43</v>
      </c>
      <c r="D141" t="s">
        <v>297</v>
      </c>
      <c r="E141">
        <v>21</v>
      </c>
      <c r="F141">
        <v>9</v>
      </c>
      <c r="G141">
        <v>85</v>
      </c>
    </row>
    <row r="142" spans="1:7" x14ac:dyDescent="0.25">
      <c r="A142" t="s">
        <v>240</v>
      </c>
      <c r="B142" t="s">
        <v>232</v>
      </c>
      <c r="C142" t="s">
        <v>44</v>
      </c>
      <c r="D142" t="s">
        <v>273</v>
      </c>
      <c r="E142">
        <v>106</v>
      </c>
      <c r="F142">
        <v>55</v>
      </c>
      <c r="G142">
        <v>377</v>
      </c>
    </row>
    <row r="143" spans="1:7" x14ac:dyDescent="0.25">
      <c r="A143" t="s">
        <v>240</v>
      </c>
      <c r="B143" t="s">
        <v>232</v>
      </c>
      <c r="C143" t="s">
        <v>45</v>
      </c>
      <c r="D143" t="s">
        <v>274</v>
      </c>
      <c r="E143">
        <v>6</v>
      </c>
      <c r="F143">
        <v>3</v>
      </c>
      <c r="G143">
        <v>33</v>
      </c>
    </row>
    <row r="144" spans="1:7" x14ac:dyDescent="0.25">
      <c r="A144" t="s">
        <v>240</v>
      </c>
      <c r="B144" t="s">
        <v>232</v>
      </c>
      <c r="C144" t="s">
        <v>46</v>
      </c>
      <c r="D144" t="s">
        <v>275</v>
      </c>
      <c r="E144">
        <v>2</v>
      </c>
      <c r="F144">
        <v>1</v>
      </c>
      <c r="G144">
        <v>9</v>
      </c>
    </row>
    <row r="145" spans="1:7" x14ac:dyDescent="0.25">
      <c r="A145" t="s">
        <v>240</v>
      </c>
      <c r="B145" t="s">
        <v>232</v>
      </c>
      <c r="C145" t="s">
        <v>47</v>
      </c>
      <c r="D145" t="s">
        <v>276</v>
      </c>
      <c r="E145">
        <v>27</v>
      </c>
      <c r="F145">
        <v>12</v>
      </c>
      <c r="G145">
        <v>81</v>
      </c>
    </row>
    <row r="146" spans="1:7" x14ac:dyDescent="0.25">
      <c r="A146" t="s">
        <v>240</v>
      </c>
      <c r="B146" t="s">
        <v>232</v>
      </c>
      <c r="C146" t="s">
        <v>48</v>
      </c>
      <c r="D146" t="s">
        <v>271</v>
      </c>
      <c r="E146">
        <v>25</v>
      </c>
      <c r="F146">
        <v>13</v>
      </c>
      <c r="G146">
        <v>93</v>
      </c>
    </row>
    <row r="147" spans="1:7" x14ac:dyDescent="0.25">
      <c r="A147" t="s">
        <v>240</v>
      </c>
      <c r="B147" t="s">
        <v>232</v>
      </c>
      <c r="C147" t="s">
        <v>49</v>
      </c>
      <c r="D147" t="s">
        <v>277</v>
      </c>
      <c r="E147">
        <v>10</v>
      </c>
      <c r="F147">
        <v>10</v>
      </c>
      <c r="G147">
        <v>86</v>
      </c>
    </row>
    <row r="148" spans="1:7" x14ac:dyDescent="0.25">
      <c r="A148" t="s">
        <v>240</v>
      </c>
      <c r="B148" t="s">
        <v>232</v>
      </c>
      <c r="C148" t="s">
        <v>50</v>
      </c>
      <c r="D148" t="s">
        <v>294</v>
      </c>
      <c r="E148">
        <v>6</v>
      </c>
      <c r="F148">
        <v>3</v>
      </c>
      <c r="G148">
        <v>28</v>
      </c>
    </row>
    <row r="149" spans="1:7" x14ac:dyDescent="0.25">
      <c r="A149" t="s">
        <v>240</v>
      </c>
      <c r="B149" t="s">
        <v>232</v>
      </c>
      <c r="C149" t="s">
        <v>51</v>
      </c>
      <c r="D149" t="s">
        <v>278</v>
      </c>
      <c r="E149">
        <v>22</v>
      </c>
      <c r="F149">
        <v>9</v>
      </c>
      <c r="G149">
        <v>69</v>
      </c>
    </row>
    <row r="150" spans="1:7" x14ac:dyDescent="0.25">
      <c r="A150" t="s">
        <v>240</v>
      </c>
      <c r="B150" t="s">
        <v>232</v>
      </c>
      <c r="C150" t="s">
        <v>52</v>
      </c>
      <c r="D150" t="s">
        <v>279</v>
      </c>
      <c r="E150">
        <v>23</v>
      </c>
      <c r="F150">
        <v>9</v>
      </c>
      <c r="G150">
        <v>94</v>
      </c>
    </row>
    <row r="151" spans="1:7" x14ac:dyDescent="0.25">
      <c r="A151" t="s">
        <v>240</v>
      </c>
      <c r="B151" t="s">
        <v>232</v>
      </c>
      <c r="C151" t="s">
        <v>53</v>
      </c>
      <c r="D151" t="s">
        <v>289</v>
      </c>
      <c r="E151">
        <v>2</v>
      </c>
      <c r="F151">
        <v>1</v>
      </c>
      <c r="G151">
        <v>13</v>
      </c>
    </row>
    <row r="152" spans="1:7" x14ac:dyDescent="0.25">
      <c r="A152" t="s">
        <v>240</v>
      </c>
      <c r="B152" t="s">
        <v>232</v>
      </c>
      <c r="C152" t="s">
        <v>54</v>
      </c>
      <c r="D152" t="s">
        <v>280</v>
      </c>
      <c r="E152">
        <v>27</v>
      </c>
      <c r="F152">
        <v>13</v>
      </c>
      <c r="G152">
        <v>103</v>
      </c>
    </row>
    <row r="153" spans="1:7" x14ac:dyDescent="0.25">
      <c r="A153" t="s">
        <v>240</v>
      </c>
      <c r="B153" t="s">
        <v>232</v>
      </c>
      <c r="C153" t="s">
        <v>55</v>
      </c>
      <c r="D153" t="s">
        <v>281</v>
      </c>
      <c r="E153">
        <v>24</v>
      </c>
      <c r="F153">
        <v>12</v>
      </c>
      <c r="G153">
        <v>82</v>
      </c>
    </row>
    <row r="154" spans="1:7" x14ac:dyDescent="0.25">
      <c r="A154" t="s">
        <v>240</v>
      </c>
      <c r="B154" t="s">
        <v>232</v>
      </c>
      <c r="C154" t="s">
        <v>56</v>
      </c>
      <c r="D154" t="s">
        <v>282</v>
      </c>
      <c r="E154">
        <v>6</v>
      </c>
      <c r="F154">
        <v>5</v>
      </c>
      <c r="G154">
        <v>38</v>
      </c>
    </row>
    <row r="155" spans="1:7" x14ac:dyDescent="0.25">
      <c r="A155" t="s">
        <v>240</v>
      </c>
      <c r="B155" t="s">
        <v>232</v>
      </c>
      <c r="C155" t="s">
        <v>57</v>
      </c>
      <c r="D155" t="s">
        <v>283</v>
      </c>
      <c r="E155">
        <v>8</v>
      </c>
      <c r="F155">
        <v>9</v>
      </c>
      <c r="G155">
        <v>56</v>
      </c>
    </row>
    <row r="156" spans="1:7" x14ac:dyDescent="0.25">
      <c r="A156" t="s">
        <v>240</v>
      </c>
      <c r="B156" t="s">
        <v>232</v>
      </c>
      <c r="C156" t="s">
        <v>58</v>
      </c>
      <c r="D156" t="s">
        <v>284</v>
      </c>
      <c r="E156">
        <v>15</v>
      </c>
      <c r="F156">
        <v>8</v>
      </c>
      <c r="G156">
        <v>51</v>
      </c>
    </row>
    <row r="157" spans="1:7" x14ac:dyDescent="0.25">
      <c r="A157" t="s">
        <v>240</v>
      </c>
      <c r="B157" t="s">
        <v>232</v>
      </c>
      <c r="C157" t="s">
        <v>59</v>
      </c>
      <c r="D157" t="s">
        <v>290</v>
      </c>
      <c r="E157">
        <v>2</v>
      </c>
      <c r="F157">
        <v>2</v>
      </c>
      <c r="G157">
        <v>14</v>
      </c>
    </row>
    <row r="158" spans="1:7" x14ac:dyDescent="0.25">
      <c r="A158" t="s">
        <v>240</v>
      </c>
      <c r="B158" t="s">
        <v>232</v>
      </c>
      <c r="C158" t="s">
        <v>60</v>
      </c>
      <c r="D158" t="s">
        <v>291</v>
      </c>
      <c r="E158">
        <v>11</v>
      </c>
      <c r="F158">
        <v>5</v>
      </c>
      <c r="G158">
        <v>49</v>
      </c>
    </row>
    <row r="159" spans="1:7" x14ac:dyDescent="0.25">
      <c r="A159" t="s">
        <v>239</v>
      </c>
      <c r="B159" t="s">
        <v>232</v>
      </c>
      <c r="C159" t="s">
        <v>31</v>
      </c>
      <c r="D159" t="s">
        <v>285</v>
      </c>
      <c r="E159">
        <v>1</v>
      </c>
      <c r="F159">
        <v>3</v>
      </c>
      <c r="G159">
        <v>5</v>
      </c>
    </row>
    <row r="160" spans="1:7" x14ac:dyDescent="0.25">
      <c r="A160" t="s">
        <v>239</v>
      </c>
      <c r="B160" t="s">
        <v>232</v>
      </c>
      <c r="C160" t="s">
        <v>32</v>
      </c>
      <c r="D160" t="s">
        <v>286</v>
      </c>
      <c r="E160">
        <v>24</v>
      </c>
      <c r="F160">
        <v>69</v>
      </c>
      <c r="G160">
        <v>191</v>
      </c>
    </row>
    <row r="161" spans="1:7" x14ac:dyDescent="0.25">
      <c r="A161" t="s">
        <v>239</v>
      </c>
      <c r="B161" t="s">
        <v>232</v>
      </c>
      <c r="C161" t="s">
        <v>33</v>
      </c>
      <c r="D161" t="s">
        <v>292</v>
      </c>
      <c r="E161">
        <v>6</v>
      </c>
      <c r="F161">
        <v>14</v>
      </c>
      <c r="G161">
        <v>78</v>
      </c>
    </row>
    <row r="162" spans="1:7" x14ac:dyDescent="0.25">
      <c r="A162" t="s">
        <v>239</v>
      </c>
      <c r="B162" t="s">
        <v>232</v>
      </c>
      <c r="C162" t="s">
        <v>34</v>
      </c>
      <c r="D162" t="s">
        <v>287</v>
      </c>
      <c r="E162">
        <v>14</v>
      </c>
      <c r="F162">
        <v>25</v>
      </c>
      <c r="G162">
        <v>137</v>
      </c>
    </row>
    <row r="163" spans="1:7" x14ac:dyDescent="0.25">
      <c r="A163" t="s">
        <v>239</v>
      </c>
      <c r="B163" t="s">
        <v>232</v>
      </c>
      <c r="C163" t="s">
        <v>243</v>
      </c>
      <c r="D163" t="s">
        <v>288</v>
      </c>
      <c r="E163">
        <v>0</v>
      </c>
      <c r="F163">
        <v>2</v>
      </c>
      <c r="G163">
        <v>7</v>
      </c>
    </row>
    <row r="164" spans="1:7" x14ac:dyDescent="0.25">
      <c r="A164" t="s">
        <v>239</v>
      </c>
      <c r="B164" t="s">
        <v>232</v>
      </c>
      <c r="C164" t="s">
        <v>35</v>
      </c>
      <c r="D164" t="s">
        <v>266</v>
      </c>
      <c r="E164">
        <v>2</v>
      </c>
      <c r="F164">
        <v>4</v>
      </c>
      <c r="G164">
        <v>14</v>
      </c>
    </row>
    <row r="165" spans="1:7" x14ac:dyDescent="0.25">
      <c r="A165" t="s">
        <v>239</v>
      </c>
      <c r="B165" t="s">
        <v>232</v>
      </c>
      <c r="C165" t="s">
        <v>36</v>
      </c>
      <c r="D165" t="s">
        <v>267</v>
      </c>
      <c r="E165">
        <v>17</v>
      </c>
      <c r="F165">
        <v>34</v>
      </c>
      <c r="G165">
        <v>147</v>
      </c>
    </row>
    <row r="166" spans="1:7" x14ac:dyDescent="0.25">
      <c r="A166" t="s">
        <v>239</v>
      </c>
      <c r="B166" t="s">
        <v>232</v>
      </c>
      <c r="C166" t="s">
        <v>37</v>
      </c>
      <c r="D166" t="s">
        <v>293</v>
      </c>
      <c r="E166">
        <v>1</v>
      </c>
      <c r="F166">
        <v>2</v>
      </c>
      <c r="G166">
        <v>9</v>
      </c>
    </row>
    <row r="167" spans="1:7" x14ac:dyDescent="0.25">
      <c r="A167" t="s">
        <v>239</v>
      </c>
      <c r="B167" t="s">
        <v>232</v>
      </c>
      <c r="C167" t="s">
        <v>38</v>
      </c>
      <c r="D167" t="s">
        <v>268</v>
      </c>
      <c r="E167">
        <v>5</v>
      </c>
      <c r="F167">
        <v>10</v>
      </c>
      <c r="G167">
        <v>62</v>
      </c>
    </row>
    <row r="168" spans="1:7" x14ac:dyDescent="0.25">
      <c r="A168" t="s">
        <v>239</v>
      </c>
      <c r="B168" t="s">
        <v>232</v>
      </c>
      <c r="C168" t="s">
        <v>40</v>
      </c>
      <c r="D168" t="s">
        <v>269</v>
      </c>
      <c r="E168">
        <v>5</v>
      </c>
      <c r="F168">
        <v>12</v>
      </c>
      <c r="G168">
        <v>45</v>
      </c>
    </row>
    <row r="169" spans="1:7" x14ac:dyDescent="0.25">
      <c r="A169" t="s">
        <v>239</v>
      </c>
      <c r="B169" t="s">
        <v>232</v>
      </c>
      <c r="C169" t="s">
        <v>42</v>
      </c>
      <c r="D169" t="s">
        <v>272</v>
      </c>
      <c r="E169">
        <v>5</v>
      </c>
      <c r="F169">
        <v>10</v>
      </c>
      <c r="G169">
        <v>40</v>
      </c>
    </row>
    <row r="170" spans="1:7" x14ac:dyDescent="0.25">
      <c r="A170" t="s">
        <v>239</v>
      </c>
      <c r="B170" t="s">
        <v>232</v>
      </c>
      <c r="C170" t="s">
        <v>43</v>
      </c>
      <c r="D170" t="s">
        <v>297</v>
      </c>
      <c r="E170">
        <v>9</v>
      </c>
      <c r="F170">
        <v>21</v>
      </c>
      <c r="G170">
        <v>86</v>
      </c>
    </row>
    <row r="171" spans="1:7" x14ac:dyDescent="0.25">
      <c r="A171" t="s">
        <v>239</v>
      </c>
      <c r="B171" t="s">
        <v>232</v>
      </c>
      <c r="C171" t="s">
        <v>44</v>
      </c>
      <c r="D171" t="s">
        <v>273</v>
      </c>
      <c r="E171">
        <v>56</v>
      </c>
      <c r="F171">
        <v>103</v>
      </c>
      <c r="G171">
        <v>393</v>
      </c>
    </row>
    <row r="172" spans="1:7" x14ac:dyDescent="0.25">
      <c r="A172" t="s">
        <v>239</v>
      </c>
      <c r="B172" t="s">
        <v>232</v>
      </c>
      <c r="C172" t="s">
        <v>45</v>
      </c>
      <c r="D172" t="s">
        <v>274</v>
      </c>
      <c r="E172">
        <v>3</v>
      </c>
      <c r="F172">
        <v>6</v>
      </c>
      <c r="G172">
        <v>35</v>
      </c>
    </row>
    <row r="173" spans="1:7" x14ac:dyDescent="0.25">
      <c r="A173" t="s">
        <v>239</v>
      </c>
      <c r="B173" t="s">
        <v>232</v>
      </c>
      <c r="C173" t="s">
        <v>46</v>
      </c>
      <c r="D173" t="s">
        <v>275</v>
      </c>
      <c r="E173">
        <v>1</v>
      </c>
      <c r="F173">
        <v>3</v>
      </c>
      <c r="G173">
        <v>9</v>
      </c>
    </row>
    <row r="174" spans="1:7" x14ac:dyDescent="0.25">
      <c r="A174" t="s">
        <v>239</v>
      </c>
      <c r="B174" t="s">
        <v>232</v>
      </c>
      <c r="C174" t="s">
        <v>47</v>
      </c>
      <c r="D174" t="s">
        <v>276</v>
      </c>
      <c r="E174">
        <v>11</v>
      </c>
      <c r="F174">
        <v>28</v>
      </c>
      <c r="G174">
        <v>81</v>
      </c>
    </row>
    <row r="175" spans="1:7" x14ac:dyDescent="0.25">
      <c r="A175" t="s">
        <v>239</v>
      </c>
      <c r="B175" t="s">
        <v>232</v>
      </c>
      <c r="C175" t="s">
        <v>48</v>
      </c>
      <c r="D175" t="s">
        <v>271</v>
      </c>
      <c r="E175">
        <v>13</v>
      </c>
      <c r="F175">
        <v>25</v>
      </c>
      <c r="G175">
        <v>94</v>
      </c>
    </row>
    <row r="176" spans="1:7" x14ac:dyDescent="0.25">
      <c r="A176" t="s">
        <v>239</v>
      </c>
      <c r="B176" t="s">
        <v>232</v>
      </c>
      <c r="C176" t="s">
        <v>49</v>
      </c>
      <c r="D176" t="s">
        <v>277</v>
      </c>
      <c r="E176">
        <v>11</v>
      </c>
      <c r="F176">
        <v>11</v>
      </c>
      <c r="G176">
        <v>85</v>
      </c>
    </row>
    <row r="177" spans="1:7" x14ac:dyDescent="0.25">
      <c r="A177" t="s">
        <v>239</v>
      </c>
      <c r="B177" t="s">
        <v>232</v>
      </c>
      <c r="C177" t="s">
        <v>50</v>
      </c>
      <c r="D177" t="s">
        <v>294</v>
      </c>
      <c r="E177">
        <v>3</v>
      </c>
      <c r="F177">
        <v>6</v>
      </c>
      <c r="G177">
        <v>26</v>
      </c>
    </row>
    <row r="178" spans="1:7" x14ac:dyDescent="0.25">
      <c r="A178" t="s">
        <v>239</v>
      </c>
      <c r="B178" t="s">
        <v>232</v>
      </c>
      <c r="C178" t="s">
        <v>51</v>
      </c>
      <c r="D178" t="s">
        <v>278</v>
      </c>
      <c r="E178">
        <v>9</v>
      </c>
      <c r="F178">
        <v>23</v>
      </c>
      <c r="G178">
        <v>77</v>
      </c>
    </row>
    <row r="179" spans="1:7" x14ac:dyDescent="0.25">
      <c r="A179" t="s">
        <v>239</v>
      </c>
      <c r="B179" t="s">
        <v>232</v>
      </c>
      <c r="C179" t="s">
        <v>52</v>
      </c>
      <c r="D179" t="s">
        <v>945</v>
      </c>
      <c r="E179">
        <v>10</v>
      </c>
      <c r="F179">
        <v>23</v>
      </c>
      <c r="G179">
        <v>98</v>
      </c>
    </row>
    <row r="180" spans="1:7" x14ac:dyDescent="0.25">
      <c r="A180" t="s">
        <v>239</v>
      </c>
      <c r="B180" t="s">
        <v>232</v>
      </c>
      <c r="C180" t="s">
        <v>53</v>
      </c>
      <c r="D180" t="s">
        <v>289</v>
      </c>
      <c r="E180">
        <v>1</v>
      </c>
      <c r="F180">
        <v>2</v>
      </c>
      <c r="G180">
        <v>14</v>
      </c>
    </row>
    <row r="181" spans="1:7" x14ac:dyDescent="0.25">
      <c r="A181" t="s">
        <v>239</v>
      </c>
      <c r="B181" t="s">
        <v>232</v>
      </c>
      <c r="C181" t="s">
        <v>54</v>
      </c>
      <c r="D181" t="s">
        <v>280</v>
      </c>
      <c r="E181">
        <v>13</v>
      </c>
      <c r="F181">
        <v>28</v>
      </c>
      <c r="G181">
        <v>102</v>
      </c>
    </row>
    <row r="182" spans="1:7" x14ac:dyDescent="0.25">
      <c r="A182" t="s">
        <v>239</v>
      </c>
      <c r="B182" t="s">
        <v>232</v>
      </c>
      <c r="C182" t="s">
        <v>55</v>
      </c>
      <c r="D182" t="s">
        <v>281</v>
      </c>
      <c r="E182">
        <v>13</v>
      </c>
      <c r="F182">
        <v>25</v>
      </c>
      <c r="G182">
        <v>89</v>
      </c>
    </row>
    <row r="183" spans="1:7" x14ac:dyDescent="0.25">
      <c r="A183" t="s">
        <v>239</v>
      </c>
      <c r="B183" t="s">
        <v>232</v>
      </c>
      <c r="C183" t="s">
        <v>56</v>
      </c>
      <c r="D183" t="s">
        <v>282</v>
      </c>
      <c r="E183">
        <v>5</v>
      </c>
      <c r="F183">
        <v>7</v>
      </c>
      <c r="G183">
        <v>46</v>
      </c>
    </row>
    <row r="184" spans="1:7" x14ac:dyDescent="0.25">
      <c r="A184" t="s">
        <v>239</v>
      </c>
      <c r="B184" t="s">
        <v>232</v>
      </c>
      <c r="C184" t="s">
        <v>57</v>
      </c>
      <c r="D184" t="s">
        <v>283</v>
      </c>
      <c r="E184">
        <v>8</v>
      </c>
      <c r="F184">
        <v>8</v>
      </c>
      <c r="G184">
        <v>61</v>
      </c>
    </row>
    <row r="185" spans="1:7" x14ac:dyDescent="0.25">
      <c r="A185" t="s">
        <v>239</v>
      </c>
      <c r="B185" t="s">
        <v>232</v>
      </c>
      <c r="C185" t="s">
        <v>58</v>
      </c>
      <c r="D185" t="s">
        <v>284</v>
      </c>
      <c r="E185">
        <v>8</v>
      </c>
      <c r="F185">
        <v>16</v>
      </c>
      <c r="G185">
        <v>51</v>
      </c>
    </row>
    <row r="186" spans="1:7" x14ac:dyDescent="0.25">
      <c r="A186" t="s">
        <v>239</v>
      </c>
      <c r="B186" t="s">
        <v>232</v>
      </c>
      <c r="C186" t="s">
        <v>59</v>
      </c>
      <c r="D186" t="s">
        <v>290</v>
      </c>
      <c r="E186">
        <v>2</v>
      </c>
      <c r="F186">
        <v>2</v>
      </c>
      <c r="G186">
        <v>16</v>
      </c>
    </row>
    <row r="187" spans="1:7" x14ac:dyDescent="0.25">
      <c r="A187" t="s">
        <v>239</v>
      </c>
      <c r="B187" t="s">
        <v>232</v>
      </c>
      <c r="C187" t="s">
        <v>60</v>
      </c>
      <c r="D187" t="s">
        <v>291</v>
      </c>
      <c r="E187">
        <v>5</v>
      </c>
      <c r="F187">
        <v>11</v>
      </c>
      <c r="G187">
        <v>43</v>
      </c>
    </row>
    <row r="188" spans="1:7" x14ac:dyDescent="0.25">
      <c r="A188" t="s">
        <v>760</v>
      </c>
      <c r="B188" t="s">
        <v>232</v>
      </c>
      <c r="C188" t="s">
        <v>31</v>
      </c>
      <c r="D188" t="s">
        <v>363</v>
      </c>
      <c r="E188">
        <v>1</v>
      </c>
      <c r="F188">
        <v>3</v>
      </c>
      <c r="G188">
        <v>4</v>
      </c>
    </row>
    <row r="189" spans="1:7" x14ac:dyDescent="0.25">
      <c r="A189" t="s">
        <v>760</v>
      </c>
      <c r="B189" t="s">
        <v>232</v>
      </c>
      <c r="C189" t="s">
        <v>32</v>
      </c>
      <c r="D189" t="s">
        <v>363</v>
      </c>
      <c r="E189">
        <v>25</v>
      </c>
      <c r="F189">
        <v>65</v>
      </c>
      <c r="G189">
        <v>195</v>
      </c>
    </row>
    <row r="190" spans="1:7" x14ac:dyDescent="0.25">
      <c r="A190" t="s">
        <v>760</v>
      </c>
      <c r="B190" t="s">
        <v>232</v>
      </c>
      <c r="C190" t="s">
        <v>33</v>
      </c>
      <c r="D190" t="s">
        <v>363</v>
      </c>
      <c r="E190">
        <v>6</v>
      </c>
      <c r="F190">
        <v>16</v>
      </c>
      <c r="G190">
        <v>81</v>
      </c>
    </row>
    <row r="191" spans="1:7" x14ac:dyDescent="0.25">
      <c r="A191" t="s">
        <v>760</v>
      </c>
      <c r="B191" t="s">
        <v>232</v>
      </c>
      <c r="C191" t="s">
        <v>34</v>
      </c>
      <c r="D191" t="s">
        <v>362</v>
      </c>
      <c r="E191">
        <v>13</v>
      </c>
      <c r="F191">
        <v>25</v>
      </c>
      <c r="G191">
        <v>136</v>
      </c>
    </row>
    <row r="192" spans="1:7" x14ac:dyDescent="0.25">
      <c r="A192" t="s">
        <v>760</v>
      </c>
      <c r="B192" t="s">
        <v>232</v>
      </c>
      <c r="C192" t="s">
        <v>243</v>
      </c>
      <c r="D192" t="s">
        <v>361</v>
      </c>
      <c r="E192">
        <v>1</v>
      </c>
      <c r="F192">
        <v>2</v>
      </c>
      <c r="G192">
        <v>5</v>
      </c>
    </row>
    <row r="193" spans="1:7" x14ac:dyDescent="0.25">
      <c r="A193" t="s">
        <v>760</v>
      </c>
      <c r="B193" t="s">
        <v>232</v>
      </c>
      <c r="C193" t="s">
        <v>35</v>
      </c>
      <c r="D193" t="s">
        <v>361</v>
      </c>
      <c r="E193">
        <v>3</v>
      </c>
      <c r="F193">
        <v>5</v>
      </c>
      <c r="G193">
        <v>17</v>
      </c>
    </row>
    <row r="194" spans="1:7" x14ac:dyDescent="0.25">
      <c r="A194" t="s">
        <v>760</v>
      </c>
      <c r="B194" t="s">
        <v>232</v>
      </c>
      <c r="C194" t="s">
        <v>36</v>
      </c>
      <c r="D194" t="s">
        <v>362</v>
      </c>
      <c r="E194">
        <v>16</v>
      </c>
      <c r="F194">
        <v>34</v>
      </c>
      <c r="G194">
        <v>142</v>
      </c>
    </row>
    <row r="195" spans="1:7" x14ac:dyDescent="0.25">
      <c r="A195" t="s">
        <v>760</v>
      </c>
      <c r="B195" t="s">
        <v>232</v>
      </c>
      <c r="C195" t="s">
        <v>37</v>
      </c>
      <c r="D195" t="s">
        <v>363</v>
      </c>
      <c r="E195">
        <v>1</v>
      </c>
      <c r="F195">
        <v>2</v>
      </c>
      <c r="G195">
        <v>9</v>
      </c>
    </row>
    <row r="196" spans="1:7" x14ac:dyDescent="0.25">
      <c r="A196" t="s">
        <v>760</v>
      </c>
      <c r="B196" t="s">
        <v>232</v>
      </c>
      <c r="C196" t="s">
        <v>38</v>
      </c>
      <c r="D196" t="s">
        <v>362</v>
      </c>
      <c r="E196">
        <v>7</v>
      </c>
      <c r="F196">
        <v>8</v>
      </c>
      <c r="G196">
        <v>65</v>
      </c>
    </row>
    <row r="197" spans="1:7" x14ac:dyDescent="0.25">
      <c r="A197" t="s">
        <v>760</v>
      </c>
      <c r="B197" t="s">
        <v>232</v>
      </c>
      <c r="C197" t="s">
        <v>40</v>
      </c>
      <c r="D197" t="s">
        <v>361</v>
      </c>
      <c r="E197">
        <v>5</v>
      </c>
      <c r="F197">
        <v>12</v>
      </c>
      <c r="G197">
        <v>48</v>
      </c>
    </row>
    <row r="198" spans="1:7" x14ac:dyDescent="0.25">
      <c r="A198" t="s">
        <v>760</v>
      </c>
      <c r="B198" t="s">
        <v>232</v>
      </c>
      <c r="C198" t="s">
        <v>42</v>
      </c>
      <c r="D198" t="s">
        <v>361</v>
      </c>
      <c r="E198">
        <v>4</v>
      </c>
      <c r="F198">
        <v>10</v>
      </c>
      <c r="G198">
        <v>43</v>
      </c>
    </row>
    <row r="199" spans="1:7" x14ac:dyDescent="0.25">
      <c r="A199" t="s">
        <v>760</v>
      </c>
      <c r="B199" t="s">
        <v>232</v>
      </c>
      <c r="C199" t="s">
        <v>43</v>
      </c>
      <c r="D199" t="s">
        <v>361</v>
      </c>
      <c r="E199">
        <v>9</v>
      </c>
      <c r="F199">
        <v>21</v>
      </c>
      <c r="G199">
        <v>83</v>
      </c>
    </row>
    <row r="200" spans="1:7" x14ac:dyDescent="0.25">
      <c r="A200" t="s">
        <v>760</v>
      </c>
      <c r="B200" t="s">
        <v>232</v>
      </c>
      <c r="C200" t="s">
        <v>44</v>
      </c>
      <c r="D200" t="s">
        <v>363</v>
      </c>
      <c r="E200">
        <v>53</v>
      </c>
      <c r="F200">
        <v>94</v>
      </c>
      <c r="G200">
        <v>378</v>
      </c>
    </row>
    <row r="201" spans="1:7" x14ac:dyDescent="0.25">
      <c r="A201" t="s">
        <v>760</v>
      </c>
      <c r="B201" t="s">
        <v>232</v>
      </c>
      <c r="C201" t="s">
        <v>45</v>
      </c>
      <c r="D201" t="s">
        <v>362</v>
      </c>
      <c r="E201">
        <v>3</v>
      </c>
      <c r="F201">
        <v>6</v>
      </c>
      <c r="G201">
        <v>33</v>
      </c>
    </row>
    <row r="202" spans="1:7" x14ac:dyDescent="0.25">
      <c r="A202" t="s">
        <v>760</v>
      </c>
      <c r="B202" t="s">
        <v>232</v>
      </c>
      <c r="C202" t="s">
        <v>46</v>
      </c>
      <c r="D202" t="s">
        <v>361</v>
      </c>
      <c r="E202">
        <v>1</v>
      </c>
      <c r="F202">
        <v>2</v>
      </c>
      <c r="G202">
        <v>10</v>
      </c>
    </row>
    <row r="203" spans="1:7" x14ac:dyDescent="0.25">
      <c r="A203" t="s">
        <v>760</v>
      </c>
      <c r="B203" t="s">
        <v>232</v>
      </c>
      <c r="C203" t="s">
        <v>47</v>
      </c>
      <c r="D203" t="s">
        <v>363</v>
      </c>
      <c r="E203">
        <v>11</v>
      </c>
      <c r="F203">
        <v>27</v>
      </c>
      <c r="G203">
        <v>83</v>
      </c>
    </row>
    <row r="204" spans="1:7" x14ac:dyDescent="0.25">
      <c r="A204" t="s">
        <v>760</v>
      </c>
      <c r="B204" t="s">
        <v>232</v>
      </c>
      <c r="C204" t="s">
        <v>48</v>
      </c>
      <c r="D204" t="s">
        <v>363</v>
      </c>
      <c r="E204">
        <v>14</v>
      </c>
      <c r="F204">
        <v>30</v>
      </c>
      <c r="G204">
        <v>91</v>
      </c>
    </row>
    <row r="205" spans="1:7" x14ac:dyDescent="0.25">
      <c r="A205" t="s">
        <v>760</v>
      </c>
      <c r="B205" t="s">
        <v>232</v>
      </c>
      <c r="C205" t="s">
        <v>49</v>
      </c>
      <c r="D205" t="s">
        <v>362</v>
      </c>
      <c r="E205">
        <v>11</v>
      </c>
      <c r="F205">
        <v>11</v>
      </c>
      <c r="G205">
        <v>82</v>
      </c>
    </row>
    <row r="206" spans="1:7" x14ac:dyDescent="0.25">
      <c r="A206" t="s">
        <v>760</v>
      </c>
      <c r="B206" t="s">
        <v>232</v>
      </c>
      <c r="C206" t="s">
        <v>50</v>
      </c>
      <c r="D206" t="s">
        <v>362</v>
      </c>
      <c r="E206">
        <v>3</v>
      </c>
      <c r="F206">
        <v>5</v>
      </c>
      <c r="G206">
        <v>29</v>
      </c>
    </row>
    <row r="207" spans="1:7" x14ac:dyDescent="0.25">
      <c r="A207" t="s">
        <v>760</v>
      </c>
      <c r="B207" t="s">
        <v>232</v>
      </c>
      <c r="C207" t="s">
        <v>51</v>
      </c>
      <c r="D207" t="s">
        <v>363</v>
      </c>
      <c r="E207">
        <v>9</v>
      </c>
      <c r="F207">
        <v>22</v>
      </c>
      <c r="G207">
        <v>78</v>
      </c>
    </row>
    <row r="208" spans="1:7" x14ac:dyDescent="0.25">
      <c r="A208" t="s">
        <v>760</v>
      </c>
      <c r="B208" t="s">
        <v>232</v>
      </c>
      <c r="C208" t="s">
        <v>52</v>
      </c>
      <c r="D208" t="s">
        <v>363</v>
      </c>
      <c r="E208">
        <v>10</v>
      </c>
      <c r="F208">
        <v>22</v>
      </c>
      <c r="G208">
        <v>99</v>
      </c>
    </row>
    <row r="209" spans="1:7" x14ac:dyDescent="0.25">
      <c r="A209" t="s">
        <v>760</v>
      </c>
      <c r="B209" t="s">
        <v>232</v>
      </c>
      <c r="C209" t="s">
        <v>53</v>
      </c>
      <c r="D209" t="s">
        <v>362</v>
      </c>
      <c r="E209">
        <v>1</v>
      </c>
      <c r="F209">
        <v>2</v>
      </c>
      <c r="G209">
        <v>12</v>
      </c>
    </row>
    <row r="210" spans="1:7" x14ac:dyDescent="0.25">
      <c r="A210" t="s">
        <v>760</v>
      </c>
      <c r="B210" t="s">
        <v>232</v>
      </c>
      <c r="C210" t="s">
        <v>54</v>
      </c>
      <c r="D210" t="s">
        <v>361</v>
      </c>
      <c r="E210">
        <v>13</v>
      </c>
      <c r="F210">
        <v>28</v>
      </c>
      <c r="G210">
        <v>107</v>
      </c>
    </row>
    <row r="211" spans="1:7" x14ac:dyDescent="0.25">
      <c r="A211" t="s">
        <v>760</v>
      </c>
      <c r="B211" t="s">
        <v>232</v>
      </c>
      <c r="C211" t="s">
        <v>55</v>
      </c>
      <c r="D211" t="s">
        <v>363</v>
      </c>
      <c r="E211">
        <v>12</v>
      </c>
      <c r="F211">
        <v>24</v>
      </c>
      <c r="G211">
        <v>98</v>
      </c>
    </row>
    <row r="212" spans="1:7" x14ac:dyDescent="0.25">
      <c r="A212" t="s">
        <v>760</v>
      </c>
      <c r="B212" t="s">
        <v>232</v>
      </c>
      <c r="C212" t="s">
        <v>56</v>
      </c>
      <c r="D212" t="s">
        <v>362</v>
      </c>
      <c r="E212">
        <v>5</v>
      </c>
      <c r="F212">
        <v>8</v>
      </c>
      <c r="G212">
        <v>42</v>
      </c>
    </row>
    <row r="213" spans="1:7" x14ac:dyDescent="0.25">
      <c r="A213" t="s">
        <v>760</v>
      </c>
      <c r="B213" t="s">
        <v>232</v>
      </c>
      <c r="C213" t="s">
        <v>57</v>
      </c>
      <c r="D213" t="s">
        <v>362</v>
      </c>
      <c r="E213">
        <v>8</v>
      </c>
      <c r="F213">
        <v>8</v>
      </c>
      <c r="G213">
        <v>70</v>
      </c>
    </row>
    <row r="214" spans="1:7" x14ac:dyDescent="0.25">
      <c r="A214" t="s">
        <v>760</v>
      </c>
      <c r="B214" t="s">
        <v>232</v>
      </c>
      <c r="C214" t="s">
        <v>58</v>
      </c>
      <c r="D214" t="s">
        <v>361</v>
      </c>
      <c r="E214">
        <v>9</v>
      </c>
      <c r="F214">
        <v>15</v>
      </c>
      <c r="G214">
        <v>51</v>
      </c>
    </row>
    <row r="215" spans="1:7" x14ac:dyDescent="0.25">
      <c r="A215" t="s">
        <v>760</v>
      </c>
      <c r="B215" t="s">
        <v>232</v>
      </c>
      <c r="C215" t="s">
        <v>59</v>
      </c>
      <c r="D215" t="s">
        <v>362</v>
      </c>
      <c r="E215">
        <v>2</v>
      </c>
      <c r="F215">
        <v>2</v>
      </c>
      <c r="G215">
        <v>16</v>
      </c>
    </row>
    <row r="216" spans="1:7" x14ac:dyDescent="0.25">
      <c r="A216" t="s">
        <v>760</v>
      </c>
      <c r="B216" t="s">
        <v>232</v>
      </c>
      <c r="C216" t="s">
        <v>60</v>
      </c>
      <c r="D216" t="s">
        <v>361</v>
      </c>
      <c r="E216">
        <v>6</v>
      </c>
      <c r="F216">
        <v>11</v>
      </c>
      <c r="G216">
        <v>48</v>
      </c>
    </row>
    <row r="217" spans="1:7" x14ac:dyDescent="0.25">
      <c r="A217" t="s">
        <v>917</v>
      </c>
      <c r="B217" t="s">
        <v>232</v>
      </c>
      <c r="C217" t="s">
        <v>31</v>
      </c>
      <c r="D217" t="s">
        <v>363</v>
      </c>
      <c r="E217">
        <v>1</v>
      </c>
      <c r="F217">
        <v>3</v>
      </c>
      <c r="G217">
        <v>6</v>
      </c>
    </row>
    <row r="218" spans="1:7" x14ac:dyDescent="0.25">
      <c r="A218" t="s">
        <v>917</v>
      </c>
      <c r="B218" t="s">
        <v>232</v>
      </c>
      <c r="C218" t="s">
        <v>32</v>
      </c>
      <c r="D218" t="s">
        <v>363</v>
      </c>
      <c r="E218">
        <v>26</v>
      </c>
      <c r="F218">
        <v>68</v>
      </c>
      <c r="G218">
        <v>192</v>
      </c>
    </row>
    <row r="219" spans="1:7" x14ac:dyDescent="0.25">
      <c r="A219" t="s">
        <v>917</v>
      </c>
      <c r="B219" t="s">
        <v>232</v>
      </c>
      <c r="C219" t="s">
        <v>33</v>
      </c>
      <c r="D219" t="s">
        <v>363</v>
      </c>
      <c r="E219">
        <v>7</v>
      </c>
      <c r="F219">
        <v>17</v>
      </c>
      <c r="G219">
        <v>80</v>
      </c>
    </row>
    <row r="220" spans="1:7" x14ac:dyDescent="0.25">
      <c r="A220" t="s">
        <v>917</v>
      </c>
      <c r="B220" t="s">
        <v>232</v>
      </c>
      <c r="C220" t="s">
        <v>34</v>
      </c>
      <c r="D220" t="s">
        <v>362</v>
      </c>
      <c r="E220">
        <v>14</v>
      </c>
      <c r="F220">
        <v>26</v>
      </c>
      <c r="G220">
        <v>128</v>
      </c>
    </row>
    <row r="221" spans="1:7" x14ac:dyDescent="0.25">
      <c r="A221" t="s">
        <v>917</v>
      </c>
      <c r="B221" t="s">
        <v>232</v>
      </c>
      <c r="C221" t="s">
        <v>243</v>
      </c>
      <c r="D221" t="s">
        <v>361</v>
      </c>
      <c r="E221">
        <v>1</v>
      </c>
      <c r="F221">
        <v>1</v>
      </c>
      <c r="G221">
        <v>6</v>
      </c>
    </row>
    <row r="222" spans="1:7" x14ac:dyDescent="0.25">
      <c r="A222" t="s">
        <v>917</v>
      </c>
      <c r="B222" t="s">
        <v>232</v>
      </c>
      <c r="C222" t="s">
        <v>35</v>
      </c>
      <c r="D222" t="s">
        <v>1050</v>
      </c>
      <c r="E222">
        <v>2</v>
      </c>
      <c r="F222">
        <v>4</v>
      </c>
      <c r="G222">
        <v>21</v>
      </c>
    </row>
    <row r="223" spans="1:7" x14ac:dyDescent="0.25">
      <c r="A223" t="s">
        <v>917</v>
      </c>
      <c r="B223" t="s">
        <v>232</v>
      </c>
      <c r="C223" t="s">
        <v>36</v>
      </c>
      <c r="D223" t="s">
        <v>362</v>
      </c>
      <c r="E223">
        <v>16</v>
      </c>
      <c r="F223">
        <v>35</v>
      </c>
      <c r="G223">
        <v>135</v>
      </c>
    </row>
    <row r="224" spans="1:7" x14ac:dyDescent="0.25">
      <c r="A224" t="s">
        <v>917</v>
      </c>
      <c r="B224" t="s">
        <v>232</v>
      </c>
      <c r="C224" t="s">
        <v>37</v>
      </c>
      <c r="D224" t="s">
        <v>363</v>
      </c>
      <c r="E224">
        <v>1</v>
      </c>
      <c r="F224">
        <v>2</v>
      </c>
      <c r="G224">
        <v>8</v>
      </c>
    </row>
    <row r="225" spans="1:7" x14ac:dyDescent="0.25">
      <c r="A225" t="s">
        <v>917</v>
      </c>
      <c r="B225" t="s">
        <v>232</v>
      </c>
      <c r="C225" t="s">
        <v>38</v>
      </c>
      <c r="D225" t="s">
        <v>362</v>
      </c>
      <c r="E225">
        <v>7</v>
      </c>
      <c r="F225">
        <v>8</v>
      </c>
      <c r="G225">
        <v>63</v>
      </c>
    </row>
    <row r="226" spans="1:7" x14ac:dyDescent="0.25">
      <c r="A226" t="s">
        <v>917</v>
      </c>
      <c r="B226" t="s">
        <v>232</v>
      </c>
      <c r="C226" t="s">
        <v>40</v>
      </c>
      <c r="D226" t="s">
        <v>361</v>
      </c>
      <c r="E226">
        <v>5</v>
      </c>
      <c r="F226">
        <v>12</v>
      </c>
      <c r="G226">
        <v>47</v>
      </c>
    </row>
    <row r="227" spans="1:7" x14ac:dyDescent="0.25">
      <c r="A227" t="s">
        <v>917</v>
      </c>
      <c r="B227" t="s">
        <v>232</v>
      </c>
      <c r="C227" t="s">
        <v>42</v>
      </c>
      <c r="D227" t="s">
        <v>361</v>
      </c>
      <c r="E227">
        <v>5</v>
      </c>
      <c r="F227">
        <v>9</v>
      </c>
      <c r="G227">
        <v>42</v>
      </c>
    </row>
    <row r="228" spans="1:7" x14ac:dyDescent="0.25">
      <c r="A228" t="s">
        <v>917</v>
      </c>
      <c r="B228" t="s">
        <v>232</v>
      </c>
      <c r="C228" t="s">
        <v>43</v>
      </c>
      <c r="D228" t="s">
        <v>1050</v>
      </c>
      <c r="E228">
        <v>8</v>
      </c>
      <c r="F228">
        <v>23</v>
      </c>
      <c r="G228">
        <v>78</v>
      </c>
    </row>
    <row r="229" spans="1:7" x14ac:dyDescent="0.25">
      <c r="A229" t="s">
        <v>917</v>
      </c>
      <c r="B229" t="s">
        <v>232</v>
      </c>
      <c r="C229" t="s">
        <v>44</v>
      </c>
      <c r="D229" t="s">
        <v>363</v>
      </c>
      <c r="E229">
        <v>52</v>
      </c>
      <c r="F229">
        <v>97</v>
      </c>
      <c r="G229">
        <v>351</v>
      </c>
    </row>
    <row r="230" spans="1:7" x14ac:dyDescent="0.25">
      <c r="A230" t="s">
        <v>917</v>
      </c>
      <c r="B230" t="s">
        <v>232</v>
      </c>
      <c r="C230" t="s">
        <v>45</v>
      </c>
      <c r="D230" t="s">
        <v>362</v>
      </c>
      <c r="E230">
        <v>3</v>
      </c>
      <c r="F230">
        <v>6</v>
      </c>
      <c r="G230">
        <v>35</v>
      </c>
    </row>
    <row r="231" spans="1:7" x14ac:dyDescent="0.25">
      <c r="A231" t="s">
        <v>917</v>
      </c>
      <c r="B231" t="s">
        <v>232</v>
      </c>
      <c r="C231" t="s">
        <v>46</v>
      </c>
      <c r="D231" t="s">
        <v>361</v>
      </c>
      <c r="E231">
        <v>1</v>
      </c>
      <c r="F231">
        <v>2</v>
      </c>
      <c r="G231">
        <v>8</v>
      </c>
    </row>
    <row r="232" spans="1:7" x14ac:dyDescent="0.25">
      <c r="A232" t="s">
        <v>917</v>
      </c>
      <c r="B232" t="s">
        <v>232</v>
      </c>
      <c r="C232" t="s">
        <v>47</v>
      </c>
      <c r="D232" t="s">
        <v>363</v>
      </c>
      <c r="E232">
        <v>11</v>
      </c>
      <c r="F232">
        <v>27</v>
      </c>
      <c r="G232">
        <v>76</v>
      </c>
    </row>
    <row r="233" spans="1:7" x14ac:dyDescent="0.25">
      <c r="A233" t="s">
        <v>917</v>
      </c>
      <c r="B233" t="s">
        <v>232</v>
      </c>
      <c r="C233" t="s">
        <v>48</v>
      </c>
      <c r="D233" t="s">
        <v>363</v>
      </c>
      <c r="E233">
        <v>15</v>
      </c>
      <c r="F233">
        <v>27</v>
      </c>
      <c r="G233">
        <v>89</v>
      </c>
    </row>
    <row r="234" spans="1:7" x14ac:dyDescent="0.25">
      <c r="A234" t="s">
        <v>917</v>
      </c>
      <c r="B234" t="s">
        <v>232</v>
      </c>
      <c r="C234" t="s">
        <v>49</v>
      </c>
      <c r="D234" t="s">
        <v>362</v>
      </c>
      <c r="E234">
        <v>11</v>
      </c>
      <c r="F234">
        <v>11</v>
      </c>
      <c r="G234">
        <v>78</v>
      </c>
    </row>
    <row r="235" spans="1:7" x14ac:dyDescent="0.25">
      <c r="A235" t="s">
        <v>917</v>
      </c>
      <c r="B235" t="s">
        <v>232</v>
      </c>
      <c r="C235" t="s">
        <v>50</v>
      </c>
      <c r="D235" t="s">
        <v>362</v>
      </c>
      <c r="E235">
        <v>3</v>
      </c>
      <c r="F235">
        <v>6</v>
      </c>
      <c r="G235">
        <v>29</v>
      </c>
    </row>
    <row r="236" spans="1:7" x14ac:dyDescent="0.25">
      <c r="A236" t="s">
        <v>917</v>
      </c>
      <c r="B236" t="s">
        <v>232</v>
      </c>
      <c r="C236" t="s">
        <v>51</v>
      </c>
      <c r="D236" t="s">
        <v>363</v>
      </c>
      <c r="E236">
        <v>8</v>
      </c>
      <c r="F236">
        <v>21</v>
      </c>
      <c r="G236">
        <v>83</v>
      </c>
    </row>
    <row r="237" spans="1:7" x14ac:dyDescent="0.25">
      <c r="A237" t="s">
        <v>917</v>
      </c>
      <c r="B237" t="s">
        <v>232</v>
      </c>
      <c r="C237" t="s">
        <v>52</v>
      </c>
      <c r="D237" t="s">
        <v>363</v>
      </c>
      <c r="E237">
        <v>10</v>
      </c>
      <c r="F237">
        <v>21</v>
      </c>
      <c r="G237">
        <v>99</v>
      </c>
    </row>
    <row r="238" spans="1:7" x14ac:dyDescent="0.25">
      <c r="A238" t="s">
        <v>917</v>
      </c>
      <c r="B238" t="s">
        <v>232</v>
      </c>
      <c r="C238" t="s">
        <v>53</v>
      </c>
      <c r="D238" t="s">
        <v>362</v>
      </c>
      <c r="E238">
        <v>2</v>
      </c>
      <c r="F238">
        <v>1</v>
      </c>
      <c r="G238">
        <v>10</v>
      </c>
    </row>
    <row r="239" spans="1:7" x14ac:dyDescent="0.25">
      <c r="A239" t="s">
        <v>917</v>
      </c>
      <c r="B239" t="s">
        <v>232</v>
      </c>
      <c r="C239" t="s">
        <v>54</v>
      </c>
      <c r="D239" t="s">
        <v>361</v>
      </c>
      <c r="E239">
        <v>13</v>
      </c>
      <c r="F239">
        <v>30</v>
      </c>
      <c r="G239">
        <v>106</v>
      </c>
    </row>
    <row r="240" spans="1:7" x14ac:dyDescent="0.25">
      <c r="A240" t="s">
        <v>917</v>
      </c>
      <c r="B240" t="s">
        <v>232</v>
      </c>
      <c r="C240" t="s">
        <v>55</v>
      </c>
      <c r="D240" t="s">
        <v>363</v>
      </c>
      <c r="E240">
        <v>13</v>
      </c>
      <c r="F240">
        <v>25</v>
      </c>
      <c r="G240">
        <v>94</v>
      </c>
    </row>
    <row r="241" spans="1:7" x14ac:dyDescent="0.25">
      <c r="A241" t="s">
        <v>917</v>
      </c>
      <c r="B241" t="s">
        <v>232</v>
      </c>
      <c r="C241" t="s">
        <v>56</v>
      </c>
      <c r="D241" t="s">
        <v>362</v>
      </c>
      <c r="E241">
        <v>4</v>
      </c>
      <c r="F241">
        <v>7</v>
      </c>
      <c r="G241">
        <v>41</v>
      </c>
    </row>
    <row r="242" spans="1:7" x14ac:dyDescent="0.25">
      <c r="A242" t="s">
        <v>917</v>
      </c>
      <c r="B242" t="s">
        <v>232</v>
      </c>
      <c r="C242" t="s">
        <v>57</v>
      </c>
      <c r="D242" t="s">
        <v>362</v>
      </c>
      <c r="E242">
        <v>10</v>
      </c>
      <c r="F242">
        <v>7</v>
      </c>
      <c r="G242">
        <v>67</v>
      </c>
    </row>
    <row r="243" spans="1:7" x14ac:dyDescent="0.25">
      <c r="A243" t="s">
        <v>917</v>
      </c>
      <c r="B243" t="s">
        <v>232</v>
      </c>
      <c r="C243" t="s">
        <v>58</v>
      </c>
      <c r="D243" t="s">
        <v>1050</v>
      </c>
      <c r="E243">
        <v>9</v>
      </c>
      <c r="F243">
        <v>15</v>
      </c>
      <c r="G243">
        <v>51</v>
      </c>
    </row>
    <row r="244" spans="1:7" x14ac:dyDescent="0.25">
      <c r="A244" t="s">
        <v>917</v>
      </c>
      <c r="B244" t="s">
        <v>232</v>
      </c>
      <c r="C244" t="s">
        <v>59</v>
      </c>
      <c r="D244" t="s">
        <v>362</v>
      </c>
      <c r="E244">
        <v>2</v>
      </c>
      <c r="F244">
        <v>2</v>
      </c>
      <c r="G244">
        <v>18</v>
      </c>
    </row>
    <row r="245" spans="1:7" x14ac:dyDescent="0.25">
      <c r="A245" t="s">
        <v>917</v>
      </c>
      <c r="B245" t="s">
        <v>232</v>
      </c>
      <c r="C245" t="s">
        <v>60</v>
      </c>
      <c r="D245" t="s">
        <v>361</v>
      </c>
      <c r="E245">
        <v>7</v>
      </c>
      <c r="F245">
        <v>9</v>
      </c>
      <c r="G245">
        <v>42</v>
      </c>
    </row>
    <row r="246" spans="1:7" x14ac:dyDescent="0.25">
      <c r="A246" t="s">
        <v>1010</v>
      </c>
      <c r="B246" t="s">
        <v>232</v>
      </c>
      <c r="C246" t="s">
        <v>31</v>
      </c>
      <c r="E246">
        <v>1</v>
      </c>
      <c r="F246">
        <v>3</v>
      </c>
      <c r="G246">
        <v>7</v>
      </c>
    </row>
    <row r="247" spans="1:7" x14ac:dyDescent="0.25">
      <c r="A247" t="s">
        <v>1010</v>
      </c>
      <c r="B247" t="s">
        <v>232</v>
      </c>
      <c r="C247" t="s">
        <v>32</v>
      </c>
      <c r="E247">
        <v>26</v>
      </c>
      <c r="F247">
        <v>66</v>
      </c>
      <c r="G247">
        <v>193</v>
      </c>
    </row>
    <row r="248" spans="1:7" x14ac:dyDescent="0.25">
      <c r="A248" t="s">
        <v>1010</v>
      </c>
      <c r="B248" t="s">
        <v>232</v>
      </c>
      <c r="C248" t="s">
        <v>33</v>
      </c>
      <c r="E248">
        <v>7</v>
      </c>
      <c r="F248">
        <v>17</v>
      </c>
      <c r="G248">
        <v>72</v>
      </c>
    </row>
    <row r="249" spans="1:7" x14ac:dyDescent="0.25">
      <c r="A249" t="s">
        <v>1010</v>
      </c>
      <c r="B249" t="s">
        <v>232</v>
      </c>
      <c r="C249" t="s">
        <v>34</v>
      </c>
      <c r="E249">
        <v>14</v>
      </c>
      <c r="F249">
        <v>26</v>
      </c>
      <c r="G249">
        <v>132</v>
      </c>
    </row>
    <row r="250" spans="1:7" x14ac:dyDescent="0.25">
      <c r="A250" t="s">
        <v>1010</v>
      </c>
      <c r="B250" t="s">
        <v>232</v>
      </c>
      <c r="C250" t="s">
        <v>243</v>
      </c>
      <c r="E250">
        <v>1</v>
      </c>
      <c r="F250">
        <v>1</v>
      </c>
      <c r="G250">
        <v>5</v>
      </c>
    </row>
    <row r="251" spans="1:7" x14ac:dyDescent="0.25">
      <c r="A251" t="s">
        <v>1010</v>
      </c>
      <c r="B251" t="s">
        <v>232</v>
      </c>
      <c r="C251" t="s">
        <v>35</v>
      </c>
      <c r="E251">
        <v>2</v>
      </c>
      <c r="F251">
        <v>4</v>
      </c>
      <c r="G251">
        <v>19</v>
      </c>
    </row>
    <row r="252" spans="1:7" x14ac:dyDescent="0.25">
      <c r="A252" t="s">
        <v>1010</v>
      </c>
      <c r="B252" t="s">
        <v>232</v>
      </c>
      <c r="C252" t="s">
        <v>36</v>
      </c>
      <c r="E252">
        <v>17</v>
      </c>
      <c r="F252">
        <v>33</v>
      </c>
      <c r="G252">
        <v>142</v>
      </c>
    </row>
    <row r="253" spans="1:7" x14ac:dyDescent="0.25">
      <c r="A253" t="s">
        <v>1010</v>
      </c>
      <c r="B253" t="s">
        <v>232</v>
      </c>
      <c r="C253" t="s">
        <v>37</v>
      </c>
      <c r="E253">
        <v>1</v>
      </c>
      <c r="F253">
        <v>2</v>
      </c>
      <c r="G253">
        <v>10</v>
      </c>
    </row>
    <row r="254" spans="1:7" x14ac:dyDescent="0.25">
      <c r="A254" t="s">
        <v>1010</v>
      </c>
      <c r="B254" t="s">
        <v>232</v>
      </c>
      <c r="C254" t="s">
        <v>38</v>
      </c>
      <c r="E254">
        <v>7</v>
      </c>
      <c r="F254">
        <v>8</v>
      </c>
      <c r="G254">
        <v>62</v>
      </c>
    </row>
    <row r="255" spans="1:7" x14ac:dyDescent="0.25">
      <c r="A255" t="s">
        <v>1010</v>
      </c>
      <c r="B255" t="s">
        <v>232</v>
      </c>
      <c r="C255" t="s">
        <v>40</v>
      </c>
      <c r="E255">
        <v>5</v>
      </c>
      <c r="F255">
        <v>12</v>
      </c>
      <c r="G255">
        <v>39</v>
      </c>
    </row>
    <row r="256" spans="1:7" x14ac:dyDescent="0.25">
      <c r="A256" t="s">
        <v>1010</v>
      </c>
      <c r="B256" t="s">
        <v>232</v>
      </c>
      <c r="C256" t="s">
        <v>42</v>
      </c>
      <c r="E256">
        <v>5</v>
      </c>
      <c r="F256">
        <v>9</v>
      </c>
      <c r="G256">
        <v>36</v>
      </c>
    </row>
    <row r="257" spans="1:7" x14ac:dyDescent="0.25">
      <c r="A257" t="s">
        <v>1010</v>
      </c>
      <c r="B257" t="s">
        <v>232</v>
      </c>
      <c r="C257" t="s">
        <v>43</v>
      </c>
      <c r="E257">
        <v>8</v>
      </c>
      <c r="F257">
        <v>22</v>
      </c>
      <c r="G257">
        <v>73</v>
      </c>
    </row>
    <row r="258" spans="1:7" x14ac:dyDescent="0.25">
      <c r="A258" t="s">
        <v>1010</v>
      </c>
      <c r="B258" t="s">
        <v>232</v>
      </c>
      <c r="C258" t="s">
        <v>44</v>
      </c>
      <c r="E258">
        <v>51</v>
      </c>
      <c r="F258">
        <v>96</v>
      </c>
      <c r="G258">
        <v>331</v>
      </c>
    </row>
    <row r="259" spans="1:7" x14ac:dyDescent="0.25">
      <c r="A259" t="s">
        <v>1010</v>
      </c>
      <c r="B259" t="s">
        <v>232</v>
      </c>
      <c r="C259" t="s">
        <v>45</v>
      </c>
      <c r="E259">
        <v>3</v>
      </c>
      <c r="F259">
        <v>7</v>
      </c>
      <c r="G259">
        <v>28</v>
      </c>
    </row>
    <row r="260" spans="1:7" x14ac:dyDescent="0.25">
      <c r="A260" t="s">
        <v>1010</v>
      </c>
      <c r="B260" t="s">
        <v>232</v>
      </c>
      <c r="C260" t="s">
        <v>46</v>
      </c>
      <c r="E260">
        <v>1</v>
      </c>
      <c r="F260">
        <v>2</v>
      </c>
      <c r="G260">
        <v>8</v>
      </c>
    </row>
    <row r="261" spans="1:7" x14ac:dyDescent="0.25">
      <c r="A261" t="s">
        <v>1010</v>
      </c>
      <c r="B261" t="s">
        <v>232</v>
      </c>
      <c r="C261" t="s">
        <v>47</v>
      </c>
      <c r="E261">
        <v>11</v>
      </c>
      <c r="F261">
        <v>26</v>
      </c>
      <c r="G261">
        <v>77</v>
      </c>
    </row>
    <row r="262" spans="1:7" x14ac:dyDescent="0.25">
      <c r="A262" t="s">
        <v>1010</v>
      </c>
      <c r="B262" t="s">
        <v>232</v>
      </c>
      <c r="C262" t="s">
        <v>48</v>
      </c>
      <c r="E262">
        <v>14</v>
      </c>
      <c r="F262">
        <v>29</v>
      </c>
      <c r="G262">
        <v>78</v>
      </c>
    </row>
    <row r="263" spans="1:7" x14ac:dyDescent="0.25">
      <c r="A263" t="s">
        <v>1010</v>
      </c>
      <c r="B263" t="s">
        <v>232</v>
      </c>
      <c r="C263" t="s">
        <v>49</v>
      </c>
      <c r="E263">
        <v>11</v>
      </c>
      <c r="F263">
        <v>12</v>
      </c>
      <c r="G263">
        <v>72</v>
      </c>
    </row>
    <row r="264" spans="1:7" x14ac:dyDescent="0.25">
      <c r="A264" t="s">
        <v>1010</v>
      </c>
      <c r="B264" t="s">
        <v>232</v>
      </c>
      <c r="C264" t="s">
        <v>50</v>
      </c>
      <c r="E264">
        <v>3</v>
      </c>
      <c r="F264">
        <v>6</v>
      </c>
      <c r="G264">
        <v>21</v>
      </c>
    </row>
    <row r="265" spans="1:7" x14ac:dyDescent="0.25">
      <c r="A265" t="s">
        <v>1010</v>
      </c>
      <c r="B265" t="s">
        <v>232</v>
      </c>
      <c r="C265" t="s">
        <v>51</v>
      </c>
      <c r="E265">
        <v>12</v>
      </c>
      <c r="F265">
        <v>19</v>
      </c>
      <c r="G265">
        <v>84</v>
      </c>
    </row>
    <row r="266" spans="1:7" x14ac:dyDescent="0.25">
      <c r="A266" t="s">
        <v>1010</v>
      </c>
      <c r="B266" t="s">
        <v>232</v>
      </c>
      <c r="C266" t="s">
        <v>52</v>
      </c>
      <c r="E266">
        <v>9</v>
      </c>
      <c r="F266">
        <v>21</v>
      </c>
      <c r="G266">
        <v>86</v>
      </c>
    </row>
    <row r="267" spans="1:7" x14ac:dyDescent="0.25">
      <c r="A267" t="s">
        <v>1010</v>
      </c>
      <c r="B267" t="s">
        <v>232</v>
      </c>
      <c r="C267" t="s">
        <v>53</v>
      </c>
      <c r="E267">
        <v>1</v>
      </c>
      <c r="F267">
        <v>2</v>
      </c>
      <c r="G267">
        <v>10</v>
      </c>
    </row>
    <row r="268" spans="1:7" x14ac:dyDescent="0.25">
      <c r="A268" t="s">
        <v>1010</v>
      </c>
      <c r="B268" t="s">
        <v>232</v>
      </c>
      <c r="C268" t="s">
        <v>54</v>
      </c>
      <c r="E268">
        <v>13</v>
      </c>
      <c r="F268">
        <v>28</v>
      </c>
      <c r="G268">
        <v>99</v>
      </c>
    </row>
    <row r="269" spans="1:7" x14ac:dyDescent="0.25">
      <c r="A269" t="s">
        <v>1010</v>
      </c>
      <c r="B269" t="s">
        <v>232</v>
      </c>
      <c r="C269" t="s">
        <v>55</v>
      </c>
      <c r="E269">
        <v>12</v>
      </c>
      <c r="F269">
        <v>27</v>
      </c>
      <c r="G269">
        <v>94</v>
      </c>
    </row>
    <row r="270" spans="1:7" x14ac:dyDescent="0.25">
      <c r="A270" t="s">
        <v>1010</v>
      </c>
      <c r="B270" t="s">
        <v>232</v>
      </c>
      <c r="C270" t="s">
        <v>56</v>
      </c>
      <c r="E270">
        <v>6</v>
      </c>
      <c r="F270">
        <v>7</v>
      </c>
      <c r="G270">
        <v>35</v>
      </c>
    </row>
    <row r="271" spans="1:7" x14ac:dyDescent="0.25">
      <c r="A271" t="s">
        <v>1010</v>
      </c>
      <c r="B271" t="s">
        <v>232</v>
      </c>
      <c r="C271" t="s">
        <v>57</v>
      </c>
      <c r="E271">
        <v>8</v>
      </c>
      <c r="F271">
        <v>13</v>
      </c>
      <c r="G271">
        <v>50</v>
      </c>
    </row>
    <row r="272" spans="1:7" x14ac:dyDescent="0.25">
      <c r="A272" t="s">
        <v>1010</v>
      </c>
      <c r="B272" t="s">
        <v>232</v>
      </c>
      <c r="C272" t="s">
        <v>58</v>
      </c>
      <c r="E272">
        <v>8</v>
      </c>
      <c r="F272">
        <v>15</v>
      </c>
      <c r="G272">
        <v>46</v>
      </c>
    </row>
    <row r="273" spans="1:7" x14ac:dyDescent="0.25">
      <c r="A273" t="s">
        <v>1010</v>
      </c>
      <c r="B273" t="s">
        <v>232</v>
      </c>
      <c r="C273" t="s">
        <v>59</v>
      </c>
      <c r="E273">
        <v>2</v>
      </c>
      <c r="F273">
        <v>2</v>
      </c>
      <c r="G273">
        <v>17</v>
      </c>
    </row>
    <row r="274" spans="1:7" x14ac:dyDescent="0.25">
      <c r="A274" t="s">
        <v>1010</v>
      </c>
      <c r="B274" t="s">
        <v>232</v>
      </c>
      <c r="C274" t="s">
        <v>60</v>
      </c>
      <c r="E274">
        <v>6</v>
      </c>
      <c r="F274">
        <v>11</v>
      </c>
      <c r="G274">
        <v>41</v>
      </c>
    </row>
    <row r="275" spans="1:7" x14ac:dyDescent="0.25">
      <c r="A275" t="s">
        <v>1061</v>
      </c>
      <c r="B275" t="s">
        <v>232</v>
      </c>
      <c r="C275" t="s">
        <v>31</v>
      </c>
      <c r="E275">
        <v>1</v>
      </c>
      <c r="F275">
        <v>2</v>
      </c>
      <c r="G275">
        <v>7</v>
      </c>
    </row>
    <row r="276" spans="1:7" x14ac:dyDescent="0.25">
      <c r="A276" t="s">
        <v>1061</v>
      </c>
      <c r="B276" t="s">
        <v>232</v>
      </c>
      <c r="C276" t="s">
        <v>32</v>
      </c>
      <c r="E276">
        <v>23</v>
      </c>
      <c r="F276">
        <v>67</v>
      </c>
      <c r="G276">
        <v>188</v>
      </c>
    </row>
    <row r="277" spans="1:7" x14ac:dyDescent="0.25">
      <c r="A277" t="s">
        <v>1061</v>
      </c>
      <c r="B277" t="s">
        <v>232</v>
      </c>
      <c r="C277" t="s">
        <v>33</v>
      </c>
      <c r="E277">
        <v>7</v>
      </c>
      <c r="F277">
        <v>17</v>
      </c>
      <c r="G277">
        <v>72</v>
      </c>
    </row>
    <row r="278" spans="1:7" x14ac:dyDescent="0.25">
      <c r="A278" t="s">
        <v>1061</v>
      </c>
      <c r="B278" t="s">
        <v>232</v>
      </c>
      <c r="C278" t="s">
        <v>34</v>
      </c>
      <c r="E278">
        <v>14</v>
      </c>
      <c r="F278">
        <v>25</v>
      </c>
      <c r="G278">
        <v>128</v>
      </c>
    </row>
    <row r="279" spans="1:7" x14ac:dyDescent="0.25">
      <c r="A279" t="s">
        <v>1061</v>
      </c>
      <c r="B279" t="s">
        <v>232</v>
      </c>
      <c r="C279" t="s">
        <v>243</v>
      </c>
      <c r="E279">
        <v>1</v>
      </c>
      <c r="F279">
        <v>1</v>
      </c>
      <c r="G279">
        <v>7</v>
      </c>
    </row>
    <row r="280" spans="1:7" x14ac:dyDescent="0.25">
      <c r="A280" t="s">
        <v>1061</v>
      </c>
      <c r="B280" t="s">
        <v>232</v>
      </c>
      <c r="C280" t="s">
        <v>35</v>
      </c>
      <c r="E280">
        <v>2</v>
      </c>
      <c r="F280">
        <v>5</v>
      </c>
      <c r="G280">
        <v>18</v>
      </c>
    </row>
    <row r="281" spans="1:7" x14ac:dyDescent="0.25">
      <c r="A281" t="s">
        <v>1061</v>
      </c>
      <c r="B281" t="s">
        <v>232</v>
      </c>
      <c r="C281" t="s">
        <v>36</v>
      </c>
      <c r="E281">
        <v>16</v>
      </c>
      <c r="F281">
        <v>32</v>
      </c>
      <c r="G281">
        <v>146</v>
      </c>
    </row>
    <row r="282" spans="1:7" x14ac:dyDescent="0.25">
      <c r="A282" t="s">
        <v>1061</v>
      </c>
      <c r="B282" t="s">
        <v>232</v>
      </c>
      <c r="C282" t="s">
        <v>37</v>
      </c>
      <c r="E282">
        <v>1</v>
      </c>
      <c r="F282">
        <v>2</v>
      </c>
      <c r="G282">
        <v>9</v>
      </c>
    </row>
    <row r="283" spans="1:7" x14ac:dyDescent="0.25">
      <c r="A283" t="s">
        <v>1061</v>
      </c>
      <c r="B283" t="s">
        <v>232</v>
      </c>
      <c r="C283" t="s">
        <v>38</v>
      </c>
      <c r="E283">
        <v>7</v>
      </c>
      <c r="F283">
        <v>10</v>
      </c>
      <c r="G283">
        <v>54</v>
      </c>
    </row>
    <row r="284" spans="1:7" x14ac:dyDescent="0.25">
      <c r="A284" t="s">
        <v>1061</v>
      </c>
      <c r="B284" t="s">
        <v>232</v>
      </c>
      <c r="C284" t="s">
        <v>40</v>
      </c>
      <c r="E284">
        <v>5</v>
      </c>
      <c r="F284">
        <v>11</v>
      </c>
      <c r="G284">
        <v>35</v>
      </c>
    </row>
    <row r="285" spans="1:7" x14ac:dyDescent="0.25">
      <c r="A285" t="s">
        <v>1061</v>
      </c>
      <c r="B285" t="s">
        <v>232</v>
      </c>
      <c r="C285" t="s">
        <v>42</v>
      </c>
      <c r="E285">
        <v>5</v>
      </c>
      <c r="F285">
        <v>10</v>
      </c>
      <c r="G285">
        <v>38</v>
      </c>
    </row>
    <row r="286" spans="1:7" x14ac:dyDescent="0.25">
      <c r="A286" t="s">
        <v>1061</v>
      </c>
      <c r="B286" t="s">
        <v>232</v>
      </c>
      <c r="C286" t="s">
        <v>43</v>
      </c>
      <c r="E286">
        <v>9</v>
      </c>
      <c r="F286">
        <v>22</v>
      </c>
      <c r="G286">
        <v>74</v>
      </c>
    </row>
    <row r="287" spans="1:7" x14ac:dyDescent="0.25">
      <c r="A287" t="s">
        <v>1061</v>
      </c>
      <c r="B287" t="s">
        <v>232</v>
      </c>
      <c r="C287" t="s">
        <v>44</v>
      </c>
      <c r="E287">
        <v>1</v>
      </c>
      <c r="F287">
        <v>0</v>
      </c>
      <c r="G287">
        <v>0</v>
      </c>
    </row>
    <row r="288" spans="1:7" x14ac:dyDescent="0.25">
      <c r="A288" t="s">
        <v>1061</v>
      </c>
      <c r="B288" t="s">
        <v>232</v>
      </c>
      <c r="C288" t="s">
        <v>44</v>
      </c>
      <c r="E288">
        <v>49</v>
      </c>
      <c r="F288">
        <v>93</v>
      </c>
      <c r="G288">
        <v>321</v>
      </c>
    </row>
    <row r="289" spans="1:7" x14ac:dyDescent="0.25">
      <c r="A289" t="s">
        <v>1061</v>
      </c>
      <c r="B289" t="s">
        <v>232</v>
      </c>
      <c r="C289" t="s">
        <v>45</v>
      </c>
      <c r="E289">
        <v>3</v>
      </c>
      <c r="F289">
        <v>7</v>
      </c>
      <c r="G289">
        <v>26</v>
      </c>
    </row>
    <row r="290" spans="1:7" x14ac:dyDescent="0.25">
      <c r="A290" t="s">
        <v>1061</v>
      </c>
      <c r="B290" t="s">
        <v>232</v>
      </c>
      <c r="C290" t="s">
        <v>46</v>
      </c>
      <c r="E290">
        <v>1</v>
      </c>
      <c r="F290">
        <v>2</v>
      </c>
      <c r="G290">
        <v>8</v>
      </c>
    </row>
    <row r="291" spans="1:7" x14ac:dyDescent="0.25">
      <c r="A291" t="s">
        <v>1061</v>
      </c>
      <c r="B291" t="s">
        <v>232</v>
      </c>
      <c r="C291" t="s">
        <v>47</v>
      </c>
      <c r="E291">
        <v>11</v>
      </c>
      <c r="F291">
        <v>28</v>
      </c>
      <c r="G291">
        <v>70</v>
      </c>
    </row>
    <row r="292" spans="1:7" x14ac:dyDescent="0.25">
      <c r="A292" t="s">
        <v>1061</v>
      </c>
      <c r="B292" t="s">
        <v>232</v>
      </c>
      <c r="C292" t="s">
        <v>48</v>
      </c>
      <c r="E292">
        <v>14</v>
      </c>
      <c r="F292">
        <v>26</v>
      </c>
      <c r="G292">
        <v>95</v>
      </c>
    </row>
    <row r="293" spans="1:7" x14ac:dyDescent="0.25">
      <c r="A293" t="s">
        <v>1061</v>
      </c>
      <c r="B293" t="s">
        <v>232</v>
      </c>
      <c r="C293" t="s">
        <v>49</v>
      </c>
      <c r="E293">
        <v>10</v>
      </c>
      <c r="F293">
        <v>13</v>
      </c>
      <c r="G293">
        <v>73</v>
      </c>
    </row>
    <row r="294" spans="1:7" x14ac:dyDescent="0.25">
      <c r="A294" t="s">
        <v>1061</v>
      </c>
      <c r="B294" t="s">
        <v>232</v>
      </c>
      <c r="C294" t="s">
        <v>50</v>
      </c>
      <c r="E294">
        <v>3</v>
      </c>
      <c r="F294">
        <v>7</v>
      </c>
      <c r="G294">
        <v>21</v>
      </c>
    </row>
    <row r="295" spans="1:7" x14ac:dyDescent="0.25">
      <c r="A295" t="s">
        <v>1061</v>
      </c>
      <c r="B295" t="s">
        <v>232</v>
      </c>
      <c r="C295" t="s">
        <v>51</v>
      </c>
      <c r="E295">
        <v>12</v>
      </c>
      <c r="F295">
        <v>21</v>
      </c>
      <c r="G295">
        <v>82</v>
      </c>
    </row>
    <row r="296" spans="1:7" x14ac:dyDescent="0.25">
      <c r="A296" t="s">
        <v>1061</v>
      </c>
      <c r="B296" t="s">
        <v>232</v>
      </c>
      <c r="C296" t="s">
        <v>52</v>
      </c>
      <c r="E296">
        <v>9</v>
      </c>
      <c r="F296">
        <v>21</v>
      </c>
      <c r="G296">
        <v>89</v>
      </c>
    </row>
    <row r="297" spans="1:7" x14ac:dyDescent="0.25">
      <c r="A297" t="s">
        <v>1061</v>
      </c>
      <c r="B297" t="s">
        <v>232</v>
      </c>
      <c r="C297" t="s">
        <v>53</v>
      </c>
      <c r="E297">
        <v>1</v>
      </c>
      <c r="F297">
        <v>2</v>
      </c>
      <c r="G297">
        <v>11</v>
      </c>
    </row>
    <row r="298" spans="1:7" x14ac:dyDescent="0.25">
      <c r="A298" t="s">
        <v>1061</v>
      </c>
      <c r="B298" t="s">
        <v>232</v>
      </c>
      <c r="C298" t="s">
        <v>54</v>
      </c>
      <c r="E298">
        <v>13</v>
      </c>
      <c r="F298">
        <v>28</v>
      </c>
      <c r="G298">
        <v>113</v>
      </c>
    </row>
    <row r="299" spans="1:7" x14ac:dyDescent="0.25">
      <c r="A299" t="s">
        <v>1061</v>
      </c>
      <c r="B299" t="s">
        <v>232</v>
      </c>
      <c r="C299" t="s">
        <v>55</v>
      </c>
      <c r="E299">
        <v>14</v>
      </c>
      <c r="F299">
        <v>25</v>
      </c>
      <c r="G299">
        <v>83</v>
      </c>
    </row>
    <row r="300" spans="1:7" x14ac:dyDescent="0.25">
      <c r="A300" t="s">
        <v>1061</v>
      </c>
      <c r="B300" t="s">
        <v>232</v>
      </c>
      <c r="C300" t="s">
        <v>56</v>
      </c>
      <c r="E300">
        <v>5</v>
      </c>
      <c r="F300">
        <v>7</v>
      </c>
      <c r="G300">
        <v>36</v>
      </c>
    </row>
    <row r="301" spans="1:7" x14ac:dyDescent="0.25">
      <c r="A301" t="s">
        <v>1061</v>
      </c>
      <c r="B301" t="s">
        <v>232</v>
      </c>
      <c r="C301" t="s">
        <v>57</v>
      </c>
      <c r="E301">
        <v>9</v>
      </c>
      <c r="F301">
        <v>13</v>
      </c>
      <c r="G301">
        <v>46</v>
      </c>
    </row>
    <row r="302" spans="1:7" x14ac:dyDescent="0.25">
      <c r="A302" t="s">
        <v>1061</v>
      </c>
      <c r="B302" t="s">
        <v>232</v>
      </c>
      <c r="C302" t="s">
        <v>58</v>
      </c>
      <c r="E302">
        <v>7</v>
      </c>
      <c r="F302">
        <v>13</v>
      </c>
      <c r="G302">
        <v>49</v>
      </c>
    </row>
    <row r="303" spans="1:7" x14ac:dyDescent="0.25">
      <c r="A303" t="s">
        <v>1061</v>
      </c>
      <c r="B303" t="s">
        <v>232</v>
      </c>
      <c r="C303" t="s">
        <v>59</v>
      </c>
      <c r="E303">
        <v>2</v>
      </c>
      <c r="F303">
        <v>2</v>
      </c>
      <c r="G303">
        <v>15</v>
      </c>
    </row>
    <row r="304" spans="1:7" x14ac:dyDescent="0.25">
      <c r="A304" t="s">
        <v>1061</v>
      </c>
      <c r="B304" t="s">
        <v>232</v>
      </c>
      <c r="C304" t="s">
        <v>60</v>
      </c>
      <c r="E304">
        <v>7</v>
      </c>
      <c r="F304">
        <v>9</v>
      </c>
      <c r="G304">
        <v>38</v>
      </c>
    </row>
    <row r="305" spans="1:7" x14ac:dyDescent="0.25">
      <c r="A305" t="s">
        <v>1108</v>
      </c>
      <c r="B305" t="s">
        <v>232</v>
      </c>
      <c r="C305" t="s">
        <v>31</v>
      </c>
      <c r="E305">
        <v>1</v>
      </c>
      <c r="F305">
        <v>4</v>
      </c>
      <c r="G305">
        <v>5</v>
      </c>
    </row>
    <row r="306" spans="1:7" x14ac:dyDescent="0.25">
      <c r="A306" t="s">
        <v>1108</v>
      </c>
      <c r="B306" t="s">
        <v>232</v>
      </c>
      <c r="C306" t="s">
        <v>32</v>
      </c>
      <c r="E306">
        <v>22</v>
      </c>
      <c r="F306">
        <v>66</v>
      </c>
      <c r="G306">
        <v>178</v>
      </c>
    </row>
    <row r="307" spans="1:7" x14ac:dyDescent="0.25">
      <c r="A307" t="s">
        <v>1108</v>
      </c>
      <c r="B307" t="s">
        <v>232</v>
      </c>
      <c r="C307" t="s">
        <v>33</v>
      </c>
      <c r="E307">
        <v>6</v>
      </c>
      <c r="F307">
        <v>18</v>
      </c>
      <c r="G307">
        <v>76</v>
      </c>
    </row>
    <row r="308" spans="1:7" x14ac:dyDescent="0.25">
      <c r="A308" t="s">
        <v>1108</v>
      </c>
      <c r="B308" t="s">
        <v>232</v>
      </c>
      <c r="C308" t="s">
        <v>34</v>
      </c>
      <c r="E308">
        <v>15</v>
      </c>
      <c r="F308">
        <v>23</v>
      </c>
      <c r="G308">
        <v>135</v>
      </c>
    </row>
    <row r="309" spans="1:7" x14ac:dyDescent="0.25">
      <c r="A309" t="s">
        <v>1108</v>
      </c>
      <c r="B309" t="s">
        <v>232</v>
      </c>
      <c r="C309" t="s">
        <v>243</v>
      </c>
      <c r="E309">
        <v>1</v>
      </c>
      <c r="F309">
        <v>2</v>
      </c>
      <c r="G309">
        <v>6</v>
      </c>
    </row>
    <row r="310" spans="1:7" x14ac:dyDescent="0.25">
      <c r="A310" t="s">
        <v>1108</v>
      </c>
      <c r="B310" t="s">
        <v>232</v>
      </c>
      <c r="C310" t="s">
        <v>35</v>
      </c>
      <c r="E310">
        <v>2</v>
      </c>
      <c r="F310">
        <v>4</v>
      </c>
      <c r="G310">
        <v>17</v>
      </c>
    </row>
    <row r="311" spans="1:7" x14ac:dyDescent="0.25">
      <c r="A311" t="s">
        <v>1108</v>
      </c>
      <c r="B311" t="s">
        <v>232</v>
      </c>
      <c r="C311" t="s">
        <v>36</v>
      </c>
      <c r="E311">
        <v>15</v>
      </c>
      <c r="F311">
        <v>32</v>
      </c>
      <c r="G311">
        <v>132</v>
      </c>
    </row>
    <row r="312" spans="1:7" x14ac:dyDescent="0.25">
      <c r="A312" t="s">
        <v>1108</v>
      </c>
      <c r="B312" t="s">
        <v>232</v>
      </c>
      <c r="C312" t="s">
        <v>37</v>
      </c>
      <c r="E312">
        <v>1</v>
      </c>
      <c r="F312">
        <v>2</v>
      </c>
      <c r="G312">
        <v>11</v>
      </c>
    </row>
    <row r="313" spans="1:7" x14ac:dyDescent="0.25">
      <c r="A313" t="s">
        <v>1108</v>
      </c>
      <c r="B313" t="s">
        <v>232</v>
      </c>
      <c r="C313" t="s">
        <v>38</v>
      </c>
      <c r="E313">
        <v>6</v>
      </c>
      <c r="F313">
        <v>12</v>
      </c>
      <c r="G313">
        <v>53</v>
      </c>
    </row>
    <row r="314" spans="1:7" x14ac:dyDescent="0.25">
      <c r="A314" t="s">
        <v>1108</v>
      </c>
      <c r="B314" t="s">
        <v>232</v>
      </c>
      <c r="C314" t="s">
        <v>40</v>
      </c>
      <c r="E314">
        <v>5</v>
      </c>
      <c r="F314">
        <v>12</v>
      </c>
      <c r="G314">
        <v>39</v>
      </c>
    </row>
    <row r="315" spans="1:7" x14ac:dyDescent="0.25">
      <c r="A315" t="s">
        <v>1108</v>
      </c>
      <c r="B315" t="s">
        <v>232</v>
      </c>
      <c r="C315" t="s">
        <v>42</v>
      </c>
      <c r="E315">
        <v>5</v>
      </c>
      <c r="F315">
        <v>10</v>
      </c>
      <c r="G315">
        <v>46</v>
      </c>
    </row>
    <row r="316" spans="1:7" x14ac:dyDescent="0.25">
      <c r="A316" t="s">
        <v>1108</v>
      </c>
      <c r="B316" t="s">
        <v>232</v>
      </c>
      <c r="C316" t="s">
        <v>43</v>
      </c>
      <c r="E316">
        <v>8</v>
      </c>
      <c r="F316">
        <v>22</v>
      </c>
      <c r="G316">
        <v>74</v>
      </c>
    </row>
    <row r="317" spans="1:7" x14ac:dyDescent="0.25">
      <c r="A317" t="s">
        <v>1108</v>
      </c>
      <c r="B317" t="s">
        <v>232</v>
      </c>
      <c r="C317" t="s">
        <v>44</v>
      </c>
      <c r="E317">
        <v>45</v>
      </c>
      <c r="F317">
        <v>91</v>
      </c>
      <c r="G317">
        <v>328</v>
      </c>
    </row>
    <row r="318" spans="1:7" x14ac:dyDescent="0.25">
      <c r="A318" t="s">
        <v>1108</v>
      </c>
      <c r="B318" t="s">
        <v>232</v>
      </c>
      <c r="C318" t="s">
        <v>45</v>
      </c>
      <c r="E318">
        <v>3</v>
      </c>
      <c r="F318">
        <v>7</v>
      </c>
      <c r="G318">
        <v>25</v>
      </c>
    </row>
    <row r="319" spans="1:7" x14ac:dyDescent="0.25">
      <c r="A319" t="s">
        <v>1108</v>
      </c>
      <c r="B319" t="s">
        <v>232</v>
      </c>
      <c r="C319" t="s">
        <v>46</v>
      </c>
      <c r="E319">
        <v>1</v>
      </c>
      <c r="F319">
        <v>2</v>
      </c>
      <c r="G319">
        <v>10</v>
      </c>
    </row>
    <row r="320" spans="1:7" x14ac:dyDescent="0.25">
      <c r="A320" t="s">
        <v>1108</v>
      </c>
      <c r="B320" t="s">
        <v>232</v>
      </c>
      <c r="C320" t="s">
        <v>47</v>
      </c>
      <c r="E320">
        <v>12</v>
      </c>
      <c r="F320">
        <v>28</v>
      </c>
      <c r="G320">
        <v>76</v>
      </c>
    </row>
    <row r="321" spans="1:7" x14ac:dyDescent="0.25">
      <c r="A321" t="s">
        <v>1108</v>
      </c>
      <c r="B321" t="s">
        <v>232</v>
      </c>
      <c r="C321" t="s">
        <v>48</v>
      </c>
      <c r="E321">
        <v>1</v>
      </c>
      <c r="F321">
        <v>2</v>
      </c>
      <c r="G321">
        <v>7</v>
      </c>
    </row>
    <row r="322" spans="1:7" x14ac:dyDescent="0.25">
      <c r="A322" t="s">
        <v>1108</v>
      </c>
      <c r="B322" t="s">
        <v>232</v>
      </c>
      <c r="C322" t="s">
        <v>48</v>
      </c>
      <c r="E322">
        <v>13</v>
      </c>
      <c r="F322">
        <v>26</v>
      </c>
      <c r="G322">
        <v>83</v>
      </c>
    </row>
    <row r="323" spans="1:7" x14ac:dyDescent="0.25">
      <c r="A323" t="s">
        <v>1108</v>
      </c>
      <c r="B323" t="s">
        <v>232</v>
      </c>
      <c r="C323" t="s">
        <v>49</v>
      </c>
      <c r="E323">
        <v>9</v>
      </c>
      <c r="F323">
        <v>12</v>
      </c>
      <c r="G323">
        <v>77</v>
      </c>
    </row>
    <row r="324" spans="1:7" x14ac:dyDescent="0.25">
      <c r="A324" t="s">
        <v>1108</v>
      </c>
      <c r="B324" t="s">
        <v>232</v>
      </c>
      <c r="C324" t="s">
        <v>50</v>
      </c>
      <c r="E324">
        <v>3</v>
      </c>
      <c r="F324">
        <v>6</v>
      </c>
      <c r="G324">
        <v>20</v>
      </c>
    </row>
    <row r="325" spans="1:7" x14ac:dyDescent="0.25">
      <c r="A325" t="s">
        <v>1108</v>
      </c>
      <c r="B325" t="s">
        <v>232</v>
      </c>
      <c r="C325" t="s">
        <v>51</v>
      </c>
      <c r="E325">
        <v>1</v>
      </c>
      <c r="F325">
        <v>2</v>
      </c>
      <c r="G325">
        <v>5</v>
      </c>
    </row>
    <row r="326" spans="1:7" x14ac:dyDescent="0.25">
      <c r="A326" t="s">
        <v>1108</v>
      </c>
      <c r="B326" t="s">
        <v>232</v>
      </c>
      <c r="C326" t="s">
        <v>51</v>
      </c>
      <c r="E326">
        <v>11</v>
      </c>
      <c r="F326">
        <v>21</v>
      </c>
      <c r="G326">
        <v>72</v>
      </c>
    </row>
    <row r="327" spans="1:7" x14ac:dyDescent="0.25">
      <c r="A327" t="s">
        <v>1108</v>
      </c>
      <c r="B327" t="s">
        <v>232</v>
      </c>
      <c r="C327" t="s">
        <v>52</v>
      </c>
      <c r="E327">
        <v>11</v>
      </c>
      <c r="F327">
        <v>20</v>
      </c>
      <c r="G327">
        <v>86</v>
      </c>
    </row>
    <row r="328" spans="1:7" x14ac:dyDescent="0.25">
      <c r="A328" t="s">
        <v>1108</v>
      </c>
      <c r="B328" t="s">
        <v>232</v>
      </c>
      <c r="C328" t="s">
        <v>53</v>
      </c>
      <c r="E328">
        <v>1</v>
      </c>
      <c r="F328">
        <v>2</v>
      </c>
      <c r="G328">
        <v>8</v>
      </c>
    </row>
    <row r="329" spans="1:7" x14ac:dyDescent="0.25">
      <c r="A329" t="s">
        <v>1108</v>
      </c>
      <c r="B329" t="s">
        <v>232</v>
      </c>
      <c r="C329" t="s">
        <v>54</v>
      </c>
      <c r="E329">
        <v>12</v>
      </c>
      <c r="F329">
        <v>28</v>
      </c>
      <c r="G329">
        <v>97</v>
      </c>
    </row>
    <row r="330" spans="1:7" x14ac:dyDescent="0.25">
      <c r="A330" t="s">
        <v>1108</v>
      </c>
      <c r="B330" t="s">
        <v>232</v>
      </c>
      <c r="C330" t="s">
        <v>55</v>
      </c>
      <c r="E330">
        <v>14</v>
      </c>
      <c r="F330">
        <v>23</v>
      </c>
      <c r="G330">
        <v>77</v>
      </c>
    </row>
    <row r="331" spans="1:7" x14ac:dyDescent="0.25">
      <c r="A331" t="s">
        <v>1108</v>
      </c>
      <c r="B331" t="s">
        <v>232</v>
      </c>
      <c r="C331" t="s">
        <v>56</v>
      </c>
      <c r="E331">
        <v>4</v>
      </c>
      <c r="F331">
        <v>8</v>
      </c>
      <c r="G331">
        <v>34</v>
      </c>
    </row>
    <row r="332" spans="1:7" x14ac:dyDescent="0.25">
      <c r="A332" t="s">
        <v>1108</v>
      </c>
      <c r="B332" t="s">
        <v>232</v>
      </c>
      <c r="C332" t="s">
        <v>57</v>
      </c>
      <c r="E332">
        <v>8</v>
      </c>
      <c r="F332">
        <v>13</v>
      </c>
      <c r="G332">
        <v>52</v>
      </c>
    </row>
    <row r="333" spans="1:7" x14ac:dyDescent="0.25">
      <c r="A333" t="s">
        <v>1108</v>
      </c>
      <c r="B333" t="s">
        <v>232</v>
      </c>
      <c r="C333" t="s">
        <v>58</v>
      </c>
      <c r="E333">
        <v>7</v>
      </c>
      <c r="F333">
        <v>15</v>
      </c>
      <c r="G333">
        <v>46</v>
      </c>
    </row>
    <row r="334" spans="1:7" x14ac:dyDescent="0.25">
      <c r="A334" t="s">
        <v>1108</v>
      </c>
      <c r="B334" t="s">
        <v>232</v>
      </c>
      <c r="C334" t="s">
        <v>59</v>
      </c>
      <c r="E334">
        <v>2</v>
      </c>
      <c r="F334">
        <v>2</v>
      </c>
      <c r="G334">
        <v>17</v>
      </c>
    </row>
    <row r="335" spans="1:7" x14ac:dyDescent="0.25">
      <c r="A335" t="s">
        <v>1108</v>
      </c>
      <c r="B335" t="s">
        <v>232</v>
      </c>
      <c r="C335" t="s">
        <v>60</v>
      </c>
      <c r="E335">
        <v>6</v>
      </c>
      <c r="F335">
        <v>10</v>
      </c>
      <c r="G335">
        <v>40</v>
      </c>
    </row>
  </sheetData>
  <pageMargins left="0.7" right="0.7" top="0.75" bottom="0.75" header="0.3" footer="0.3"/>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8">
    <tabColor theme="9" tint="0.39997558519241921"/>
    <pageSetUpPr fitToPage="1"/>
  </sheetPr>
  <dimension ref="A1:I48"/>
  <sheetViews>
    <sheetView showGridLines="0" zoomScaleNormal="100" workbookViewId="0">
      <pane ySplit="2" topLeftCell="A3" activePane="bottomLeft" state="frozen"/>
      <selection pane="bottomLeft" sqref="A1:G1"/>
    </sheetView>
  </sheetViews>
  <sheetFormatPr defaultRowHeight="15" x14ac:dyDescent="0.25"/>
  <cols>
    <col min="1" max="1" width="17" bestFit="1" customWidth="1"/>
    <col min="2" max="2" width="34.7109375" customWidth="1"/>
    <col min="3" max="5" width="13" customWidth="1"/>
    <col min="6" max="6" width="12.7109375" customWidth="1"/>
  </cols>
  <sheetData>
    <row r="1" spans="1:9" ht="20.100000000000001" customHeight="1" x14ac:dyDescent="0.25">
      <c r="A1" s="993" t="s">
        <v>450</v>
      </c>
      <c r="B1" s="993"/>
      <c r="C1" s="993"/>
      <c r="D1" s="993"/>
      <c r="E1" s="993"/>
      <c r="F1" s="993"/>
      <c r="G1" s="993"/>
      <c r="H1" s="25"/>
      <c r="I1" s="25"/>
    </row>
    <row r="2" spans="1:9" ht="19.5" customHeight="1" x14ac:dyDescent="0.25">
      <c r="A2" s="507" t="s">
        <v>511</v>
      </c>
      <c r="B2" s="1"/>
      <c r="C2" s="1"/>
      <c r="D2" s="1"/>
      <c r="E2" s="1"/>
      <c r="F2" s="1"/>
      <c r="G2" s="1"/>
      <c r="H2" s="25"/>
      <c r="I2" s="25"/>
    </row>
    <row r="3" spans="1:9" ht="18" x14ac:dyDescent="0.25">
      <c r="A3" s="1"/>
      <c r="B3" s="1"/>
      <c r="C3" s="1"/>
      <c r="D3" s="1"/>
      <c r="E3" s="1"/>
      <c r="F3" s="1"/>
      <c r="G3" s="1"/>
      <c r="H3" s="25"/>
      <c r="I3" s="25"/>
    </row>
    <row r="4" spans="1:9" ht="30.75" customHeight="1" x14ac:dyDescent="0.25">
      <c r="A4" s="1004" t="s">
        <v>473</v>
      </c>
      <c r="B4" s="1004"/>
      <c r="C4" s="1004"/>
      <c r="D4" s="1004"/>
      <c r="E4" s="1004"/>
      <c r="F4" s="1004"/>
    </row>
    <row r="5" spans="1:9" ht="15" customHeight="1" x14ac:dyDescent="0.25">
      <c r="A5" t="s">
        <v>328</v>
      </c>
      <c r="B5" t="s">
        <v>653</v>
      </c>
      <c r="C5" s="232"/>
      <c r="D5" s="232"/>
      <c r="E5" s="232"/>
      <c r="F5" s="232"/>
    </row>
    <row r="6" spans="1:9" ht="15" customHeight="1" x14ac:dyDescent="0.25">
      <c r="A6" t="s">
        <v>329</v>
      </c>
      <c r="B6" t="s">
        <v>331</v>
      </c>
      <c r="C6" s="232"/>
      <c r="D6" s="232"/>
      <c r="E6" s="232"/>
      <c r="F6" s="232"/>
    </row>
    <row r="7" spans="1:9" ht="15" customHeight="1" x14ac:dyDescent="0.25">
      <c r="A7" t="s">
        <v>330</v>
      </c>
      <c r="B7" t="s">
        <v>332</v>
      </c>
      <c r="C7" s="232"/>
      <c r="D7" s="232"/>
      <c r="E7" s="232"/>
      <c r="F7" s="232"/>
    </row>
    <row r="8" spans="1:9" ht="33.75" customHeight="1" x14ac:dyDescent="0.25">
      <c r="A8" s="36" t="s">
        <v>1</v>
      </c>
      <c r="B8" s="36" t="s">
        <v>205</v>
      </c>
      <c r="C8" s="79" t="s">
        <v>841</v>
      </c>
      <c r="D8" s="79" t="s">
        <v>842</v>
      </c>
      <c r="E8" s="79" t="s">
        <v>23</v>
      </c>
      <c r="F8" s="79" t="s">
        <v>26</v>
      </c>
    </row>
    <row r="9" spans="1:9" ht="22.5" customHeight="1" thickBot="1" x14ac:dyDescent="0.3">
      <c r="A9" s="38" t="str">
        <f>rdsroleareapivot!B1</f>
        <v>2023-24</v>
      </c>
      <c r="B9" s="38" t="s">
        <v>75</v>
      </c>
      <c r="C9" s="289">
        <f>C44</f>
        <v>251</v>
      </c>
      <c r="D9" s="289">
        <f>D44</f>
        <v>525</v>
      </c>
      <c r="E9" s="289">
        <f>E44</f>
        <v>1932</v>
      </c>
      <c r="F9" s="289">
        <f>F44</f>
        <v>2708</v>
      </c>
    </row>
    <row r="10" spans="1:9" ht="15" customHeight="1" x14ac:dyDescent="0.25">
      <c r="B10" s="39"/>
      <c r="C10" s="284"/>
      <c r="D10" s="284"/>
      <c r="E10" s="284"/>
      <c r="F10" s="284"/>
    </row>
    <row r="11" spans="1:9" ht="13.5" customHeight="1" x14ac:dyDescent="0.25">
      <c r="A11" s="42" t="s">
        <v>458</v>
      </c>
      <c r="B11" s="42" t="s">
        <v>30</v>
      </c>
      <c r="C11" s="290"/>
      <c r="D11" s="290"/>
      <c r="E11" s="290"/>
      <c r="F11" s="290"/>
    </row>
    <row r="12" spans="1:9" ht="24" customHeight="1" x14ac:dyDescent="0.25">
      <c r="A12" s="398" t="s">
        <v>285</v>
      </c>
      <c r="B12" s="45" t="s">
        <v>31</v>
      </c>
      <c r="C12" s="49">
        <f>GETPIVOTDATA("Sum of Watch Manager",rdsroleareapivot!$A$3,"Area","Aberdeen City")</f>
        <v>1</v>
      </c>
      <c r="D12" s="49">
        <f>GETPIVOTDATA("Sum of Crew Manager",rdsroleareapivot!$A$3,"Area","Aberdeen City")</f>
        <v>4</v>
      </c>
      <c r="E12" s="49">
        <f>GETPIVOTDATA("Sum of Firefighter",rdsroleareapivot!$A$3,"Area","Aberdeen City")</f>
        <v>5</v>
      </c>
      <c r="F12" s="268">
        <f>SUM(C12:E12)</f>
        <v>10</v>
      </c>
    </row>
    <row r="13" spans="1:9" ht="15" customHeight="1" x14ac:dyDescent="0.25">
      <c r="A13" s="89" t="s">
        <v>286</v>
      </c>
      <c r="B13" s="48" t="s">
        <v>32</v>
      </c>
      <c r="C13" s="49">
        <f>GETPIVOTDATA("Sum of Watch Manager",rdsroleareapivot!$A$3,"Area","Aberdeenshire")</f>
        <v>22</v>
      </c>
      <c r="D13" s="49">
        <f>GETPIVOTDATA("Sum of Crew Manager",rdsroleareapivot!$A$3,"Area","Aberdeenshire")</f>
        <v>66</v>
      </c>
      <c r="E13" s="49">
        <f>GETPIVOTDATA("Sum of Firefighter",rdsroleareapivot!$A$3,"Area","Aberdeenshire")</f>
        <v>178</v>
      </c>
      <c r="F13" s="268">
        <f t="shared" ref="F13:F21" si="0">SUM(C13:E13)</f>
        <v>266</v>
      </c>
    </row>
    <row r="14" spans="1:9" ht="15" customHeight="1" x14ac:dyDescent="0.25">
      <c r="A14" s="89" t="s">
        <v>292</v>
      </c>
      <c r="B14" s="48" t="s">
        <v>33</v>
      </c>
      <c r="C14" s="49">
        <f>GETPIVOTDATA("Sum of Watch Manager",rdsroleareapivot!$A$3,"Area", "Angus")</f>
        <v>6</v>
      </c>
      <c r="D14" s="49">
        <f>GETPIVOTDATA("Sum of Crew Manager",rdsroleareapivot!$A$3,"Area", "Angus")</f>
        <v>18</v>
      </c>
      <c r="E14" s="49">
        <f>GETPIVOTDATA("Sum of Firefighter",rdsroleareapivot!$A$3,"Area", "Angus")</f>
        <v>76</v>
      </c>
      <c r="F14" s="268">
        <f t="shared" si="0"/>
        <v>100</v>
      </c>
    </row>
    <row r="15" spans="1:9" ht="15" customHeight="1" x14ac:dyDescent="0.25">
      <c r="A15" s="89" t="s">
        <v>287</v>
      </c>
      <c r="B15" s="48" t="s">
        <v>34</v>
      </c>
      <c r="C15" s="49">
        <f>GETPIVOTDATA("Sum of Watch Manager",rdsroleareapivot!$A$3,"Area","Argyll and Bute")</f>
        <v>15</v>
      </c>
      <c r="D15" s="49">
        <f>GETPIVOTDATA("Sum of Crew Manager",rdsroleareapivot!$A$3,"Area","Argyll and Bute")</f>
        <v>23</v>
      </c>
      <c r="E15" s="49">
        <f>GETPIVOTDATA("Sum of Firefighter",rdsroleareapivot!$A$3,"Area","Argyll and Bute")</f>
        <v>135</v>
      </c>
      <c r="F15" s="268">
        <f t="shared" si="0"/>
        <v>173</v>
      </c>
    </row>
    <row r="16" spans="1:9" ht="15" customHeight="1" x14ac:dyDescent="0.25">
      <c r="A16" s="89" t="s">
        <v>288</v>
      </c>
      <c r="B16" s="48" t="s">
        <v>243</v>
      </c>
      <c r="C16" s="49">
        <f>GETPIVOTDATA("Sum of Watch Manager",rdsroleareapivot!$A$3,"Area","City of Edinburgh")</f>
        <v>1</v>
      </c>
      <c r="D16" s="49">
        <f>GETPIVOTDATA("Sum of Crew Manager",rdsroleareapivot!$A$3,"Area","City of Edinburgh")</f>
        <v>2</v>
      </c>
      <c r="E16" s="49">
        <f>GETPIVOTDATA("Sum of Firefighter",rdsroleareapivot!$A$3,"Area","City of Edinburgh")</f>
        <v>6</v>
      </c>
      <c r="F16" s="268">
        <f t="shared" si="0"/>
        <v>9</v>
      </c>
    </row>
    <row r="17" spans="1:6" ht="15" customHeight="1" x14ac:dyDescent="0.25">
      <c r="A17" s="89" t="s">
        <v>266</v>
      </c>
      <c r="B17" s="48" t="s">
        <v>35</v>
      </c>
      <c r="C17" s="49">
        <f>GETPIVOTDATA("Sum of Watch Manager",rdsroleareapivot!$A$3,"Area","Clackmannanshire")</f>
        <v>2</v>
      </c>
      <c r="D17" s="49">
        <f>GETPIVOTDATA("Sum of Crew Manager",rdsroleareapivot!$A$3,"Area","Clackmannanshire")</f>
        <v>4</v>
      </c>
      <c r="E17" s="49">
        <f>GETPIVOTDATA("Sum of Firefighter",rdsroleareapivot!$A$3,"Area","Clackmannanshire")</f>
        <v>17</v>
      </c>
      <c r="F17" s="268">
        <f t="shared" si="0"/>
        <v>23</v>
      </c>
    </row>
    <row r="18" spans="1:6" ht="15" customHeight="1" x14ac:dyDescent="0.25">
      <c r="A18" s="89" t="s">
        <v>267</v>
      </c>
      <c r="B18" s="48" t="s">
        <v>36</v>
      </c>
      <c r="C18" s="49">
        <f>GETPIVOTDATA("Sum of Watch Manager",rdsroleareapivot!$A$3,"Area","Dumfries and Galloway")</f>
        <v>15</v>
      </c>
      <c r="D18" s="49">
        <f>GETPIVOTDATA("Sum of Crew Manager",rdsroleareapivot!$A$3,"Area","Dumfries and Galloway")</f>
        <v>32</v>
      </c>
      <c r="E18" s="49">
        <f>GETPIVOTDATA("Sum of Firefighter",rdsroleareapivot!$A$3,"Area","Dumfries and Galloway")</f>
        <v>132</v>
      </c>
      <c r="F18" s="268">
        <f t="shared" si="0"/>
        <v>179</v>
      </c>
    </row>
    <row r="19" spans="1:6" ht="15" customHeight="1" x14ac:dyDescent="0.25">
      <c r="A19" s="89" t="s">
        <v>293</v>
      </c>
      <c r="B19" s="48" t="s">
        <v>37</v>
      </c>
      <c r="C19" s="49">
        <f>GETPIVOTDATA("Sum of Watch Manager",rdsroleareapivot!$A$3,"Area","Dundee City")</f>
        <v>1</v>
      </c>
      <c r="D19" s="49">
        <f>GETPIVOTDATA("Sum of Crew Manager",rdsroleareapivot!$A$3,"Area","Dundee City")</f>
        <v>2</v>
      </c>
      <c r="E19" s="49">
        <f>GETPIVOTDATA("Sum of Firefighter",rdsroleareapivot!$A$3,"Area","Dundee City")</f>
        <v>11</v>
      </c>
      <c r="F19" s="268">
        <f t="shared" si="0"/>
        <v>14</v>
      </c>
    </row>
    <row r="20" spans="1:6" ht="15" customHeight="1" x14ac:dyDescent="0.25">
      <c r="A20" s="89" t="s">
        <v>268</v>
      </c>
      <c r="B20" s="48" t="s">
        <v>38</v>
      </c>
      <c r="C20" s="49">
        <f>GETPIVOTDATA("Sum of Watch Manager",rdsroleareapivot!$A$3,"Area","East Ayrshire")</f>
        <v>6</v>
      </c>
      <c r="D20" s="49">
        <f>GETPIVOTDATA("Sum of Crew Manager",rdsroleareapivot!$A$3,"Area","East Ayrshire")</f>
        <v>12</v>
      </c>
      <c r="E20" s="49">
        <f>GETPIVOTDATA("Sum of Firefighter",rdsroleareapivot!$A$3,"Area","East Ayrshire")</f>
        <v>53</v>
      </c>
      <c r="F20" s="268">
        <f t="shared" si="0"/>
        <v>71</v>
      </c>
    </row>
    <row r="21" spans="1:6" ht="15" customHeight="1" x14ac:dyDescent="0.25">
      <c r="A21" s="89" t="s">
        <v>295</v>
      </c>
      <c r="B21" s="48" t="s">
        <v>39</v>
      </c>
      <c r="C21" s="49" t="str">
        <f>IFERROR(GETPIVOTDATA("Sum of Watch Manager",rdsroleareapivot!$A$3,"Area","East Dunbartonshire"), "-")</f>
        <v>-</v>
      </c>
      <c r="D21" s="49" t="str">
        <f>IFERROR(GETPIVOTDATA("Sum of Crew Manager",rdsroleareapivot!$A$3,"Area","East Dunbartonshire"), "-")</f>
        <v>-</v>
      </c>
      <c r="E21" s="49" t="str">
        <f>IFERROR(GETPIVOTDATA("Sum of Firefighter",rdsroleareapivot!$A$3,"Area","East Dunbartonshire"), "-")</f>
        <v>-</v>
      </c>
      <c r="F21" s="268">
        <f t="shared" si="0"/>
        <v>0</v>
      </c>
    </row>
    <row r="22" spans="1:6" ht="15" customHeight="1" x14ac:dyDescent="0.25">
      <c r="A22" s="89" t="s">
        <v>269</v>
      </c>
      <c r="B22" s="48" t="s">
        <v>40</v>
      </c>
      <c r="C22" s="49">
        <f>GETPIVOTDATA("Sum of Watch Manager",rdsroleareapivot!$A$3,"Area","East Lothian")</f>
        <v>5</v>
      </c>
      <c r="D22" s="49">
        <f>GETPIVOTDATA("Sum of Crew Manager",rdsroleareapivot!$A$3,"Area","East Lothian")</f>
        <v>12</v>
      </c>
      <c r="E22" s="49">
        <f>GETPIVOTDATA("Sum of Firefighter",rdsroleareapivot!$A$3,"Area","East Lothian")</f>
        <v>39</v>
      </c>
      <c r="F22" s="268">
        <f>SUM(C22:E22)</f>
        <v>56</v>
      </c>
    </row>
    <row r="23" spans="1:6" ht="15" customHeight="1" x14ac:dyDescent="0.25">
      <c r="A23" s="89" t="s">
        <v>270</v>
      </c>
      <c r="B23" s="48" t="s">
        <v>41</v>
      </c>
      <c r="C23" s="49" t="str">
        <f>IFERROR(GETPIVOTDATA("Sum of Watch Manager",rdsroleareapivot!$A$3,"Area","East Renfrewshire"), "-")</f>
        <v>-</v>
      </c>
      <c r="D23" s="49" t="str">
        <f>IFERROR(GETPIVOTDATA("Sum of Crew Manager",rdsroleareapivot!$A$3,"Area","East Renfrewshire"), "-")</f>
        <v>-</v>
      </c>
      <c r="E23" s="49" t="str">
        <f>IFERROR(GETPIVOTDATA("Sum of Firefighter",rdsroleareapivot!$A$3,"Area","East Renfrewshire"), "-")</f>
        <v>-</v>
      </c>
      <c r="F23" s="268">
        <f t="shared" ref="F23" si="1">SUM(C23:E23)</f>
        <v>0</v>
      </c>
    </row>
    <row r="24" spans="1:6" ht="15" customHeight="1" x14ac:dyDescent="0.25">
      <c r="A24" s="89" t="s">
        <v>272</v>
      </c>
      <c r="B24" s="48" t="s">
        <v>42</v>
      </c>
      <c r="C24" s="49">
        <f>GETPIVOTDATA("Sum of Watch Manager",rdsroleareapivot!$A$3,"Area","Falkirk")</f>
        <v>5</v>
      </c>
      <c r="D24" s="49">
        <f>GETPIVOTDATA("Sum of Crew Manager",rdsroleareapivot!$A$3,"Area","Falkirk")</f>
        <v>10</v>
      </c>
      <c r="E24" s="49">
        <f>GETPIVOTDATA("Sum of Firefighter",rdsroleareapivot!$A$3,"Area","Falkirk")</f>
        <v>46</v>
      </c>
      <c r="F24" s="268">
        <f t="shared" ref="F24:F43" si="2">SUM(C24:E24)</f>
        <v>61</v>
      </c>
    </row>
    <row r="25" spans="1:6" ht="15" customHeight="1" x14ac:dyDescent="0.25">
      <c r="A25" s="89" t="s">
        <v>297</v>
      </c>
      <c r="B25" s="48" t="s">
        <v>43</v>
      </c>
      <c r="C25" s="49">
        <f>GETPIVOTDATA("Sum of Watch Manager",rdsroleareapivot!$A$3,"Area","Fife")</f>
        <v>8</v>
      </c>
      <c r="D25" s="49">
        <f>GETPIVOTDATA("Sum of Crew Manager",rdsroleareapivot!$A$3,"Area","Fife")</f>
        <v>22</v>
      </c>
      <c r="E25" s="49">
        <f>GETPIVOTDATA("Sum of Firefighter",rdsroleareapivot!$A$3,"Area","Fife")</f>
        <v>74</v>
      </c>
      <c r="F25" s="268">
        <f t="shared" si="2"/>
        <v>104</v>
      </c>
    </row>
    <row r="26" spans="1:6" ht="15" customHeight="1" x14ac:dyDescent="0.25">
      <c r="A26" s="89" t="str">
        <f>IF(A9 = "2019-20","S12000049","S12000046")</f>
        <v>S12000046</v>
      </c>
      <c r="B26" s="48" t="s">
        <v>117</v>
      </c>
      <c r="C26" s="49" t="str">
        <f>IFERROR(GETPIVOTDATA("Sum of Watch Manager",rdsroleareapivot!$A$3,"Area","Glasgow City"), "-")</f>
        <v>-</v>
      </c>
      <c r="D26" s="49" t="str">
        <f>IFERROR(GETPIVOTDATA("Sum of Crew Manager",rdsroleareapivot!$A$3,"Area","Glasgow City"), "-")</f>
        <v>-</v>
      </c>
      <c r="E26" s="49" t="str">
        <f>IFERROR(GETPIVOTDATA("Sum of Firefighter",rdsroleareapivot!$A$3,"Area","Glasgow City"), "-")</f>
        <v>-</v>
      </c>
      <c r="F26" s="268">
        <f t="shared" si="2"/>
        <v>0</v>
      </c>
    </row>
    <row r="27" spans="1:6" ht="15" customHeight="1" x14ac:dyDescent="0.25">
      <c r="A27" s="89" t="s">
        <v>273</v>
      </c>
      <c r="B27" s="48" t="s">
        <v>44</v>
      </c>
      <c r="C27" s="49">
        <f>GETPIVOTDATA("Sum of Watch Manager",rdsroleareapivot!$A$3,"Area","Highland")</f>
        <v>45</v>
      </c>
      <c r="D27" s="49">
        <f>GETPIVOTDATA("Sum of Crew Manager",rdsroleareapivot!$A$3,"Area","Highland")</f>
        <v>91</v>
      </c>
      <c r="E27" s="49">
        <f>GETPIVOTDATA("Sum of Firefighter",rdsroleareapivot!$A$3,"Area","Highland")</f>
        <v>328</v>
      </c>
      <c r="F27" s="268">
        <f t="shared" si="2"/>
        <v>464</v>
      </c>
    </row>
    <row r="28" spans="1:6" ht="15" customHeight="1" x14ac:dyDescent="0.25">
      <c r="A28" s="89" t="s">
        <v>274</v>
      </c>
      <c r="B28" s="48" t="s">
        <v>45</v>
      </c>
      <c r="C28" s="49">
        <f>GETPIVOTDATA("Sum of Watch Manager",rdsroleareapivot!$A$3,"Area","Inverclyde")</f>
        <v>3</v>
      </c>
      <c r="D28" s="49">
        <f>GETPIVOTDATA("Sum of Crew Manager",rdsroleareapivot!$A$3,"Area","Inverclyde")</f>
        <v>7</v>
      </c>
      <c r="E28" s="49">
        <f>GETPIVOTDATA("Sum of Firefighter",rdsroleareapivot!$A$3,"Area","Inverclyde")</f>
        <v>25</v>
      </c>
      <c r="F28" s="268">
        <f t="shared" si="2"/>
        <v>35</v>
      </c>
    </row>
    <row r="29" spans="1:6" ht="15" customHeight="1" x14ac:dyDescent="0.25">
      <c r="A29" s="89" t="s">
        <v>275</v>
      </c>
      <c r="B29" s="48" t="s">
        <v>46</v>
      </c>
      <c r="C29" s="49">
        <f>GETPIVOTDATA("Sum of Watch Manager",rdsroleareapivot!$A$3,"Area","Midlothian")</f>
        <v>1</v>
      </c>
      <c r="D29" s="49">
        <f>GETPIVOTDATA("Sum of Crew Manager",rdsroleareapivot!$A$3,"Area","Midlothian")</f>
        <v>2</v>
      </c>
      <c r="E29" s="49">
        <f>GETPIVOTDATA("Sum of Firefighter",rdsroleareapivot!$A$3,"Area","Midlothian")</f>
        <v>10</v>
      </c>
      <c r="F29" s="268">
        <f t="shared" si="2"/>
        <v>13</v>
      </c>
    </row>
    <row r="30" spans="1:6" ht="15" customHeight="1" x14ac:dyDescent="0.25">
      <c r="A30" s="89" t="s">
        <v>276</v>
      </c>
      <c r="B30" s="48" t="s">
        <v>47</v>
      </c>
      <c r="C30" s="49">
        <f>GETPIVOTDATA("Sum of Watch Manager",rdsroleareapivot!$A$3,"Area","Moray")</f>
        <v>12</v>
      </c>
      <c r="D30" s="49">
        <f>GETPIVOTDATA("Sum of Crew Manager",rdsroleareapivot!$A$3,"Area","Moray")</f>
        <v>28</v>
      </c>
      <c r="E30" s="49">
        <f>GETPIVOTDATA("Sum of Firefighter",rdsroleareapivot!$A$3,"Area","Moray")</f>
        <v>76</v>
      </c>
      <c r="F30" s="268">
        <f t="shared" si="2"/>
        <v>116</v>
      </c>
    </row>
    <row r="31" spans="1:6" ht="15" customHeight="1" x14ac:dyDescent="0.25">
      <c r="A31" s="89" t="s">
        <v>271</v>
      </c>
      <c r="B31" s="48" t="s">
        <v>48</v>
      </c>
      <c r="C31" s="49">
        <f>GETPIVOTDATA("Sum of Watch Manager",rdsroleareapivot!$A$3,"Area","Na h-Eileanan Siar")</f>
        <v>14</v>
      </c>
      <c r="D31" s="49">
        <f>GETPIVOTDATA("Sum of Crew Manager",rdsroleareapivot!$A$3,"Area","Na h-Eileanan Siar")</f>
        <v>28</v>
      </c>
      <c r="E31" s="49">
        <f>GETPIVOTDATA("Sum of Firefighter",rdsroleareapivot!$A$3,"Area","Na h-Eileanan Siar")</f>
        <v>90</v>
      </c>
      <c r="F31" s="268">
        <f t="shared" si="2"/>
        <v>132</v>
      </c>
    </row>
    <row r="32" spans="1:6" ht="15" customHeight="1" x14ac:dyDescent="0.25">
      <c r="A32" s="89" t="s">
        <v>277</v>
      </c>
      <c r="B32" s="48" t="s">
        <v>49</v>
      </c>
      <c r="C32" s="49">
        <f>GETPIVOTDATA("Sum of Watch Manager",rdsroleareapivot!$A$3,"Area","North Ayrshire")</f>
        <v>9</v>
      </c>
      <c r="D32" s="49">
        <f>GETPIVOTDATA("Sum of Crew Manager",rdsroleareapivot!$A$3,"Area","North Ayrshire")</f>
        <v>12</v>
      </c>
      <c r="E32" s="49">
        <f>GETPIVOTDATA("Sum of Firefighter",rdsroleareapivot!$A$3,"Area","North Ayrshire")</f>
        <v>77</v>
      </c>
      <c r="F32" s="268">
        <f t="shared" si="2"/>
        <v>98</v>
      </c>
    </row>
    <row r="33" spans="1:9" ht="15" customHeight="1" x14ac:dyDescent="0.25">
      <c r="A33" s="89" t="str">
        <f>IF(A9="2019-20","S12000050","S12000044")</f>
        <v>S12000044</v>
      </c>
      <c r="B33" s="48" t="s">
        <v>50</v>
      </c>
      <c r="C33" s="49">
        <f>GETPIVOTDATA("Sum of Watch Manager",rdsroleareapivot!$A$3,"Area","North Lanarkshire")</f>
        <v>3</v>
      </c>
      <c r="D33" s="49">
        <f>GETPIVOTDATA("Sum of Crew Manager",rdsroleareapivot!$A$3,"Area","North Lanarkshire")</f>
        <v>6</v>
      </c>
      <c r="E33" s="49">
        <f>GETPIVOTDATA("Sum of Firefighter",rdsroleareapivot!$A$3,"Area","North Lanarkshire")</f>
        <v>20</v>
      </c>
      <c r="F33" s="268">
        <f t="shared" si="2"/>
        <v>29</v>
      </c>
    </row>
    <row r="34" spans="1:9" ht="15" customHeight="1" x14ac:dyDescent="0.25">
      <c r="A34" s="89" t="s">
        <v>278</v>
      </c>
      <c r="B34" s="48" t="s">
        <v>51</v>
      </c>
      <c r="C34" s="49">
        <f>GETPIVOTDATA("Sum of Watch Manager",rdsroleareapivot!$A$3,"Area","Orkney Islands")</f>
        <v>12</v>
      </c>
      <c r="D34" s="49">
        <f>GETPIVOTDATA("Sum of Crew Manager",rdsroleareapivot!$A$3,"Area","Orkney Islands")</f>
        <v>23</v>
      </c>
      <c r="E34" s="49">
        <f>GETPIVOTDATA("Sum of Firefighter",rdsroleareapivot!$A$3,"Area","Orkney Islands")</f>
        <v>77</v>
      </c>
      <c r="F34" s="268">
        <f t="shared" si="2"/>
        <v>112</v>
      </c>
    </row>
    <row r="35" spans="1:9" ht="15" customHeight="1" x14ac:dyDescent="0.25">
      <c r="A35" s="89" t="s">
        <v>279</v>
      </c>
      <c r="B35" s="48" t="s">
        <v>52</v>
      </c>
      <c r="C35" s="49">
        <f>GETPIVOTDATA("Sum of Watch Manager",rdsroleareapivot!$A$3,"Area","Perth and Kinross")</f>
        <v>11</v>
      </c>
      <c r="D35" s="49">
        <f>GETPIVOTDATA("Sum of Crew Manager",rdsroleareapivot!$A$3,"Area","Perth and Kinross")</f>
        <v>20</v>
      </c>
      <c r="E35" s="49">
        <f>GETPIVOTDATA("Sum of Firefighter",rdsroleareapivot!$A$3,"Area","Perth and Kinross")</f>
        <v>86</v>
      </c>
      <c r="F35" s="268">
        <f t="shared" si="2"/>
        <v>117</v>
      </c>
    </row>
    <row r="36" spans="1:9" ht="15" customHeight="1" x14ac:dyDescent="0.25">
      <c r="A36" s="89" t="s">
        <v>289</v>
      </c>
      <c r="B36" s="48" t="s">
        <v>53</v>
      </c>
      <c r="C36" s="49">
        <f>GETPIVOTDATA("Sum of Watch Manager",rdsroleareapivot!$A$3,"Area","Renfrewshire")</f>
        <v>1</v>
      </c>
      <c r="D36" s="49">
        <f>GETPIVOTDATA("Sum of Crew Manager",rdsroleareapivot!$A$3,"Area","Renfrewshire")</f>
        <v>2</v>
      </c>
      <c r="E36" s="49">
        <f>GETPIVOTDATA("Sum of Firefighter",rdsroleareapivot!$A$3,"Area","Renfrewshire")</f>
        <v>8</v>
      </c>
      <c r="F36" s="268">
        <f t="shared" si="2"/>
        <v>11</v>
      </c>
    </row>
    <row r="37" spans="1:9" ht="15" customHeight="1" x14ac:dyDescent="0.25">
      <c r="A37" s="89" t="s">
        <v>280</v>
      </c>
      <c r="B37" s="48" t="s">
        <v>54</v>
      </c>
      <c r="C37" s="49">
        <f>GETPIVOTDATA("Sum of Watch Manager",rdsroleareapivot!$A$3,"Area","Scottish Borders")</f>
        <v>12</v>
      </c>
      <c r="D37" s="49">
        <f>GETPIVOTDATA("Sum of Crew Manager",rdsroleareapivot!$A$3,"Area","Scottish Borders")</f>
        <v>28</v>
      </c>
      <c r="E37" s="49">
        <f>GETPIVOTDATA("Sum of Firefighter",rdsroleareapivot!$A$3,"Area","Scottish Borders")</f>
        <v>97</v>
      </c>
      <c r="F37" s="268">
        <f t="shared" si="2"/>
        <v>137</v>
      </c>
    </row>
    <row r="38" spans="1:9" ht="15" customHeight="1" x14ac:dyDescent="0.25">
      <c r="A38" s="89" t="s">
        <v>281</v>
      </c>
      <c r="B38" s="48" t="s">
        <v>55</v>
      </c>
      <c r="C38" s="49">
        <f>GETPIVOTDATA("Sum of Watch Manager",rdsroleareapivot!$A$3,"Area","Shetland Islands")</f>
        <v>14</v>
      </c>
      <c r="D38" s="49">
        <f>GETPIVOTDATA("Sum of Crew Manager",rdsroleareapivot!$A$3,"Area","Shetland Islands")</f>
        <v>23</v>
      </c>
      <c r="E38" s="49">
        <f>GETPIVOTDATA("Sum of Firefighter",rdsroleareapivot!$A$3,"Area","Shetland Islands")</f>
        <v>77</v>
      </c>
      <c r="F38" s="268">
        <f t="shared" si="2"/>
        <v>114</v>
      </c>
    </row>
    <row r="39" spans="1:9" ht="15" customHeight="1" x14ac:dyDescent="0.25">
      <c r="A39" s="89" t="s">
        <v>282</v>
      </c>
      <c r="B39" s="48" t="s">
        <v>56</v>
      </c>
      <c r="C39" s="49">
        <f>GETPIVOTDATA("Sum of Watch Manager",rdsroleareapivot!$A$3,"Area","South Ayrshire")</f>
        <v>4</v>
      </c>
      <c r="D39" s="49">
        <f>GETPIVOTDATA("Sum of Crew Manager",rdsroleareapivot!$A$3,"Area","South Ayrshire")</f>
        <v>8</v>
      </c>
      <c r="E39" s="49">
        <f>GETPIVOTDATA("Sum of Firefighter",rdsroleareapivot!$A$3,"Area","South Ayrshire")</f>
        <v>34</v>
      </c>
      <c r="F39" s="268">
        <f t="shared" si="2"/>
        <v>46</v>
      </c>
    </row>
    <row r="40" spans="1:9" ht="15" customHeight="1" x14ac:dyDescent="0.25">
      <c r="A40" s="89" t="s">
        <v>283</v>
      </c>
      <c r="B40" s="48" t="s">
        <v>57</v>
      </c>
      <c r="C40" s="49">
        <f>GETPIVOTDATA("Sum of Watch Manager",rdsroleareapivot!$A$3,"Area","South Lanarkshire")</f>
        <v>8</v>
      </c>
      <c r="D40" s="49">
        <f>GETPIVOTDATA("Sum of Crew Manager",rdsroleareapivot!$A$3,"Area","South Lanarkshire")</f>
        <v>13</v>
      </c>
      <c r="E40" s="49">
        <f>GETPIVOTDATA("Sum of Firefighter",rdsroleareapivot!$A$3,"Area","South Lanarkshire")</f>
        <v>52</v>
      </c>
      <c r="F40" s="268">
        <f t="shared" si="2"/>
        <v>73</v>
      </c>
    </row>
    <row r="41" spans="1:9" ht="15" customHeight="1" x14ac:dyDescent="0.25">
      <c r="A41" s="89" t="s">
        <v>284</v>
      </c>
      <c r="B41" s="48" t="s">
        <v>58</v>
      </c>
      <c r="C41" s="49">
        <f>GETPIVOTDATA("Sum of Watch Manager",rdsroleareapivot!$A$3,"Area","Stirling")</f>
        <v>7</v>
      </c>
      <c r="D41" s="49">
        <f>GETPIVOTDATA("Sum of Crew Manager",rdsroleareapivot!$A$3,"Area","Stirling")</f>
        <v>15</v>
      </c>
      <c r="E41" s="49">
        <f>GETPIVOTDATA("Sum of Firefighter",rdsroleareapivot!$A$3,"Area","Stirling")</f>
        <v>46</v>
      </c>
      <c r="F41" s="268">
        <f t="shared" si="2"/>
        <v>68</v>
      </c>
    </row>
    <row r="42" spans="1:9" ht="15" customHeight="1" x14ac:dyDescent="0.25">
      <c r="A42" s="89" t="s">
        <v>290</v>
      </c>
      <c r="B42" s="48" t="s">
        <v>59</v>
      </c>
      <c r="C42" s="49">
        <f>GETPIVOTDATA("Sum of Watch Manager",rdsroleareapivot!$A$3,"Area","West Dunbartonshire")</f>
        <v>2</v>
      </c>
      <c r="D42" s="49">
        <f>GETPIVOTDATA("Sum of Crew Manager",rdsroleareapivot!$A$3,"Area","West Dunbartonshire")</f>
        <v>2</v>
      </c>
      <c r="E42" s="49">
        <f>GETPIVOTDATA("Sum of Firefighter",rdsroleareapivot!$A$3,"Area","West Dunbartonshire")</f>
        <v>17</v>
      </c>
      <c r="F42" s="268">
        <f t="shared" si="2"/>
        <v>21</v>
      </c>
    </row>
    <row r="43" spans="1:9" ht="15" customHeight="1" x14ac:dyDescent="0.25">
      <c r="A43" s="89" t="s">
        <v>291</v>
      </c>
      <c r="B43" s="48" t="s">
        <v>60</v>
      </c>
      <c r="C43" s="49">
        <f>GETPIVOTDATA("Sum of Watch Manager",rdsroleareapivot!$A$3,"Area","West Lothian")</f>
        <v>6</v>
      </c>
      <c r="D43" s="49">
        <f>GETPIVOTDATA("Sum of Crew Manager",rdsroleareapivot!$A$3,"Area","West Lothian")</f>
        <v>10</v>
      </c>
      <c r="E43" s="49">
        <f>GETPIVOTDATA("Sum of Firefighter",rdsroleareapivot!$A$3,"Area","West Lothian")</f>
        <v>40</v>
      </c>
      <c r="F43" s="268">
        <f t="shared" si="2"/>
        <v>56</v>
      </c>
    </row>
    <row r="44" spans="1:9" ht="30" customHeight="1" thickBot="1" x14ac:dyDescent="0.3">
      <c r="A44" s="52"/>
      <c r="B44" s="52" t="s">
        <v>61</v>
      </c>
      <c r="C44" s="70">
        <f>SUM(C12:C43)</f>
        <v>251</v>
      </c>
      <c r="D44" s="70">
        <f>SUM(D12:D43)</f>
        <v>525</v>
      </c>
      <c r="E44" s="70">
        <f>SUM(E12:E43)</f>
        <v>1932</v>
      </c>
      <c r="F44" s="70">
        <f>SUM(F12:F43)</f>
        <v>2708</v>
      </c>
    </row>
    <row r="45" spans="1:9" ht="13.5" customHeight="1" x14ac:dyDescent="0.25">
      <c r="B45" s="81"/>
      <c r="C45" s="270"/>
      <c r="D45" s="270"/>
      <c r="E45" s="270"/>
      <c r="F45" s="270"/>
    </row>
    <row r="46" spans="1:9" x14ac:dyDescent="0.25">
      <c r="A46" s="353" t="s">
        <v>8</v>
      </c>
    </row>
    <row r="47" spans="1:9" x14ac:dyDescent="0.25">
      <c r="A47" t="s">
        <v>229</v>
      </c>
    </row>
    <row r="48" spans="1:9" ht="45.75" customHeight="1" x14ac:dyDescent="0.25">
      <c r="A48" s="1003" t="s">
        <v>844</v>
      </c>
      <c r="B48" s="1003"/>
      <c r="C48" s="1003"/>
      <c r="D48" s="1003"/>
      <c r="E48" s="1003"/>
      <c r="F48" s="1003"/>
      <c r="G48" s="1003"/>
      <c r="H48" s="1003"/>
      <c r="I48" s="1003"/>
    </row>
  </sheetData>
  <sheetProtection algorithmName="SHA-512" hashValue="RvE1pp1jj9dzNLEJ+y2FFG+FM+Lxw/u69TNwwJ4nUAiJlPTVn+62TcfPkCzneVGPHG95uKTatv05LXQCrlgkiQ==" saltValue="lc3T4PtdN/rVkhGyRuU85A==" spinCount="100000" sheet="1" scenarios="1" formatCells="0" sort="0" autoFilter="0" pivotTables="0"/>
  <mergeCells count="3">
    <mergeCell ref="A4:F4"/>
    <mergeCell ref="A1:G1"/>
    <mergeCell ref="A48:I48"/>
  </mergeCells>
  <hyperlinks>
    <hyperlink ref="A2" location="'Table of Contents'!A1" display="Back to Table of Contents" xr:uid="{00000000-0004-0000-3900-000000000000}"/>
  </hyperlinks>
  <pageMargins left="0.70866141732283472" right="0.70866141732283472" top="0.74803149606299213" bottom="0.74803149606299213" header="0.31496062992125984" footer="0.31496062992125984"/>
  <pageSetup paperSize="9" scale="93" orientation="portrait" r:id="rId1"/>
  <drawing r:id="rId2"/>
  <extLst>
    <ext xmlns:x14="http://schemas.microsoft.com/office/spreadsheetml/2009/9/main" uri="{A8765BA9-456A-4dab-B4F3-ACF838C121DE}">
      <x14:slicerList>
        <x14:slicer r:id="rId3"/>
      </x14:slicerList>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39997558519241921"/>
  </sheetPr>
  <dimension ref="A1:G5"/>
  <sheetViews>
    <sheetView workbookViewId="0">
      <selection activeCell="C4" sqref="C4"/>
    </sheetView>
  </sheetViews>
  <sheetFormatPr defaultRowHeight="15" x14ac:dyDescent="0.25"/>
  <cols>
    <col min="1" max="1" width="12.5703125" bestFit="1" customWidth="1"/>
    <col min="2" max="2" width="19.42578125" bestFit="1" customWidth="1"/>
    <col min="3" max="3" width="20.85546875" bestFit="1" customWidth="1"/>
    <col min="4" max="4" width="21.5703125" bestFit="1" customWidth="1"/>
    <col min="5" max="5" width="21" bestFit="1" customWidth="1"/>
    <col min="6" max="6" width="19.7109375" bestFit="1" customWidth="1"/>
    <col min="7" max="7" width="21.85546875" bestFit="1" customWidth="1"/>
  </cols>
  <sheetData>
    <row r="1" spans="1:7" x14ac:dyDescent="0.25">
      <c r="A1" s="394" t="s">
        <v>1</v>
      </c>
      <c r="B1" t="s">
        <v>1108</v>
      </c>
    </row>
    <row r="3" spans="1:7" x14ac:dyDescent="0.25">
      <c r="A3" s="394" t="s">
        <v>231</v>
      </c>
      <c r="B3" t="s">
        <v>250</v>
      </c>
      <c r="C3" t="s">
        <v>251</v>
      </c>
      <c r="D3" t="s">
        <v>252</v>
      </c>
      <c r="E3" t="s">
        <v>241</v>
      </c>
      <c r="F3" t="s">
        <v>253</v>
      </c>
      <c r="G3" t="s">
        <v>256</v>
      </c>
    </row>
    <row r="4" spans="1:7" x14ac:dyDescent="0.25">
      <c r="A4" s="395" t="s">
        <v>244</v>
      </c>
      <c r="B4">
        <v>1</v>
      </c>
      <c r="C4">
        <v>4</v>
      </c>
      <c r="D4">
        <v>9</v>
      </c>
      <c r="E4">
        <v>40</v>
      </c>
      <c r="F4">
        <v>26</v>
      </c>
      <c r="G4">
        <v>91</v>
      </c>
    </row>
    <row r="5" spans="1:7" x14ac:dyDescent="0.25">
      <c r="A5" s="395" t="s">
        <v>236</v>
      </c>
      <c r="B5">
        <v>1</v>
      </c>
      <c r="C5">
        <v>4</v>
      </c>
      <c r="D5">
        <v>9</v>
      </c>
      <c r="E5">
        <v>40</v>
      </c>
      <c r="F5">
        <v>26</v>
      </c>
      <c r="G5">
        <v>91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39997558519241921"/>
  </sheetPr>
  <dimension ref="A1:I12"/>
  <sheetViews>
    <sheetView workbookViewId="0">
      <selection activeCell="E4" sqref="E4"/>
    </sheetView>
  </sheetViews>
  <sheetFormatPr defaultRowHeight="15" x14ac:dyDescent="0.25"/>
  <cols>
    <col min="1" max="1" width="7.42578125" bestFit="1" customWidth="1"/>
    <col min="2" max="2" width="8.140625" bestFit="1" customWidth="1"/>
    <col min="3" max="3" width="11.28515625" bestFit="1" customWidth="1"/>
    <col min="4" max="4" width="15.28515625" bestFit="1" customWidth="1"/>
    <col min="5" max="5" width="16.5703125" bestFit="1" customWidth="1"/>
    <col min="6" max="6" width="17.28515625" bestFit="1" customWidth="1"/>
    <col min="7" max="7" width="16.7109375" bestFit="1" customWidth="1"/>
    <col min="8" max="8" width="15.5703125" bestFit="1" customWidth="1"/>
    <col min="9" max="9" width="17.7109375" bestFit="1" customWidth="1"/>
    <col min="10" max="10" width="17.5703125" bestFit="1" customWidth="1"/>
  </cols>
  <sheetData>
    <row r="1" spans="1:9" x14ac:dyDescent="0.25">
      <c r="A1" t="s">
        <v>1</v>
      </c>
      <c r="B1" t="s">
        <v>205</v>
      </c>
      <c r="C1" t="s">
        <v>456</v>
      </c>
      <c r="D1" t="s">
        <v>18</v>
      </c>
      <c r="E1" t="s">
        <v>19</v>
      </c>
      <c r="F1" t="s">
        <v>20</v>
      </c>
      <c r="G1" t="s">
        <v>21</v>
      </c>
      <c r="H1" t="s">
        <v>22</v>
      </c>
      <c r="I1" t="s">
        <v>76</v>
      </c>
    </row>
    <row r="2" spans="1:9" x14ac:dyDescent="0.25">
      <c r="A2" t="s">
        <v>192</v>
      </c>
      <c r="B2" t="s">
        <v>244</v>
      </c>
      <c r="C2" t="s">
        <v>347</v>
      </c>
      <c r="D2">
        <v>0</v>
      </c>
      <c r="E2">
        <v>52</v>
      </c>
      <c r="F2">
        <v>103</v>
      </c>
      <c r="G2">
        <v>5</v>
      </c>
      <c r="H2">
        <v>11</v>
      </c>
      <c r="I2">
        <v>52</v>
      </c>
    </row>
    <row r="3" spans="1:9" x14ac:dyDescent="0.25">
      <c r="A3" t="s">
        <v>191</v>
      </c>
      <c r="B3" t="s">
        <v>244</v>
      </c>
      <c r="C3" t="s">
        <v>347</v>
      </c>
      <c r="D3">
        <v>0</v>
      </c>
      <c r="E3">
        <v>52</v>
      </c>
      <c r="F3">
        <v>110</v>
      </c>
      <c r="G3">
        <v>5</v>
      </c>
      <c r="H3">
        <v>13</v>
      </c>
      <c r="I3">
        <v>50</v>
      </c>
    </row>
    <row r="4" spans="1:9" x14ac:dyDescent="0.25">
      <c r="A4" t="s">
        <v>190</v>
      </c>
      <c r="B4" t="s">
        <v>244</v>
      </c>
      <c r="C4" t="s">
        <v>347</v>
      </c>
      <c r="D4">
        <v>0</v>
      </c>
      <c r="E4">
        <v>44</v>
      </c>
      <c r="F4">
        <v>95</v>
      </c>
      <c r="G4">
        <v>6</v>
      </c>
      <c r="H4">
        <v>7</v>
      </c>
      <c r="I4">
        <v>51</v>
      </c>
    </row>
    <row r="5" spans="1:9" x14ac:dyDescent="0.25">
      <c r="A5" t="s">
        <v>257</v>
      </c>
      <c r="B5" t="s">
        <v>244</v>
      </c>
      <c r="C5" t="s">
        <v>347</v>
      </c>
      <c r="D5">
        <v>0</v>
      </c>
      <c r="E5">
        <v>31</v>
      </c>
      <c r="F5">
        <v>80</v>
      </c>
      <c r="G5">
        <v>5</v>
      </c>
      <c r="H5">
        <v>8</v>
      </c>
      <c r="I5">
        <v>41</v>
      </c>
    </row>
    <row r="6" spans="1:9" x14ac:dyDescent="0.25">
      <c r="A6" t="s">
        <v>240</v>
      </c>
      <c r="B6" t="s">
        <v>244</v>
      </c>
      <c r="C6" t="s">
        <v>347</v>
      </c>
      <c r="D6">
        <v>0</v>
      </c>
      <c r="E6">
        <v>27</v>
      </c>
      <c r="F6">
        <v>106</v>
      </c>
      <c r="G6">
        <v>5</v>
      </c>
      <c r="H6">
        <v>8</v>
      </c>
      <c r="I6">
        <v>43</v>
      </c>
    </row>
    <row r="7" spans="1:9" x14ac:dyDescent="0.25">
      <c r="A7" t="s">
        <v>239</v>
      </c>
      <c r="B7" t="s">
        <v>244</v>
      </c>
      <c r="C7" t="s">
        <v>347</v>
      </c>
      <c r="D7">
        <v>1</v>
      </c>
      <c r="E7">
        <v>4</v>
      </c>
      <c r="F7">
        <v>9</v>
      </c>
      <c r="G7">
        <v>42</v>
      </c>
      <c r="H7">
        <v>27</v>
      </c>
      <c r="I7">
        <v>124</v>
      </c>
    </row>
    <row r="8" spans="1:9" x14ac:dyDescent="0.25">
      <c r="A8" t="s">
        <v>760</v>
      </c>
      <c r="B8" t="s">
        <v>244</v>
      </c>
      <c r="C8" t="s">
        <v>347</v>
      </c>
      <c r="D8">
        <v>1</v>
      </c>
      <c r="E8">
        <v>4</v>
      </c>
      <c r="F8">
        <v>8</v>
      </c>
      <c r="G8">
        <v>45</v>
      </c>
      <c r="H8">
        <v>26</v>
      </c>
      <c r="I8">
        <v>104</v>
      </c>
    </row>
    <row r="9" spans="1:9" x14ac:dyDescent="0.25">
      <c r="A9" t="s">
        <v>917</v>
      </c>
      <c r="B9" t="s">
        <v>244</v>
      </c>
      <c r="C9" t="s">
        <v>347</v>
      </c>
      <c r="D9">
        <v>1</v>
      </c>
      <c r="E9">
        <v>4</v>
      </c>
      <c r="F9">
        <v>10</v>
      </c>
      <c r="G9">
        <v>41</v>
      </c>
      <c r="H9">
        <v>31</v>
      </c>
      <c r="I9">
        <v>95</v>
      </c>
    </row>
    <row r="10" spans="1:9" x14ac:dyDescent="0.25">
      <c r="A10" t="s">
        <v>1010</v>
      </c>
      <c r="B10" t="s">
        <v>244</v>
      </c>
      <c r="C10" t="s">
        <v>347</v>
      </c>
      <c r="D10">
        <v>1</v>
      </c>
      <c r="E10">
        <v>4</v>
      </c>
      <c r="F10">
        <v>10</v>
      </c>
      <c r="G10">
        <v>42</v>
      </c>
      <c r="H10">
        <v>27</v>
      </c>
      <c r="I10">
        <v>90</v>
      </c>
    </row>
    <row r="11" spans="1:9" x14ac:dyDescent="0.25">
      <c r="A11" t="s">
        <v>1061</v>
      </c>
      <c r="B11" t="s">
        <v>244</v>
      </c>
      <c r="C11" t="s">
        <v>347</v>
      </c>
      <c r="D11">
        <v>1</v>
      </c>
      <c r="E11">
        <v>4</v>
      </c>
      <c r="F11">
        <v>10</v>
      </c>
      <c r="G11">
        <v>37</v>
      </c>
      <c r="H11">
        <v>29</v>
      </c>
      <c r="I11">
        <v>91</v>
      </c>
    </row>
    <row r="12" spans="1:9" x14ac:dyDescent="0.25">
      <c r="A12" t="s">
        <v>1108</v>
      </c>
      <c r="B12" t="s">
        <v>244</v>
      </c>
      <c r="C12" t="s">
        <v>347</v>
      </c>
      <c r="D12">
        <v>1</v>
      </c>
      <c r="E12">
        <v>4</v>
      </c>
      <c r="F12">
        <v>9</v>
      </c>
      <c r="G12">
        <v>40</v>
      </c>
      <c r="H12">
        <v>26</v>
      </c>
      <c r="I12">
        <v>91</v>
      </c>
    </row>
  </sheetData>
  <pageMargins left="0.7" right="0.7" top="0.75" bottom="0.75" header="0.3" footer="0.3"/>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39997558519241921"/>
  </sheetPr>
  <dimension ref="A1:I12"/>
  <sheetViews>
    <sheetView workbookViewId="0">
      <selection activeCell="C7" sqref="C7"/>
    </sheetView>
  </sheetViews>
  <sheetFormatPr defaultRowHeight="15" x14ac:dyDescent="0.25"/>
  <cols>
    <col min="1" max="1" width="14.42578125" bestFit="1" customWidth="1"/>
    <col min="2" max="2" width="14.140625" bestFit="1" customWidth="1"/>
    <col min="3" max="3" width="21.5703125" bestFit="1" customWidth="1"/>
    <col min="4" max="4" width="18.28515625" bestFit="1" customWidth="1"/>
    <col min="5" max="5" width="18" bestFit="1" customWidth="1"/>
    <col min="6" max="6" width="24" bestFit="1" customWidth="1"/>
    <col min="7" max="7" width="18.5703125" bestFit="1" customWidth="1"/>
    <col min="8" max="8" width="20.140625" bestFit="1" customWidth="1"/>
    <col min="9" max="9" width="11.42578125" bestFit="1" customWidth="1"/>
  </cols>
  <sheetData>
    <row r="1" spans="1:9" x14ac:dyDescent="0.25">
      <c r="A1" s="394" t="s">
        <v>1</v>
      </c>
      <c r="B1" t="s">
        <v>1108</v>
      </c>
    </row>
    <row r="3" spans="1:9" x14ac:dyDescent="0.25">
      <c r="A3" s="394" t="s">
        <v>231</v>
      </c>
      <c r="B3" t="s">
        <v>258</v>
      </c>
      <c r="C3" t="s">
        <v>259</v>
      </c>
      <c r="D3" t="s">
        <v>260</v>
      </c>
      <c r="E3" t="s">
        <v>261</v>
      </c>
      <c r="F3" t="s">
        <v>262</v>
      </c>
      <c r="G3" t="s">
        <v>263</v>
      </c>
      <c r="H3" t="s">
        <v>264</v>
      </c>
      <c r="I3" t="s">
        <v>237</v>
      </c>
    </row>
    <row r="4" spans="1:9" x14ac:dyDescent="0.25">
      <c r="A4" s="395" t="s">
        <v>234</v>
      </c>
    </row>
    <row r="5" spans="1:9" x14ac:dyDescent="0.25">
      <c r="A5" s="396" t="s">
        <v>164</v>
      </c>
      <c r="C5">
        <v>0</v>
      </c>
      <c r="D5">
        <v>0</v>
      </c>
      <c r="E5">
        <v>0</v>
      </c>
      <c r="F5">
        <v>0</v>
      </c>
      <c r="G5">
        <v>0</v>
      </c>
      <c r="H5">
        <v>0</v>
      </c>
      <c r="I5">
        <v>0</v>
      </c>
    </row>
    <row r="6" spans="1:9" x14ac:dyDescent="0.25">
      <c r="A6" s="396" t="s">
        <v>162</v>
      </c>
      <c r="C6">
        <v>0</v>
      </c>
      <c r="D6">
        <v>0</v>
      </c>
      <c r="E6">
        <v>0</v>
      </c>
      <c r="F6">
        <v>0</v>
      </c>
      <c r="G6">
        <v>0</v>
      </c>
      <c r="H6">
        <v>0</v>
      </c>
      <c r="I6">
        <v>0</v>
      </c>
    </row>
    <row r="7" spans="1:9" x14ac:dyDescent="0.25">
      <c r="A7" s="396" t="s">
        <v>163</v>
      </c>
      <c r="C7">
        <v>0</v>
      </c>
      <c r="D7">
        <v>0</v>
      </c>
      <c r="E7">
        <v>0</v>
      </c>
      <c r="F7">
        <v>0</v>
      </c>
      <c r="G7">
        <v>0</v>
      </c>
      <c r="H7">
        <v>0</v>
      </c>
      <c r="I7">
        <v>0</v>
      </c>
    </row>
    <row r="8" spans="1:9" x14ac:dyDescent="0.25">
      <c r="A8" s="395" t="s">
        <v>834</v>
      </c>
      <c r="C8">
        <v>0</v>
      </c>
      <c r="D8">
        <v>0</v>
      </c>
      <c r="E8">
        <v>0</v>
      </c>
      <c r="F8">
        <v>0</v>
      </c>
      <c r="G8">
        <v>0</v>
      </c>
      <c r="H8">
        <v>0</v>
      </c>
      <c r="I8">
        <v>0</v>
      </c>
    </row>
    <row r="9" spans="1:9" x14ac:dyDescent="0.25">
      <c r="A9" s="395" t="s">
        <v>235</v>
      </c>
    </row>
    <row r="10" spans="1:9" x14ac:dyDescent="0.25">
      <c r="A10" s="396" t="s">
        <v>244</v>
      </c>
      <c r="B10">
        <v>3</v>
      </c>
      <c r="C10">
        <v>87</v>
      </c>
      <c r="D10">
        <v>35</v>
      </c>
      <c r="E10">
        <v>90</v>
      </c>
      <c r="F10">
        <v>470</v>
      </c>
      <c r="G10">
        <v>60</v>
      </c>
      <c r="H10">
        <v>142</v>
      </c>
      <c r="I10">
        <v>887</v>
      </c>
    </row>
    <row r="11" spans="1:9" x14ac:dyDescent="0.25">
      <c r="A11" s="395" t="s">
        <v>835</v>
      </c>
      <c r="B11">
        <v>3</v>
      </c>
      <c r="C11">
        <v>87</v>
      </c>
      <c r="D11">
        <v>35</v>
      </c>
      <c r="E11">
        <v>90</v>
      </c>
      <c r="F11">
        <v>470</v>
      </c>
      <c r="G11">
        <v>60</v>
      </c>
      <c r="H11">
        <v>142</v>
      </c>
      <c r="I11">
        <v>887</v>
      </c>
    </row>
    <row r="12" spans="1:9" x14ac:dyDescent="0.25">
      <c r="A12" s="395" t="s">
        <v>236</v>
      </c>
      <c r="B12">
        <v>3</v>
      </c>
      <c r="C12">
        <v>87</v>
      </c>
      <c r="D12">
        <v>35</v>
      </c>
      <c r="E12">
        <v>90</v>
      </c>
      <c r="F12">
        <v>470</v>
      </c>
      <c r="G12">
        <v>60</v>
      </c>
      <c r="H12">
        <v>142</v>
      </c>
      <c r="I12">
        <v>887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39997558519241921"/>
  </sheetPr>
  <dimension ref="A1:L45"/>
  <sheetViews>
    <sheetView topLeftCell="A2" workbookViewId="0">
      <selection activeCell="D13" sqref="D13"/>
    </sheetView>
  </sheetViews>
  <sheetFormatPr defaultRowHeight="15" x14ac:dyDescent="0.25"/>
  <cols>
    <col min="1" max="1" width="7.42578125" bestFit="1" customWidth="1"/>
    <col min="2" max="2" width="16.140625" bestFit="1" customWidth="1"/>
    <col min="3" max="3" width="9.7109375" bestFit="1" customWidth="1"/>
    <col min="4" max="4" width="8.140625" bestFit="1" customWidth="1"/>
    <col min="5" max="5" width="7.42578125" bestFit="1" customWidth="1"/>
    <col min="6" max="6" width="10.140625" bestFit="1" customWidth="1"/>
    <col min="7" max="7" width="17.42578125" bestFit="1" customWidth="1"/>
    <col min="8" max="8" width="14" bestFit="1" customWidth="1"/>
    <col min="9" max="9" width="13.7109375" bestFit="1" customWidth="1"/>
    <col min="10" max="10" width="19.85546875" bestFit="1" customWidth="1"/>
    <col min="11" max="11" width="14.28515625" bestFit="1" customWidth="1"/>
    <col min="12" max="12" width="16.140625" bestFit="1" customWidth="1"/>
  </cols>
  <sheetData>
    <row r="1" spans="1:12" x14ac:dyDescent="0.25">
      <c r="A1" t="s">
        <v>1</v>
      </c>
      <c r="B1" t="s">
        <v>982</v>
      </c>
      <c r="C1" t="s">
        <v>242</v>
      </c>
      <c r="D1" t="s">
        <v>983</v>
      </c>
      <c r="E1" t="s">
        <v>26</v>
      </c>
      <c r="F1" t="s">
        <v>197</v>
      </c>
      <c r="G1" t="s">
        <v>77</v>
      </c>
      <c r="H1" t="s">
        <v>83</v>
      </c>
      <c r="I1" t="s">
        <v>79</v>
      </c>
      <c r="J1" t="s">
        <v>301</v>
      </c>
      <c r="K1" t="s">
        <v>302</v>
      </c>
      <c r="L1" t="s">
        <v>94</v>
      </c>
    </row>
    <row r="2" spans="1:12" x14ac:dyDescent="0.25">
      <c r="A2" t="s">
        <v>192</v>
      </c>
      <c r="B2" t="s">
        <v>235</v>
      </c>
      <c r="C2" t="s">
        <v>362</v>
      </c>
      <c r="D2" t="s">
        <v>244</v>
      </c>
      <c r="E2">
        <v>416</v>
      </c>
      <c r="G2">
        <v>4</v>
      </c>
      <c r="H2">
        <v>4</v>
      </c>
      <c r="I2">
        <v>8</v>
      </c>
      <c r="J2">
        <v>107</v>
      </c>
      <c r="K2">
        <v>149</v>
      </c>
      <c r="L2">
        <v>144</v>
      </c>
    </row>
    <row r="3" spans="1:12" x14ac:dyDescent="0.25">
      <c r="A3" t="s">
        <v>192</v>
      </c>
      <c r="B3" t="s">
        <v>235</v>
      </c>
      <c r="C3" t="s">
        <v>361</v>
      </c>
      <c r="D3" t="s">
        <v>244</v>
      </c>
      <c r="E3">
        <v>175</v>
      </c>
      <c r="G3">
        <v>6</v>
      </c>
      <c r="H3">
        <v>2</v>
      </c>
      <c r="I3">
        <v>7</v>
      </c>
      <c r="J3">
        <v>46</v>
      </c>
      <c r="K3">
        <v>66</v>
      </c>
      <c r="L3">
        <v>48</v>
      </c>
    </row>
    <row r="4" spans="1:12" x14ac:dyDescent="0.25">
      <c r="A4" t="s">
        <v>192</v>
      </c>
      <c r="B4" t="s">
        <v>235</v>
      </c>
      <c r="C4" t="s">
        <v>363</v>
      </c>
      <c r="D4" t="s">
        <v>244</v>
      </c>
      <c r="E4">
        <v>133</v>
      </c>
      <c r="G4">
        <v>4</v>
      </c>
      <c r="H4">
        <v>5</v>
      </c>
      <c r="I4">
        <v>6</v>
      </c>
      <c r="J4">
        <v>59</v>
      </c>
      <c r="K4">
        <v>19</v>
      </c>
      <c r="L4">
        <v>40</v>
      </c>
    </row>
    <row r="5" spans="1:12" x14ac:dyDescent="0.25">
      <c r="A5" t="s">
        <v>192</v>
      </c>
      <c r="B5" t="s">
        <v>235</v>
      </c>
      <c r="C5" t="s">
        <v>347</v>
      </c>
      <c r="D5" t="s">
        <v>244</v>
      </c>
      <c r="E5">
        <v>237</v>
      </c>
      <c r="G5">
        <v>56</v>
      </c>
      <c r="H5">
        <v>9</v>
      </c>
      <c r="I5">
        <v>24</v>
      </c>
      <c r="J5">
        <v>102</v>
      </c>
      <c r="K5">
        <v>0</v>
      </c>
      <c r="L5">
        <v>46</v>
      </c>
    </row>
    <row r="6" spans="1:12" x14ac:dyDescent="0.25">
      <c r="A6" t="s">
        <v>191</v>
      </c>
      <c r="B6" t="s">
        <v>235</v>
      </c>
      <c r="C6" t="s">
        <v>362</v>
      </c>
      <c r="D6" t="s">
        <v>244</v>
      </c>
      <c r="E6">
        <v>340</v>
      </c>
      <c r="G6">
        <v>3</v>
      </c>
      <c r="H6">
        <v>9</v>
      </c>
      <c r="I6">
        <v>14</v>
      </c>
      <c r="J6">
        <v>113</v>
      </c>
      <c r="K6">
        <v>109</v>
      </c>
      <c r="L6">
        <v>92</v>
      </c>
    </row>
    <row r="7" spans="1:12" x14ac:dyDescent="0.25">
      <c r="A7" t="s">
        <v>191</v>
      </c>
      <c r="B7" t="s">
        <v>235</v>
      </c>
      <c r="C7" t="s">
        <v>361</v>
      </c>
      <c r="D7" t="s">
        <v>244</v>
      </c>
      <c r="E7">
        <v>163</v>
      </c>
      <c r="G7">
        <v>3</v>
      </c>
      <c r="H7">
        <v>7</v>
      </c>
      <c r="I7">
        <v>12</v>
      </c>
      <c r="J7">
        <v>48</v>
      </c>
      <c r="K7">
        <v>65</v>
      </c>
      <c r="L7">
        <v>28</v>
      </c>
    </row>
    <row r="8" spans="1:12" x14ac:dyDescent="0.25">
      <c r="A8" t="s">
        <v>191</v>
      </c>
      <c r="B8" t="s">
        <v>235</v>
      </c>
      <c r="C8" t="s">
        <v>363</v>
      </c>
      <c r="D8" t="s">
        <v>244</v>
      </c>
      <c r="E8">
        <v>126</v>
      </c>
      <c r="G8">
        <v>3</v>
      </c>
      <c r="H8">
        <v>7</v>
      </c>
      <c r="I8">
        <v>6</v>
      </c>
      <c r="J8">
        <v>64</v>
      </c>
      <c r="K8">
        <v>19</v>
      </c>
      <c r="L8">
        <v>27</v>
      </c>
    </row>
    <row r="9" spans="1:12" x14ac:dyDescent="0.25">
      <c r="A9" t="s">
        <v>191</v>
      </c>
      <c r="B9" t="s">
        <v>235</v>
      </c>
      <c r="C9" t="s">
        <v>347</v>
      </c>
      <c r="D9" t="s">
        <v>244</v>
      </c>
      <c r="E9">
        <v>238</v>
      </c>
      <c r="F9">
        <v>2</v>
      </c>
      <c r="G9">
        <v>35</v>
      </c>
      <c r="H9">
        <v>13</v>
      </c>
      <c r="I9">
        <v>27</v>
      </c>
      <c r="J9">
        <v>112</v>
      </c>
      <c r="K9">
        <v>0</v>
      </c>
      <c r="L9">
        <v>49</v>
      </c>
    </row>
    <row r="10" spans="1:12" x14ac:dyDescent="0.25">
      <c r="A10" t="s">
        <v>190</v>
      </c>
      <c r="B10" t="s">
        <v>235</v>
      </c>
      <c r="C10" t="s">
        <v>362</v>
      </c>
      <c r="D10" t="s">
        <v>244</v>
      </c>
      <c r="E10">
        <v>286</v>
      </c>
      <c r="G10">
        <v>2</v>
      </c>
      <c r="H10">
        <v>10</v>
      </c>
      <c r="I10">
        <v>15</v>
      </c>
      <c r="J10">
        <v>110</v>
      </c>
      <c r="K10">
        <v>84</v>
      </c>
      <c r="L10">
        <v>65</v>
      </c>
    </row>
    <row r="11" spans="1:12" x14ac:dyDescent="0.25">
      <c r="A11" t="s">
        <v>190</v>
      </c>
      <c r="B11" t="s">
        <v>235</v>
      </c>
      <c r="C11" t="s">
        <v>361</v>
      </c>
      <c r="D11" t="s">
        <v>244</v>
      </c>
      <c r="E11">
        <v>124</v>
      </c>
      <c r="G11">
        <v>3</v>
      </c>
      <c r="H11">
        <v>5</v>
      </c>
      <c r="I11">
        <v>13</v>
      </c>
      <c r="J11">
        <v>35</v>
      </c>
      <c r="K11">
        <v>56</v>
      </c>
      <c r="L11">
        <v>12</v>
      </c>
    </row>
    <row r="12" spans="1:12" x14ac:dyDescent="0.25">
      <c r="A12" t="s">
        <v>190</v>
      </c>
      <c r="B12" t="s">
        <v>235</v>
      </c>
      <c r="C12" t="s">
        <v>363</v>
      </c>
      <c r="D12" t="s">
        <v>244</v>
      </c>
      <c r="E12">
        <v>121</v>
      </c>
      <c r="G12">
        <v>3</v>
      </c>
      <c r="H12">
        <v>7</v>
      </c>
      <c r="I12">
        <v>11</v>
      </c>
      <c r="J12">
        <v>61</v>
      </c>
      <c r="K12">
        <v>20</v>
      </c>
      <c r="L12">
        <v>19</v>
      </c>
    </row>
    <row r="13" spans="1:12" x14ac:dyDescent="0.25">
      <c r="A13" t="s">
        <v>190</v>
      </c>
      <c r="B13" t="s">
        <v>235</v>
      </c>
      <c r="C13" t="s">
        <v>347</v>
      </c>
      <c r="D13" t="s">
        <v>244</v>
      </c>
      <c r="E13">
        <v>297</v>
      </c>
      <c r="F13">
        <v>3</v>
      </c>
      <c r="G13">
        <v>32</v>
      </c>
      <c r="H13">
        <v>12</v>
      </c>
      <c r="I13">
        <v>35</v>
      </c>
      <c r="J13">
        <v>110</v>
      </c>
      <c r="K13">
        <v>7</v>
      </c>
      <c r="L13">
        <v>98</v>
      </c>
    </row>
    <row r="14" spans="1:12" x14ac:dyDescent="0.25">
      <c r="A14" t="s">
        <v>257</v>
      </c>
      <c r="B14" t="s">
        <v>235</v>
      </c>
      <c r="C14" t="s">
        <v>362</v>
      </c>
      <c r="D14" t="s">
        <v>244</v>
      </c>
      <c r="E14">
        <v>294</v>
      </c>
      <c r="G14">
        <v>2</v>
      </c>
      <c r="H14">
        <v>10</v>
      </c>
      <c r="I14">
        <v>15</v>
      </c>
      <c r="J14">
        <v>120</v>
      </c>
      <c r="K14">
        <v>89</v>
      </c>
      <c r="L14">
        <v>58</v>
      </c>
    </row>
    <row r="15" spans="1:12" x14ac:dyDescent="0.25">
      <c r="A15" t="s">
        <v>257</v>
      </c>
      <c r="B15" t="s">
        <v>235</v>
      </c>
      <c r="C15" t="s">
        <v>361</v>
      </c>
      <c r="D15" t="s">
        <v>244</v>
      </c>
      <c r="E15">
        <v>142</v>
      </c>
      <c r="G15">
        <v>3</v>
      </c>
      <c r="H15">
        <v>5</v>
      </c>
      <c r="I15">
        <v>13</v>
      </c>
      <c r="J15">
        <v>48</v>
      </c>
      <c r="K15">
        <v>54</v>
      </c>
      <c r="L15">
        <v>19</v>
      </c>
    </row>
    <row r="16" spans="1:12" x14ac:dyDescent="0.25">
      <c r="A16" t="s">
        <v>257</v>
      </c>
      <c r="B16" t="s">
        <v>235</v>
      </c>
      <c r="C16" t="s">
        <v>363</v>
      </c>
      <c r="D16" t="s">
        <v>244</v>
      </c>
      <c r="E16">
        <v>135</v>
      </c>
      <c r="G16">
        <v>3</v>
      </c>
      <c r="H16">
        <v>7</v>
      </c>
      <c r="I16">
        <v>12</v>
      </c>
      <c r="J16">
        <v>75</v>
      </c>
      <c r="K16">
        <v>14</v>
      </c>
      <c r="L16">
        <v>24</v>
      </c>
    </row>
    <row r="17" spans="1:12" x14ac:dyDescent="0.25">
      <c r="A17" t="s">
        <v>257</v>
      </c>
      <c r="B17" t="s">
        <v>235</v>
      </c>
      <c r="C17" t="s">
        <v>347</v>
      </c>
      <c r="D17" t="s">
        <v>244</v>
      </c>
      <c r="E17">
        <v>267</v>
      </c>
      <c r="F17">
        <v>3</v>
      </c>
      <c r="G17">
        <v>34</v>
      </c>
      <c r="H17">
        <v>12</v>
      </c>
      <c r="I17">
        <v>38</v>
      </c>
      <c r="J17">
        <v>103</v>
      </c>
      <c r="K17">
        <v>8</v>
      </c>
      <c r="L17">
        <v>69</v>
      </c>
    </row>
    <row r="18" spans="1:12" x14ac:dyDescent="0.25">
      <c r="A18" t="s">
        <v>240</v>
      </c>
      <c r="B18" t="s">
        <v>235</v>
      </c>
      <c r="C18" t="s">
        <v>362</v>
      </c>
      <c r="D18" t="s">
        <v>244</v>
      </c>
      <c r="E18">
        <v>300</v>
      </c>
      <c r="G18">
        <v>2</v>
      </c>
      <c r="H18">
        <v>10</v>
      </c>
      <c r="I18">
        <v>16</v>
      </c>
      <c r="J18">
        <v>133</v>
      </c>
      <c r="K18">
        <v>82</v>
      </c>
      <c r="L18">
        <v>57</v>
      </c>
    </row>
    <row r="19" spans="1:12" x14ac:dyDescent="0.25">
      <c r="A19" t="s">
        <v>240</v>
      </c>
      <c r="B19" t="s">
        <v>235</v>
      </c>
      <c r="C19" t="s">
        <v>361</v>
      </c>
      <c r="D19" t="s">
        <v>244</v>
      </c>
      <c r="E19">
        <v>128</v>
      </c>
      <c r="G19">
        <v>3</v>
      </c>
      <c r="H19">
        <v>3</v>
      </c>
      <c r="I19">
        <v>11</v>
      </c>
      <c r="J19">
        <v>45</v>
      </c>
      <c r="K19">
        <v>49</v>
      </c>
      <c r="L19">
        <v>17</v>
      </c>
    </row>
    <row r="20" spans="1:12" x14ac:dyDescent="0.25">
      <c r="A20" t="s">
        <v>240</v>
      </c>
      <c r="B20" t="s">
        <v>235</v>
      </c>
      <c r="C20" t="s">
        <v>363</v>
      </c>
      <c r="D20" t="s">
        <v>244</v>
      </c>
      <c r="E20">
        <v>141</v>
      </c>
      <c r="G20">
        <v>3</v>
      </c>
      <c r="H20">
        <v>8</v>
      </c>
      <c r="I20">
        <v>11</v>
      </c>
      <c r="J20">
        <v>81</v>
      </c>
      <c r="K20">
        <v>15</v>
      </c>
      <c r="L20">
        <v>23</v>
      </c>
    </row>
    <row r="21" spans="1:12" x14ac:dyDescent="0.25">
      <c r="A21" t="s">
        <v>240</v>
      </c>
      <c r="B21" t="s">
        <v>235</v>
      </c>
      <c r="C21" t="s">
        <v>347</v>
      </c>
      <c r="D21" t="s">
        <v>244</v>
      </c>
      <c r="E21">
        <v>277</v>
      </c>
      <c r="F21">
        <v>2</v>
      </c>
      <c r="G21">
        <v>42</v>
      </c>
      <c r="H21">
        <v>11</v>
      </c>
      <c r="I21">
        <v>41</v>
      </c>
      <c r="J21">
        <v>107</v>
      </c>
      <c r="K21">
        <v>7</v>
      </c>
      <c r="L21">
        <v>67</v>
      </c>
    </row>
    <row r="22" spans="1:12" x14ac:dyDescent="0.25">
      <c r="A22" t="s">
        <v>239</v>
      </c>
      <c r="B22" t="s">
        <v>234</v>
      </c>
      <c r="C22" t="s">
        <v>362</v>
      </c>
      <c r="D22" t="s">
        <v>163</v>
      </c>
      <c r="E22">
        <v>0</v>
      </c>
      <c r="G22">
        <v>0</v>
      </c>
      <c r="H22">
        <v>0</v>
      </c>
      <c r="I22">
        <v>0</v>
      </c>
      <c r="J22">
        <v>0</v>
      </c>
      <c r="K22">
        <v>0</v>
      </c>
      <c r="L22">
        <v>0</v>
      </c>
    </row>
    <row r="23" spans="1:12" x14ac:dyDescent="0.25">
      <c r="A23" t="s">
        <v>239</v>
      </c>
      <c r="B23" t="s">
        <v>234</v>
      </c>
      <c r="C23" t="s">
        <v>361</v>
      </c>
      <c r="D23" t="s">
        <v>164</v>
      </c>
      <c r="E23">
        <v>0</v>
      </c>
      <c r="G23">
        <v>0</v>
      </c>
      <c r="H23">
        <v>0</v>
      </c>
      <c r="I23">
        <v>0</v>
      </c>
      <c r="J23">
        <v>0</v>
      </c>
      <c r="K23">
        <v>0</v>
      </c>
      <c r="L23">
        <v>0</v>
      </c>
    </row>
    <row r="24" spans="1:12" x14ac:dyDescent="0.25">
      <c r="A24" t="s">
        <v>239</v>
      </c>
      <c r="B24" t="s">
        <v>234</v>
      </c>
      <c r="C24" t="s">
        <v>363</v>
      </c>
      <c r="D24" t="s">
        <v>162</v>
      </c>
      <c r="E24">
        <v>0</v>
      </c>
      <c r="G24">
        <v>0</v>
      </c>
      <c r="H24">
        <v>0</v>
      </c>
      <c r="I24">
        <v>0</v>
      </c>
      <c r="J24">
        <v>0</v>
      </c>
      <c r="K24">
        <v>0</v>
      </c>
      <c r="L24">
        <v>0</v>
      </c>
    </row>
    <row r="25" spans="1:12" x14ac:dyDescent="0.25">
      <c r="A25" t="s">
        <v>239</v>
      </c>
      <c r="B25" t="s">
        <v>235</v>
      </c>
      <c r="C25" t="s">
        <v>347</v>
      </c>
      <c r="D25" t="s">
        <v>244</v>
      </c>
      <c r="E25">
        <v>792</v>
      </c>
      <c r="F25">
        <v>3</v>
      </c>
      <c r="G25">
        <v>49</v>
      </c>
      <c r="H25">
        <v>34</v>
      </c>
      <c r="I25">
        <v>84</v>
      </c>
      <c r="J25">
        <v>388</v>
      </c>
      <c r="K25">
        <v>64</v>
      </c>
      <c r="L25">
        <v>170</v>
      </c>
    </row>
    <row r="26" spans="1:12" x14ac:dyDescent="0.25">
      <c r="A26" t="s">
        <v>760</v>
      </c>
      <c r="B26" t="s">
        <v>234</v>
      </c>
      <c r="C26" t="s">
        <v>362</v>
      </c>
      <c r="D26" t="s">
        <v>163</v>
      </c>
      <c r="E26">
        <v>0</v>
      </c>
      <c r="G26">
        <v>0</v>
      </c>
      <c r="H26">
        <v>0</v>
      </c>
      <c r="I26">
        <v>0</v>
      </c>
      <c r="J26">
        <v>0</v>
      </c>
      <c r="K26">
        <v>0</v>
      </c>
      <c r="L26">
        <v>0</v>
      </c>
    </row>
    <row r="27" spans="1:12" x14ac:dyDescent="0.25">
      <c r="A27" t="s">
        <v>760</v>
      </c>
      <c r="B27" t="s">
        <v>234</v>
      </c>
      <c r="C27" t="s">
        <v>361</v>
      </c>
      <c r="D27" t="s">
        <v>164</v>
      </c>
      <c r="E27">
        <v>0</v>
      </c>
      <c r="G27">
        <v>0</v>
      </c>
      <c r="H27">
        <v>0</v>
      </c>
      <c r="I27">
        <v>0</v>
      </c>
      <c r="J27">
        <v>0</v>
      </c>
      <c r="K27">
        <v>0</v>
      </c>
      <c r="L27">
        <v>0</v>
      </c>
    </row>
    <row r="28" spans="1:12" x14ac:dyDescent="0.25">
      <c r="A28" t="s">
        <v>760</v>
      </c>
      <c r="B28" t="s">
        <v>234</v>
      </c>
      <c r="C28" t="s">
        <v>363</v>
      </c>
      <c r="D28" t="s">
        <v>162</v>
      </c>
      <c r="E28">
        <v>0</v>
      </c>
      <c r="G28">
        <v>0</v>
      </c>
      <c r="H28">
        <v>0</v>
      </c>
      <c r="I28">
        <v>0</v>
      </c>
      <c r="J28">
        <v>0</v>
      </c>
      <c r="K28">
        <v>0</v>
      </c>
      <c r="L28">
        <v>0</v>
      </c>
    </row>
    <row r="29" spans="1:12" x14ac:dyDescent="0.25">
      <c r="A29" t="s">
        <v>760</v>
      </c>
      <c r="B29" t="s">
        <v>235</v>
      </c>
      <c r="C29" t="s">
        <v>347</v>
      </c>
      <c r="D29" t="s">
        <v>244</v>
      </c>
      <c r="E29">
        <v>817</v>
      </c>
      <c r="F29">
        <v>3</v>
      </c>
      <c r="G29">
        <v>47</v>
      </c>
      <c r="H29">
        <v>32</v>
      </c>
      <c r="I29">
        <v>90</v>
      </c>
      <c r="J29">
        <v>400</v>
      </c>
      <c r="K29">
        <v>63</v>
      </c>
      <c r="L29">
        <v>182</v>
      </c>
    </row>
    <row r="30" spans="1:12" x14ac:dyDescent="0.25">
      <c r="A30" t="s">
        <v>917</v>
      </c>
      <c r="B30" t="s">
        <v>234</v>
      </c>
      <c r="C30" t="s">
        <v>362</v>
      </c>
      <c r="D30" t="s">
        <v>163</v>
      </c>
      <c r="E30">
        <v>0</v>
      </c>
      <c r="G30">
        <v>0</v>
      </c>
      <c r="H30">
        <v>0</v>
      </c>
      <c r="I30">
        <v>0</v>
      </c>
      <c r="J30">
        <v>0</v>
      </c>
      <c r="K30">
        <v>0</v>
      </c>
      <c r="L30">
        <v>0</v>
      </c>
    </row>
    <row r="31" spans="1:12" x14ac:dyDescent="0.25">
      <c r="A31" t="s">
        <v>917</v>
      </c>
      <c r="B31" t="s">
        <v>234</v>
      </c>
      <c r="C31" t="s">
        <v>361</v>
      </c>
      <c r="D31" t="s">
        <v>164</v>
      </c>
      <c r="E31">
        <v>0</v>
      </c>
      <c r="G31">
        <v>0</v>
      </c>
      <c r="H31">
        <v>0</v>
      </c>
      <c r="I31">
        <v>0</v>
      </c>
      <c r="J31">
        <v>0</v>
      </c>
      <c r="K31">
        <v>0</v>
      </c>
      <c r="L31">
        <v>0</v>
      </c>
    </row>
    <row r="32" spans="1:12" x14ac:dyDescent="0.25">
      <c r="A32" t="s">
        <v>917</v>
      </c>
      <c r="B32" t="s">
        <v>234</v>
      </c>
      <c r="C32" t="s">
        <v>363</v>
      </c>
      <c r="D32" t="s">
        <v>162</v>
      </c>
      <c r="E32">
        <v>0</v>
      </c>
      <c r="G32">
        <v>0</v>
      </c>
      <c r="H32">
        <v>0</v>
      </c>
      <c r="I32">
        <v>0</v>
      </c>
      <c r="J32">
        <v>0</v>
      </c>
      <c r="K32">
        <v>0</v>
      </c>
      <c r="L32">
        <v>0</v>
      </c>
    </row>
    <row r="33" spans="1:12" x14ac:dyDescent="0.25">
      <c r="A33" t="s">
        <v>917</v>
      </c>
      <c r="B33" t="s">
        <v>235</v>
      </c>
      <c r="C33" t="s">
        <v>347</v>
      </c>
      <c r="D33" t="s">
        <v>244</v>
      </c>
      <c r="E33">
        <v>835</v>
      </c>
      <c r="F33">
        <v>3</v>
      </c>
      <c r="G33">
        <v>50</v>
      </c>
      <c r="H33">
        <v>30</v>
      </c>
      <c r="I33">
        <v>91</v>
      </c>
      <c r="J33">
        <v>413</v>
      </c>
      <c r="K33">
        <v>61</v>
      </c>
      <c r="L33">
        <v>187</v>
      </c>
    </row>
    <row r="34" spans="1:12" x14ac:dyDescent="0.25">
      <c r="A34" t="s">
        <v>1010</v>
      </c>
      <c r="B34" t="s">
        <v>234</v>
      </c>
      <c r="D34" t="s">
        <v>162</v>
      </c>
      <c r="E34">
        <v>0</v>
      </c>
      <c r="G34">
        <v>0</v>
      </c>
      <c r="H34">
        <v>0</v>
      </c>
      <c r="I34">
        <v>0</v>
      </c>
      <c r="J34">
        <v>0</v>
      </c>
      <c r="K34">
        <v>0</v>
      </c>
      <c r="L34">
        <v>0</v>
      </c>
    </row>
    <row r="35" spans="1:12" x14ac:dyDescent="0.25">
      <c r="A35" t="s">
        <v>1010</v>
      </c>
      <c r="B35" t="s">
        <v>234</v>
      </c>
      <c r="D35" t="s">
        <v>163</v>
      </c>
      <c r="E35">
        <v>0</v>
      </c>
      <c r="G35">
        <v>0</v>
      </c>
      <c r="H35">
        <v>0</v>
      </c>
      <c r="I35">
        <v>0</v>
      </c>
      <c r="J35">
        <v>0</v>
      </c>
      <c r="K35">
        <v>0</v>
      </c>
      <c r="L35">
        <v>0</v>
      </c>
    </row>
    <row r="36" spans="1:12" x14ac:dyDescent="0.25">
      <c r="A36" t="s">
        <v>1010</v>
      </c>
      <c r="B36" t="s">
        <v>234</v>
      </c>
      <c r="C36" t="s">
        <v>361</v>
      </c>
      <c r="D36" t="s">
        <v>164</v>
      </c>
      <c r="E36">
        <v>0</v>
      </c>
      <c r="G36">
        <v>0</v>
      </c>
      <c r="H36">
        <v>0</v>
      </c>
      <c r="I36">
        <v>0</v>
      </c>
      <c r="J36">
        <v>0</v>
      </c>
      <c r="K36">
        <v>0</v>
      </c>
      <c r="L36">
        <v>0</v>
      </c>
    </row>
    <row r="37" spans="1:12" x14ac:dyDescent="0.25">
      <c r="A37" t="s">
        <v>1010</v>
      </c>
      <c r="B37" t="s">
        <v>235</v>
      </c>
      <c r="C37" t="s">
        <v>347</v>
      </c>
      <c r="D37" t="s">
        <v>244</v>
      </c>
      <c r="E37">
        <v>920</v>
      </c>
      <c r="F37">
        <v>4</v>
      </c>
      <c r="G37">
        <v>57</v>
      </c>
      <c r="H37">
        <v>33</v>
      </c>
      <c r="I37">
        <v>104</v>
      </c>
      <c r="J37">
        <v>469</v>
      </c>
      <c r="K37">
        <v>60</v>
      </c>
      <c r="L37">
        <v>193</v>
      </c>
    </row>
    <row r="38" spans="1:12" x14ac:dyDescent="0.25">
      <c r="A38" t="s">
        <v>1061</v>
      </c>
      <c r="B38" t="s">
        <v>234</v>
      </c>
      <c r="D38" t="s">
        <v>162</v>
      </c>
      <c r="E38">
        <v>0</v>
      </c>
      <c r="G38">
        <v>0</v>
      </c>
      <c r="H38">
        <v>0</v>
      </c>
      <c r="I38">
        <v>0</v>
      </c>
      <c r="J38">
        <v>0</v>
      </c>
      <c r="K38">
        <v>0</v>
      </c>
      <c r="L38">
        <v>0</v>
      </c>
    </row>
    <row r="39" spans="1:12" x14ac:dyDescent="0.25">
      <c r="A39" t="s">
        <v>1061</v>
      </c>
      <c r="B39" t="s">
        <v>234</v>
      </c>
      <c r="D39" t="s">
        <v>163</v>
      </c>
      <c r="E39">
        <v>0</v>
      </c>
      <c r="G39">
        <v>0</v>
      </c>
      <c r="H39">
        <v>0</v>
      </c>
      <c r="I39">
        <v>0</v>
      </c>
      <c r="J39">
        <v>0</v>
      </c>
      <c r="K39">
        <v>0</v>
      </c>
      <c r="L39">
        <v>0</v>
      </c>
    </row>
    <row r="40" spans="1:12" x14ac:dyDescent="0.25">
      <c r="A40" t="s">
        <v>1061</v>
      </c>
      <c r="B40" t="s">
        <v>234</v>
      </c>
      <c r="C40" t="s">
        <v>361</v>
      </c>
      <c r="D40" t="s">
        <v>164</v>
      </c>
      <c r="E40">
        <v>0</v>
      </c>
      <c r="G40">
        <v>0</v>
      </c>
      <c r="H40">
        <v>0</v>
      </c>
      <c r="I40">
        <v>0</v>
      </c>
      <c r="J40">
        <v>0</v>
      </c>
      <c r="K40">
        <v>0</v>
      </c>
      <c r="L40">
        <v>0</v>
      </c>
    </row>
    <row r="41" spans="1:12" x14ac:dyDescent="0.25">
      <c r="A41" t="s">
        <v>1061</v>
      </c>
      <c r="B41" t="s">
        <v>235</v>
      </c>
      <c r="C41" t="s">
        <v>347</v>
      </c>
      <c r="D41" t="s">
        <v>244</v>
      </c>
      <c r="E41">
        <v>901</v>
      </c>
      <c r="F41">
        <v>4</v>
      </c>
      <c r="G41">
        <v>81</v>
      </c>
      <c r="H41">
        <v>36</v>
      </c>
      <c r="I41">
        <v>98</v>
      </c>
      <c r="J41">
        <v>465</v>
      </c>
      <c r="K41">
        <v>58</v>
      </c>
      <c r="L41">
        <v>159</v>
      </c>
    </row>
    <row r="42" spans="1:12" x14ac:dyDescent="0.25">
      <c r="A42" t="s">
        <v>1108</v>
      </c>
      <c r="B42" t="s">
        <v>234</v>
      </c>
      <c r="D42" t="s">
        <v>162</v>
      </c>
      <c r="E42">
        <v>0</v>
      </c>
      <c r="G42">
        <v>0</v>
      </c>
      <c r="H42">
        <v>0</v>
      </c>
      <c r="I42">
        <v>0</v>
      </c>
      <c r="J42">
        <v>0</v>
      </c>
      <c r="K42">
        <v>0</v>
      </c>
      <c r="L42">
        <v>0</v>
      </c>
    </row>
    <row r="43" spans="1:12" x14ac:dyDescent="0.25">
      <c r="A43" t="s">
        <v>1108</v>
      </c>
      <c r="B43" t="s">
        <v>234</v>
      </c>
      <c r="D43" t="s">
        <v>163</v>
      </c>
      <c r="E43">
        <v>0</v>
      </c>
      <c r="G43">
        <v>0</v>
      </c>
      <c r="H43">
        <v>0</v>
      </c>
      <c r="I43">
        <v>0</v>
      </c>
      <c r="J43">
        <v>0</v>
      </c>
      <c r="K43">
        <v>0</v>
      </c>
      <c r="L43">
        <v>0</v>
      </c>
    </row>
    <row r="44" spans="1:12" x14ac:dyDescent="0.25">
      <c r="A44" t="s">
        <v>1108</v>
      </c>
      <c r="B44" t="s">
        <v>234</v>
      </c>
      <c r="C44" t="s">
        <v>361</v>
      </c>
      <c r="D44" t="s">
        <v>164</v>
      </c>
      <c r="E44">
        <v>0</v>
      </c>
      <c r="G44">
        <v>0</v>
      </c>
      <c r="H44">
        <v>0</v>
      </c>
      <c r="I44">
        <v>0</v>
      </c>
      <c r="J44">
        <v>0</v>
      </c>
      <c r="K44">
        <v>0</v>
      </c>
      <c r="L44">
        <v>0</v>
      </c>
    </row>
    <row r="45" spans="1:12" x14ac:dyDescent="0.25">
      <c r="A45" t="s">
        <v>1108</v>
      </c>
      <c r="B45" t="s">
        <v>235</v>
      </c>
      <c r="C45" t="s">
        <v>347</v>
      </c>
      <c r="D45" t="s">
        <v>244</v>
      </c>
      <c r="E45">
        <v>887</v>
      </c>
      <c r="F45">
        <v>3</v>
      </c>
      <c r="G45">
        <v>87</v>
      </c>
      <c r="H45">
        <v>35</v>
      </c>
      <c r="I45">
        <v>90</v>
      </c>
      <c r="J45">
        <v>470</v>
      </c>
      <c r="K45">
        <v>60</v>
      </c>
      <c r="L45">
        <v>142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G36"/>
  <sheetViews>
    <sheetView workbookViewId="0">
      <selection activeCell="C7" sqref="C7"/>
    </sheetView>
  </sheetViews>
  <sheetFormatPr defaultRowHeight="15" x14ac:dyDescent="0.25"/>
  <cols>
    <col min="1" max="1" width="20.85546875" bestFit="1" customWidth="1"/>
    <col min="2" max="2" width="17.140625" bestFit="1" customWidth="1"/>
    <col min="3" max="3" width="29.140625" bestFit="1" customWidth="1"/>
    <col min="4" max="4" width="24.5703125" bestFit="1" customWidth="1"/>
    <col min="5" max="5" width="15" bestFit="1" customWidth="1"/>
    <col min="6" max="6" width="15.85546875" bestFit="1" customWidth="1"/>
    <col min="7" max="7" width="11.42578125" bestFit="1" customWidth="1"/>
  </cols>
  <sheetData>
    <row r="1" spans="1:7" x14ac:dyDescent="0.25">
      <c r="A1" s="394" t="s">
        <v>1</v>
      </c>
      <c r="B1" t="s">
        <v>1108</v>
      </c>
    </row>
    <row r="3" spans="1:7" x14ac:dyDescent="0.25">
      <c r="A3" s="394" t="s">
        <v>231</v>
      </c>
      <c r="B3" t="s">
        <v>314</v>
      </c>
      <c r="C3" t="s">
        <v>317</v>
      </c>
      <c r="D3" t="s">
        <v>318</v>
      </c>
      <c r="E3" t="s">
        <v>315</v>
      </c>
      <c r="F3" t="s">
        <v>316</v>
      </c>
      <c r="G3" t="s">
        <v>237</v>
      </c>
    </row>
    <row r="4" spans="1:7" x14ac:dyDescent="0.25">
      <c r="A4" s="395" t="s">
        <v>31</v>
      </c>
      <c r="B4">
        <v>3</v>
      </c>
      <c r="E4">
        <v>1</v>
      </c>
      <c r="G4">
        <v>4</v>
      </c>
    </row>
    <row r="5" spans="1:7" x14ac:dyDescent="0.25">
      <c r="A5" s="395" t="s">
        <v>32</v>
      </c>
      <c r="C5">
        <v>1</v>
      </c>
      <c r="E5">
        <v>23</v>
      </c>
      <c r="G5">
        <v>24</v>
      </c>
    </row>
    <row r="6" spans="1:7" x14ac:dyDescent="0.25">
      <c r="A6" s="395" t="s">
        <v>33</v>
      </c>
      <c r="C6">
        <v>1</v>
      </c>
      <c r="E6">
        <v>5</v>
      </c>
      <c r="G6">
        <v>6</v>
      </c>
    </row>
    <row r="7" spans="1:7" x14ac:dyDescent="0.25">
      <c r="A7" s="395" t="s">
        <v>34</v>
      </c>
      <c r="C7">
        <v>2</v>
      </c>
      <c r="E7">
        <v>12</v>
      </c>
      <c r="F7">
        <v>25</v>
      </c>
      <c r="G7">
        <v>39</v>
      </c>
    </row>
    <row r="8" spans="1:7" x14ac:dyDescent="0.25">
      <c r="A8" s="395" t="s">
        <v>243</v>
      </c>
      <c r="B8">
        <v>7</v>
      </c>
      <c r="E8">
        <v>1</v>
      </c>
      <c r="G8">
        <v>8</v>
      </c>
    </row>
    <row r="9" spans="1:7" x14ac:dyDescent="0.25">
      <c r="A9" s="395" t="s">
        <v>35</v>
      </c>
      <c r="C9">
        <v>1</v>
      </c>
      <c r="E9">
        <v>1</v>
      </c>
      <c r="G9">
        <v>2</v>
      </c>
    </row>
    <row r="10" spans="1:7" x14ac:dyDescent="0.25">
      <c r="A10" s="395" t="s">
        <v>36</v>
      </c>
      <c r="C10">
        <v>1</v>
      </c>
      <c r="E10">
        <v>15</v>
      </c>
      <c r="F10">
        <v>1</v>
      </c>
      <c r="G10">
        <v>17</v>
      </c>
    </row>
    <row r="11" spans="1:7" x14ac:dyDescent="0.25">
      <c r="A11" s="395" t="s">
        <v>37</v>
      </c>
      <c r="B11">
        <v>3</v>
      </c>
      <c r="C11">
        <v>1</v>
      </c>
      <c r="G11">
        <v>4</v>
      </c>
    </row>
    <row r="12" spans="1:7" x14ac:dyDescent="0.25">
      <c r="A12" s="395" t="s">
        <v>38</v>
      </c>
      <c r="B12">
        <v>1</v>
      </c>
      <c r="E12">
        <v>7</v>
      </c>
      <c r="G12">
        <v>8</v>
      </c>
    </row>
    <row r="13" spans="1:7" x14ac:dyDescent="0.25">
      <c r="A13" s="395" t="s">
        <v>39</v>
      </c>
      <c r="B13">
        <v>3</v>
      </c>
      <c r="G13">
        <v>3</v>
      </c>
    </row>
    <row r="14" spans="1:7" x14ac:dyDescent="0.25">
      <c r="A14" s="395" t="s">
        <v>40</v>
      </c>
      <c r="B14">
        <v>1</v>
      </c>
      <c r="E14">
        <v>5</v>
      </c>
      <c r="G14">
        <v>6</v>
      </c>
    </row>
    <row r="15" spans="1:7" x14ac:dyDescent="0.25">
      <c r="A15" s="395" t="s">
        <v>41</v>
      </c>
      <c r="B15">
        <v>2</v>
      </c>
      <c r="G15">
        <v>2</v>
      </c>
    </row>
    <row r="16" spans="1:7" x14ac:dyDescent="0.25">
      <c r="A16" s="395" t="s">
        <v>42</v>
      </c>
      <c r="C16">
        <v>3</v>
      </c>
      <c r="E16">
        <v>2</v>
      </c>
      <c r="G16">
        <v>5</v>
      </c>
    </row>
    <row r="17" spans="1:7" x14ac:dyDescent="0.25">
      <c r="A17" s="395" t="s">
        <v>43</v>
      </c>
      <c r="B17">
        <v>5</v>
      </c>
      <c r="E17">
        <v>8</v>
      </c>
      <c r="G17">
        <v>13</v>
      </c>
    </row>
    <row r="18" spans="1:7" x14ac:dyDescent="0.25">
      <c r="A18" s="395" t="s">
        <v>117</v>
      </c>
      <c r="B18">
        <v>11</v>
      </c>
      <c r="G18">
        <v>11</v>
      </c>
    </row>
    <row r="19" spans="1:7" x14ac:dyDescent="0.25">
      <c r="A19" s="395" t="s">
        <v>44</v>
      </c>
      <c r="C19">
        <v>1</v>
      </c>
      <c r="E19">
        <v>51</v>
      </c>
      <c r="F19">
        <v>9</v>
      </c>
      <c r="G19">
        <v>61</v>
      </c>
    </row>
    <row r="20" spans="1:7" x14ac:dyDescent="0.25">
      <c r="A20" s="395" t="s">
        <v>45</v>
      </c>
      <c r="C20">
        <v>2</v>
      </c>
      <c r="E20">
        <v>1</v>
      </c>
      <c r="G20">
        <v>3</v>
      </c>
    </row>
    <row r="21" spans="1:7" x14ac:dyDescent="0.25">
      <c r="A21" s="395" t="s">
        <v>46</v>
      </c>
      <c r="B21">
        <v>1</v>
      </c>
      <c r="E21">
        <v>1</v>
      </c>
      <c r="G21">
        <v>2</v>
      </c>
    </row>
    <row r="22" spans="1:7" x14ac:dyDescent="0.25">
      <c r="A22" s="395" t="s">
        <v>47</v>
      </c>
      <c r="C22">
        <v>1</v>
      </c>
      <c r="E22">
        <v>10</v>
      </c>
      <c r="F22">
        <v>1</v>
      </c>
      <c r="G22">
        <v>12</v>
      </c>
    </row>
    <row r="23" spans="1:7" x14ac:dyDescent="0.25">
      <c r="A23" s="395" t="s">
        <v>48</v>
      </c>
      <c r="E23">
        <v>14</v>
      </c>
      <c r="G23">
        <v>14</v>
      </c>
    </row>
    <row r="24" spans="1:7" x14ac:dyDescent="0.25">
      <c r="A24" s="395" t="s">
        <v>49</v>
      </c>
      <c r="B24">
        <v>1</v>
      </c>
      <c r="C24">
        <v>2</v>
      </c>
      <c r="E24">
        <v>8</v>
      </c>
      <c r="F24">
        <v>3</v>
      </c>
      <c r="G24">
        <v>14</v>
      </c>
    </row>
    <row r="25" spans="1:7" x14ac:dyDescent="0.25">
      <c r="A25" s="395" t="s">
        <v>50</v>
      </c>
      <c r="B25">
        <v>4</v>
      </c>
      <c r="E25">
        <v>3</v>
      </c>
      <c r="G25">
        <v>7</v>
      </c>
    </row>
    <row r="26" spans="1:7" x14ac:dyDescent="0.25">
      <c r="A26" s="395" t="s">
        <v>51</v>
      </c>
      <c r="E26">
        <v>12</v>
      </c>
      <c r="G26">
        <v>12</v>
      </c>
    </row>
    <row r="27" spans="1:7" x14ac:dyDescent="0.25">
      <c r="A27" s="395" t="s">
        <v>52</v>
      </c>
      <c r="B27">
        <v>1</v>
      </c>
      <c r="E27">
        <v>10</v>
      </c>
      <c r="F27">
        <v>3</v>
      </c>
      <c r="G27">
        <v>14</v>
      </c>
    </row>
    <row r="28" spans="1:7" x14ac:dyDescent="0.25">
      <c r="A28" s="395" t="s">
        <v>53</v>
      </c>
      <c r="B28">
        <v>2</v>
      </c>
      <c r="C28">
        <v>1</v>
      </c>
      <c r="G28">
        <v>3</v>
      </c>
    </row>
    <row r="29" spans="1:7" x14ac:dyDescent="0.25">
      <c r="A29" s="395" t="s">
        <v>54</v>
      </c>
      <c r="C29">
        <v>2</v>
      </c>
      <c r="E29">
        <v>11</v>
      </c>
      <c r="G29">
        <v>13</v>
      </c>
    </row>
    <row r="30" spans="1:7" x14ac:dyDescent="0.25">
      <c r="A30" s="395" t="s">
        <v>55</v>
      </c>
      <c r="E30">
        <v>14</v>
      </c>
      <c r="G30">
        <v>14</v>
      </c>
    </row>
    <row r="31" spans="1:7" x14ac:dyDescent="0.25">
      <c r="A31" s="395" t="s">
        <v>56</v>
      </c>
      <c r="C31">
        <v>1</v>
      </c>
      <c r="E31">
        <v>4</v>
      </c>
      <c r="G31">
        <v>5</v>
      </c>
    </row>
    <row r="32" spans="1:7" x14ac:dyDescent="0.25">
      <c r="A32" s="395" t="s">
        <v>57</v>
      </c>
      <c r="B32">
        <v>3</v>
      </c>
      <c r="C32">
        <v>1</v>
      </c>
      <c r="E32">
        <v>7</v>
      </c>
      <c r="G32">
        <v>12</v>
      </c>
    </row>
    <row r="33" spans="1:7" x14ac:dyDescent="0.25">
      <c r="A33" s="395" t="s">
        <v>58</v>
      </c>
      <c r="B33">
        <v>1</v>
      </c>
      <c r="E33">
        <v>9</v>
      </c>
      <c r="G33">
        <v>10</v>
      </c>
    </row>
    <row r="34" spans="1:7" x14ac:dyDescent="0.25">
      <c r="A34" s="395" t="s">
        <v>59</v>
      </c>
      <c r="B34">
        <v>1</v>
      </c>
      <c r="C34">
        <v>1</v>
      </c>
      <c r="E34">
        <v>1</v>
      </c>
      <c r="G34">
        <v>3</v>
      </c>
    </row>
    <row r="35" spans="1:7" x14ac:dyDescent="0.25">
      <c r="A35" s="395" t="s">
        <v>60</v>
      </c>
      <c r="C35">
        <v>1</v>
      </c>
      <c r="D35">
        <v>1</v>
      </c>
      <c r="E35">
        <v>4</v>
      </c>
      <c r="G35">
        <v>6</v>
      </c>
    </row>
    <row r="36" spans="1:7" x14ac:dyDescent="0.25">
      <c r="A36" s="395" t="s">
        <v>236</v>
      </c>
      <c r="B36">
        <v>50</v>
      </c>
      <c r="C36">
        <v>23</v>
      </c>
      <c r="D36">
        <v>1</v>
      </c>
      <c r="E36">
        <v>240</v>
      </c>
      <c r="F36">
        <v>42</v>
      </c>
      <c r="G36">
        <v>357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
    <tabColor theme="9" tint="0.39997558519241921"/>
    <pageSetUpPr fitToPage="1"/>
  </sheetPr>
  <dimension ref="A1:J38"/>
  <sheetViews>
    <sheetView showGridLines="0" workbookViewId="0">
      <pane ySplit="2" topLeftCell="A3" activePane="bottomLeft" state="frozen"/>
      <selection pane="bottomLeft" sqref="A1:H1"/>
    </sheetView>
  </sheetViews>
  <sheetFormatPr defaultRowHeight="15" x14ac:dyDescent="0.25"/>
  <cols>
    <col min="1" max="1" width="17.140625" customWidth="1"/>
    <col min="2" max="2" width="33.85546875" customWidth="1"/>
    <col min="3" max="8" width="13" customWidth="1"/>
    <col min="9" max="9" width="14.140625" customWidth="1"/>
    <col min="10" max="10" width="12.140625" customWidth="1"/>
  </cols>
  <sheetData>
    <row r="1" spans="1:10" ht="15.75" x14ac:dyDescent="0.25">
      <c r="A1" s="993" t="s">
        <v>450</v>
      </c>
      <c r="B1" s="993"/>
      <c r="C1" s="993"/>
      <c r="D1" s="993"/>
      <c r="E1" s="993"/>
      <c r="F1" s="993"/>
      <c r="G1" s="993"/>
      <c r="H1" s="993"/>
    </row>
    <row r="2" spans="1:10" ht="15.75" x14ac:dyDescent="0.25">
      <c r="A2" s="507" t="s">
        <v>511</v>
      </c>
      <c r="C2" s="449"/>
      <c r="D2" s="449"/>
      <c r="E2" s="449"/>
      <c r="F2" s="449"/>
      <c r="G2" s="449"/>
      <c r="H2" s="449"/>
    </row>
    <row r="3" spans="1:10" ht="15.75" x14ac:dyDescent="0.25">
      <c r="C3" s="449"/>
      <c r="D3" s="449"/>
      <c r="E3" s="449"/>
      <c r="F3" s="449"/>
      <c r="G3" s="449"/>
      <c r="H3" s="449"/>
    </row>
    <row r="4" spans="1:10" ht="30.75" customHeight="1" x14ac:dyDescent="0.25">
      <c r="A4" s="429" t="s">
        <v>471</v>
      </c>
      <c r="B4" s="429"/>
      <c r="C4" s="429"/>
      <c r="D4" s="429"/>
      <c r="E4" s="429"/>
      <c r="F4" s="429"/>
      <c r="G4" s="429"/>
      <c r="H4" s="429"/>
      <c r="J4" s="461"/>
    </row>
    <row r="5" spans="1:10" ht="15" customHeight="1" x14ac:dyDescent="0.25">
      <c r="A5" t="s">
        <v>328</v>
      </c>
      <c r="B5" t="s">
        <v>671</v>
      </c>
      <c r="C5" s="232"/>
      <c r="D5" s="232"/>
      <c r="E5" s="232"/>
      <c r="F5" s="232"/>
      <c r="G5" s="232"/>
      <c r="H5" s="232"/>
      <c r="J5" s="83"/>
    </row>
    <row r="6" spans="1:10" ht="15" customHeight="1" x14ac:dyDescent="0.25">
      <c r="A6" t="s">
        <v>329</v>
      </c>
      <c r="B6" t="s">
        <v>331</v>
      </c>
      <c r="C6" s="232"/>
      <c r="D6" s="232"/>
      <c r="E6" s="232"/>
      <c r="F6" s="232"/>
      <c r="G6" s="232"/>
      <c r="H6" s="232"/>
      <c r="J6" s="83"/>
    </row>
    <row r="7" spans="1:10" ht="15" customHeight="1" x14ac:dyDescent="0.25">
      <c r="A7" t="s">
        <v>330</v>
      </c>
      <c r="B7" t="s">
        <v>332</v>
      </c>
      <c r="C7" s="232"/>
      <c r="D7" s="232"/>
      <c r="E7" s="232"/>
      <c r="F7" s="232"/>
      <c r="G7" s="232"/>
      <c r="H7" s="232"/>
      <c r="J7" s="83"/>
    </row>
    <row r="8" spans="1:10" ht="15" customHeight="1" x14ac:dyDescent="0.25">
      <c r="A8" s="232"/>
      <c r="B8" s="232"/>
      <c r="C8" s="232"/>
      <c r="D8" s="232"/>
      <c r="E8" s="232"/>
      <c r="F8" s="232"/>
      <c r="G8" s="232"/>
      <c r="H8" s="232"/>
      <c r="J8" s="83"/>
    </row>
    <row r="9" spans="1:10" ht="15" customHeight="1" x14ac:dyDescent="0.25">
      <c r="A9" s="232" t="s">
        <v>1</v>
      </c>
      <c r="B9" s="232" t="str">
        <f>csroledatapivot!$B$1</f>
        <v>2023-24</v>
      </c>
      <c r="C9" s="232"/>
      <c r="D9" s="232"/>
      <c r="E9" s="232"/>
      <c r="F9" s="232"/>
      <c r="G9" s="232"/>
      <c r="H9" s="232"/>
      <c r="J9" s="83"/>
    </row>
    <row r="10" spans="1:10" ht="15" customHeight="1" x14ac:dyDescent="0.25">
      <c r="A10" s="232"/>
      <c r="B10" s="232"/>
      <c r="C10" s="232"/>
      <c r="D10" s="232"/>
      <c r="E10" s="232"/>
      <c r="F10" s="232"/>
      <c r="G10" s="232"/>
      <c r="H10" s="232"/>
      <c r="J10" s="83"/>
    </row>
    <row r="11" spans="1:10" ht="33.75" customHeight="1" x14ac:dyDescent="0.25">
      <c r="A11" s="42" t="s">
        <v>456</v>
      </c>
      <c r="B11" s="78" t="s">
        <v>205</v>
      </c>
      <c r="C11" s="84" t="s">
        <v>838</v>
      </c>
      <c r="D11" s="84" t="s">
        <v>839</v>
      </c>
      <c r="E11" s="84" t="s">
        <v>840</v>
      </c>
      <c r="F11" s="84" t="s">
        <v>841</v>
      </c>
      <c r="G11" s="84" t="s">
        <v>842</v>
      </c>
      <c r="H11" s="84" t="s">
        <v>76</v>
      </c>
      <c r="I11" s="85" t="s">
        <v>26</v>
      </c>
    </row>
    <row r="12" spans="1:10" ht="15" customHeight="1" thickBot="1" x14ac:dyDescent="0.3">
      <c r="A12" s="80" t="s">
        <v>347</v>
      </c>
      <c r="B12" s="80" t="s">
        <v>460</v>
      </c>
      <c r="C12" s="86">
        <f>GETPIVOTDATA("Sum of Area Manager",csroledatapivot!$A$3,"Area","Scotland")</f>
        <v>1</v>
      </c>
      <c r="D12" s="86">
        <f>GETPIVOTDATA("Sum of Group Manager",csroledatapivot!$A$3,"Area","Scotland")</f>
        <v>4</v>
      </c>
      <c r="E12" s="86">
        <f>GETPIVOTDATA("Sum of Station Manager",csroledatapivot!$A$3,"Area","Scotland")</f>
        <v>9</v>
      </c>
      <c r="F12" s="86">
        <f>GETPIVOTDATA("Sum of Watch Manager",csroledatapivot!$A$3,"Area","Scotland")</f>
        <v>40</v>
      </c>
      <c r="G12" s="86">
        <f>GETPIVOTDATA("Sum of Crew Manager",csroledatapivot!$A$3,"Area","Scotland")</f>
        <v>26</v>
      </c>
      <c r="H12" s="86">
        <f>GETPIVOTDATA("Sum of Control Operator",csroledatapivot!$A$3,"Area","Scotland")</f>
        <v>91</v>
      </c>
      <c r="I12" s="33">
        <f>SUM(C12:H12)</f>
        <v>171</v>
      </c>
    </row>
    <row r="13" spans="1:10" ht="13.5" customHeight="1" x14ac:dyDescent="0.25">
      <c r="A13" s="50"/>
      <c r="B13" s="82"/>
      <c r="C13" s="15"/>
      <c r="D13" s="15"/>
      <c r="E13" s="15"/>
      <c r="F13" s="15"/>
      <c r="G13" s="15"/>
      <c r="H13" s="15"/>
      <c r="I13" s="12"/>
      <c r="J13" s="19"/>
    </row>
    <row r="14" spans="1:10" ht="13.5" customHeight="1" x14ac:dyDescent="0.25">
      <c r="A14" s="48" t="s">
        <v>8</v>
      </c>
      <c r="C14" s="15"/>
      <c r="D14" s="15"/>
      <c r="E14" s="15"/>
      <c r="F14" s="15"/>
      <c r="G14" s="15"/>
      <c r="H14" s="15"/>
      <c r="I14" s="12"/>
      <c r="J14" s="19"/>
    </row>
    <row r="15" spans="1:10" ht="15.75" x14ac:dyDescent="0.25">
      <c r="A15" t="s">
        <v>218</v>
      </c>
      <c r="C15" s="233"/>
      <c r="D15" s="233"/>
      <c r="E15" s="233"/>
      <c r="F15" s="233"/>
      <c r="G15" s="233"/>
      <c r="H15" s="233"/>
      <c r="I15" s="233"/>
      <c r="J15" s="83"/>
    </row>
    <row r="16" spans="1:10" ht="15" customHeight="1" x14ac:dyDescent="0.25">
      <c r="A16" t="s">
        <v>461</v>
      </c>
      <c r="C16" s="233"/>
      <c r="D16" s="233"/>
      <c r="E16" s="233"/>
      <c r="F16" s="233"/>
      <c r="G16" s="233"/>
      <c r="H16" s="233"/>
      <c r="I16" s="233"/>
      <c r="J16" s="83"/>
    </row>
    <row r="17" spans="1:10" ht="45.75" customHeight="1" x14ac:dyDescent="0.25">
      <c r="A17" s="1003" t="s">
        <v>844</v>
      </c>
      <c r="B17" s="1003"/>
      <c r="C17" s="1003"/>
      <c r="D17" s="1003"/>
      <c r="E17" s="1003"/>
      <c r="F17" s="1003"/>
      <c r="G17" s="1003"/>
      <c r="H17" s="1003"/>
      <c r="I17" s="1003"/>
      <c r="J17" s="83"/>
    </row>
    <row r="18" spans="1:10" ht="15" customHeight="1" x14ac:dyDescent="0.25">
      <c r="A18" s="581"/>
      <c r="B18" s="581"/>
      <c r="C18" s="581"/>
      <c r="D18" s="581"/>
      <c r="E18" s="581"/>
      <c r="F18" s="581"/>
      <c r="G18" s="581"/>
      <c r="H18" s="581"/>
      <c r="I18" s="581"/>
      <c r="J18" s="83"/>
    </row>
    <row r="19" spans="1:10" ht="30" customHeight="1" x14ac:dyDescent="0.25">
      <c r="A19" s="429" t="s">
        <v>472</v>
      </c>
      <c r="B19" s="429"/>
      <c r="C19" s="429"/>
      <c r="D19" s="429"/>
      <c r="E19" s="429"/>
      <c r="F19" s="429"/>
      <c r="G19" s="429"/>
      <c r="H19" s="429"/>
      <c r="J19" s="83"/>
    </row>
    <row r="20" spans="1:10" ht="15" customHeight="1" x14ac:dyDescent="0.25">
      <c r="A20" t="s">
        <v>328</v>
      </c>
      <c r="B20" t="s">
        <v>672</v>
      </c>
      <c r="C20" s="232"/>
      <c r="D20" s="232"/>
      <c r="E20" s="232"/>
      <c r="F20" s="232"/>
      <c r="G20" s="232"/>
      <c r="H20" s="232"/>
      <c r="I20" s="232"/>
      <c r="J20" s="83"/>
    </row>
    <row r="21" spans="1:10" ht="15" customHeight="1" x14ac:dyDescent="0.25">
      <c r="A21" t="s">
        <v>329</v>
      </c>
      <c r="B21" t="s">
        <v>331</v>
      </c>
      <c r="C21" s="232"/>
      <c r="D21" s="232"/>
      <c r="E21" s="232"/>
      <c r="F21" s="232"/>
      <c r="G21" s="232"/>
      <c r="H21" s="232"/>
      <c r="I21" s="232"/>
      <c r="J21" s="83"/>
    </row>
    <row r="22" spans="1:10" ht="15" customHeight="1" x14ac:dyDescent="0.25">
      <c r="A22" t="s">
        <v>330</v>
      </c>
      <c r="B22" t="s">
        <v>332</v>
      </c>
      <c r="C22" s="232"/>
      <c r="D22" s="232"/>
      <c r="E22" s="232"/>
      <c r="F22" s="232"/>
      <c r="G22" s="232"/>
      <c r="H22" s="232"/>
      <c r="I22" s="232"/>
      <c r="J22" s="83"/>
    </row>
    <row r="23" spans="1:10" ht="15" customHeight="1" x14ac:dyDescent="0.25">
      <c r="C23" s="232"/>
      <c r="D23" s="232"/>
      <c r="E23" s="232"/>
      <c r="F23" s="232"/>
      <c r="G23" s="232"/>
      <c r="H23" s="232"/>
      <c r="I23" s="232"/>
      <c r="J23" s="83"/>
    </row>
    <row r="24" spans="1:10" ht="15" customHeight="1" x14ac:dyDescent="0.25">
      <c r="A24" s="691" t="s">
        <v>1</v>
      </c>
      <c r="B24" s="691" t="str">
        <f>CSRoleAreaSupportPivot!B1</f>
        <v>2023-24</v>
      </c>
      <c r="C24" s="232"/>
      <c r="D24" s="232"/>
      <c r="E24" s="232"/>
      <c r="F24" s="232"/>
      <c r="G24" s="232"/>
      <c r="H24" s="232"/>
      <c r="I24" s="232"/>
      <c r="J24" s="83"/>
    </row>
    <row r="25" spans="1:10" ht="33.75" customHeight="1" x14ac:dyDescent="0.25">
      <c r="A25" s="78" t="s">
        <v>456</v>
      </c>
      <c r="B25" s="78" t="s">
        <v>205</v>
      </c>
      <c r="C25" s="79" t="s">
        <v>197</v>
      </c>
      <c r="D25" s="79" t="s">
        <v>77</v>
      </c>
      <c r="E25" s="79" t="s">
        <v>78</v>
      </c>
      <c r="F25" s="79" t="s">
        <v>79</v>
      </c>
      <c r="G25" s="79" t="s">
        <v>80</v>
      </c>
      <c r="H25" s="79" t="s">
        <v>81</v>
      </c>
      <c r="I25" s="79" t="s">
        <v>94</v>
      </c>
      <c r="J25" s="87" t="s">
        <v>26</v>
      </c>
    </row>
    <row r="26" spans="1:10" ht="22.5" customHeight="1" thickBot="1" x14ac:dyDescent="0.3">
      <c r="A26" s="80" t="s">
        <v>347</v>
      </c>
      <c r="B26" s="80" t="s">
        <v>460</v>
      </c>
      <c r="C26" s="288">
        <f>GETPIVOTDATA("Sum of Director",CSRoleAreaSupportPivot!$A$3,"ReportingLevel","4:National","lvl","Scotland")</f>
        <v>3</v>
      </c>
      <c r="D26" s="288">
        <f>GETPIVOTDATA("Sum of Service Manager",CSRoleAreaSupportPivot!$A$3,"ReportingLevel","4:National","lvl","Scotland")</f>
        <v>87</v>
      </c>
      <c r="E26" s="288">
        <f>GETPIVOTDATA("Sum of Team Leader",CSRoleAreaSupportPivot!$A$3,"ReportingLevel","4:National","lvl","Scotland")</f>
        <v>35</v>
      </c>
      <c r="F26" s="288">
        <f>GETPIVOTDATA("Sum of Professional",CSRoleAreaSupportPivot!$A$3,"ReportingLevel","4:National","lvl","Scotland")</f>
        <v>90</v>
      </c>
      <c r="G26" s="288">
        <f>GETPIVOTDATA("Sum of Specialist Technical",CSRoleAreaSupportPivot!$A$3,"ReportingLevel","4:National","lvl","Scotland")</f>
        <v>470</v>
      </c>
      <c r="H26" s="288">
        <f>GETPIVOTDATA("Sum of Tech Support",CSRoleAreaSupportPivot!$A$3,"ReportingLevel","4:National","lvl","Scotland")</f>
        <v>60</v>
      </c>
      <c r="I26" s="288">
        <f>GETPIVOTDATA("Sum of Administration",CSRoleAreaSupportPivot!$A$3,"ReportingLevel","4:National")</f>
        <v>142</v>
      </c>
      <c r="J26" s="288">
        <f>SUM(C26:I26)</f>
        <v>887</v>
      </c>
    </row>
    <row r="27" spans="1:10" x14ac:dyDescent="0.25">
      <c r="B27" s="347"/>
      <c r="C27" s="348"/>
      <c r="D27" s="348"/>
      <c r="E27" s="348"/>
      <c r="F27" s="348"/>
      <c r="G27" s="348"/>
      <c r="H27" s="348"/>
      <c r="I27" s="349"/>
      <c r="J27" s="343"/>
    </row>
    <row r="28" spans="1:10" ht="15" customHeight="1" x14ac:dyDescent="0.25">
      <c r="A28" s="347" t="s">
        <v>8</v>
      </c>
      <c r="B28" s="456"/>
      <c r="C28" s="456"/>
      <c r="D28" s="456"/>
      <c r="E28" s="456"/>
      <c r="F28" s="456"/>
      <c r="G28" s="456"/>
      <c r="H28" s="457"/>
      <c r="I28" s="458"/>
    </row>
    <row r="29" spans="1:10" ht="15" customHeight="1" x14ac:dyDescent="0.25">
      <c r="A29" s="573" t="s">
        <v>729</v>
      </c>
      <c r="B29" s="456"/>
      <c r="C29" s="456"/>
      <c r="D29" s="456"/>
      <c r="E29" s="456"/>
      <c r="F29" s="456"/>
      <c r="G29" s="456"/>
      <c r="H29" s="457"/>
      <c r="I29" s="458"/>
    </row>
    <row r="30" spans="1:10" ht="31.5" customHeight="1" x14ac:dyDescent="0.25">
      <c r="A30" s="992" t="s">
        <v>1057</v>
      </c>
      <c r="B30" s="992"/>
      <c r="C30" s="992"/>
      <c r="D30" s="992"/>
      <c r="E30" s="992"/>
      <c r="F30" s="992"/>
      <c r="G30" s="992"/>
      <c r="H30" s="992"/>
      <c r="I30" s="992"/>
      <c r="J30" s="992"/>
    </row>
    <row r="31" spans="1:10" ht="15" customHeight="1" x14ac:dyDescent="0.25">
      <c r="A31" s="459" t="s">
        <v>215</v>
      </c>
      <c r="B31" s="459"/>
      <c r="C31" s="459"/>
      <c r="D31" s="459"/>
      <c r="E31" s="459"/>
      <c r="F31" s="459"/>
      <c r="G31" s="459"/>
      <c r="H31" s="459"/>
      <c r="I31" s="459"/>
      <c r="J31" s="459"/>
    </row>
    <row r="32" spans="1:10" ht="30" customHeight="1" x14ac:dyDescent="0.25">
      <c r="A32" s="1010" t="s">
        <v>216</v>
      </c>
      <c r="B32" s="1010"/>
      <c r="C32" s="1010"/>
      <c r="D32" s="1010"/>
      <c r="E32" s="1010"/>
      <c r="F32" s="1010"/>
      <c r="G32" s="1010"/>
      <c r="H32" s="1010"/>
      <c r="I32" s="1010"/>
      <c r="J32" s="1010"/>
    </row>
    <row r="33" spans="1:10" ht="15" customHeight="1" x14ac:dyDescent="0.25">
      <c r="A33" s="350" t="s">
        <v>217</v>
      </c>
      <c r="B33" s="343"/>
      <c r="C33" s="351"/>
      <c r="D33" s="460"/>
      <c r="E33" s="460"/>
      <c r="F33" s="460"/>
      <c r="G33" s="460"/>
      <c r="H33" s="460"/>
      <c r="I33" s="460"/>
    </row>
    <row r="34" spans="1:10" x14ac:dyDescent="0.25">
      <c r="C34" s="349"/>
      <c r="D34" s="349"/>
      <c r="E34" s="349"/>
      <c r="F34" s="349"/>
      <c r="G34" s="349"/>
      <c r="H34" s="349"/>
      <c r="I34" s="349"/>
      <c r="J34" s="343"/>
    </row>
    <row r="35" spans="1:10" x14ac:dyDescent="0.25">
      <c r="B35" s="356"/>
      <c r="C35" s="356"/>
      <c r="D35" s="356"/>
      <c r="E35" s="356"/>
      <c r="F35" s="356"/>
      <c r="G35" s="356"/>
      <c r="H35" s="356"/>
      <c r="I35" s="356"/>
      <c r="J35" s="356"/>
    </row>
    <row r="36" spans="1:10" x14ac:dyDescent="0.25">
      <c r="B36" s="356"/>
      <c r="C36" s="356"/>
      <c r="D36" s="356"/>
      <c r="E36" s="356"/>
      <c r="F36" s="356"/>
      <c r="G36" s="356"/>
      <c r="H36" s="356"/>
      <c r="I36" s="356"/>
      <c r="J36" s="356"/>
    </row>
    <row r="37" spans="1:10" x14ac:dyDescent="0.25">
      <c r="B37" s="356"/>
      <c r="C37" s="356"/>
      <c r="D37" s="356"/>
      <c r="E37" s="356"/>
      <c r="F37" s="356"/>
      <c r="G37" s="356"/>
      <c r="H37" s="356"/>
      <c r="I37" s="356"/>
      <c r="J37" s="356"/>
    </row>
    <row r="38" spans="1:10" x14ac:dyDescent="0.25">
      <c r="B38" s="356"/>
      <c r="C38" s="356"/>
      <c r="D38" s="356"/>
      <c r="E38" s="356"/>
      <c r="F38" s="356"/>
      <c r="G38" s="356"/>
      <c r="H38" s="356"/>
      <c r="I38" s="356"/>
      <c r="J38" s="356"/>
    </row>
  </sheetData>
  <sheetProtection algorithmName="SHA-512" hashValue="Qd+b/L6HbaVinF4LIbEb4crHGd9N1eCg0DM+DBihkkjKMCsW0CGLcv2p79H7TkLjiknx0FggfyUSybVCOU1tCg==" saltValue="GSe9jmFmqI2/bvXzFIsDvw==" spinCount="100000" sheet="1" scenarios="1" formatCells="0" sort="0" autoFilter="0" pivotTables="0"/>
  <mergeCells count="4">
    <mergeCell ref="A1:H1"/>
    <mergeCell ref="A30:J30"/>
    <mergeCell ref="A32:J32"/>
    <mergeCell ref="A17:I17"/>
  </mergeCells>
  <hyperlinks>
    <hyperlink ref="A2" location="'Table of Contents'!A1" display="Back to Table of Contents" xr:uid="{00000000-0004-0000-3E00-000000000000}"/>
  </hyperlinks>
  <pageMargins left="0.70866141732283472" right="0.70866141732283472" top="0.74803149606299213" bottom="0.74803149606299213" header="0.31496062992125984" footer="0.31496062992125984"/>
  <pageSetup paperSize="9" scale="84" orientation="landscape" r:id="rId1"/>
  <drawing r:id="rId2"/>
  <extLst>
    <ext xmlns:x14="http://schemas.microsoft.com/office/spreadsheetml/2009/9/main" uri="{A8765BA9-456A-4dab-B4F3-ACF838C121DE}">
      <x14:slicerList>
        <x14:slicer r:id="rId3"/>
      </x14:slicerList>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39997558519241921"/>
  </sheetPr>
  <dimension ref="A1:D12"/>
  <sheetViews>
    <sheetView workbookViewId="0">
      <selection activeCell="C8" sqref="C8"/>
    </sheetView>
  </sheetViews>
  <sheetFormatPr defaultRowHeight="15" x14ac:dyDescent="0.25"/>
  <cols>
    <col min="1" max="1" width="25.140625" bestFit="1" customWidth="1"/>
    <col min="2" max="2" width="21" bestFit="1" customWidth="1"/>
    <col min="3" max="3" width="19.7109375" bestFit="1" customWidth="1"/>
    <col min="4" max="4" width="16.42578125" bestFit="1" customWidth="1"/>
  </cols>
  <sheetData>
    <row r="1" spans="1:4" x14ac:dyDescent="0.25">
      <c r="A1" s="394" t="s">
        <v>1</v>
      </c>
      <c r="B1" t="s">
        <v>1108</v>
      </c>
    </row>
    <row r="3" spans="1:4" x14ac:dyDescent="0.25">
      <c r="A3" s="394" t="s">
        <v>231</v>
      </c>
      <c r="B3" t="s">
        <v>241</v>
      </c>
      <c r="C3" t="s">
        <v>253</v>
      </c>
      <c r="D3" t="s">
        <v>254</v>
      </c>
    </row>
    <row r="4" spans="1:4" x14ac:dyDescent="0.25">
      <c r="A4" s="395" t="s">
        <v>232</v>
      </c>
    </row>
    <row r="5" spans="1:4" x14ac:dyDescent="0.25">
      <c r="A5" s="396" t="s">
        <v>34</v>
      </c>
      <c r="B5">
        <v>25</v>
      </c>
      <c r="C5">
        <v>21</v>
      </c>
      <c r="D5">
        <v>126</v>
      </c>
    </row>
    <row r="6" spans="1:4" x14ac:dyDescent="0.25">
      <c r="A6" s="396" t="s">
        <v>36</v>
      </c>
      <c r="B6">
        <v>1</v>
      </c>
      <c r="C6">
        <v>2</v>
      </c>
      <c r="D6">
        <v>4</v>
      </c>
    </row>
    <row r="7" spans="1:4" x14ac:dyDescent="0.25">
      <c r="A7" s="396" t="s">
        <v>44</v>
      </c>
      <c r="B7">
        <v>6</v>
      </c>
      <c r="C7">
        <v>11</v>
      </c>
      <c r="D7">
        <v>30</v>
      </c>
    </row>
    <row r="8" spans="1:4" x14ac:dyDescent="0.25">
      <c r="A8" s="396" t="s">
        <v>47</v>
      </c>
      <c r="B8">
        <v>1</v>
      </c>
      <c r="C8">
        <v>2</v>
      </c>
      <c r="D8">
        <v>0</v>
      </c>
    </row>
    <row r="9" spans="1:4" x14ac:dyDescent="0.25">
      <c r="A9" s="396" t="s">
        <v>49</v>
      </c>
      <c r="B9">
        <v>2</v>
      </c>
      <c r="C9">
        <v>2</v>
      </c>
      <c r="D9">
        <v>15</v>
      </c>
    </row>
    <row r="10" spans="1:4" x14ac:dyDescent="0.25">
      <c r="A10" s="396" t="s">
        <v>52</v>
      </c>
      <c r="B10">
        <v>0</v>
      </c>
      <c r="C10">
        <v>3</v>
      </c>
      <c r="D10">
        <v>18</v>
      </c>
    </row>
    <row r="11" spans="1:4" x14ac:dyDescent="0.25">
      <c r="A11" s="395" t="s">
        <v>832</v>
      </c>
      <c r="B11">
        <v>35</v>
      </c>
      <c r="C11">
        <v>41</v>
      </c>
      <c r="D11">
        <v>193</v>
      </c>
    </row>
    <row r="12" spans="1:4" x14ac:dyDescent="0.25">
      <c r="A12" s="395" t="s">
        <v>236</v>
      </c>
      <c r="B12">
        <v>35</v>
      </c>
      <c r="C12">
        <v>41</v>
      </c>
      <c r="D12">
        <v>193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tint="0.39997558519241921"/>
  </sheetPr>
  <dimension ref="A1:H176"/>
  <sheetViews>
    <sheetView topLeftCell="A2" workbookViewId="0">
      <selection activeCell="D14" sqref="D14"/>
    </sheetView>
  </sheetViews>
  <sheetFormatPr defaultRowHeight="15" x14ac:dyDescent="0.25"/>
  <cols>
    <col min="1" max="1" width="7.42578125" bestFit="1" customWidth="1"/>
    <col min="2" max="2" width="16.140625" bestFit="1" customWidth="1"/>
    <col min="3" max="3" width="9.7109375" bestFit="1" customWidth="1"/>
    <col min="4" max="4" width="20.85546875" bestFit="1" customWidth="1"/>
    <col min="5" max="5" width="7.42578125" bestFit="1" customWidth="1"/>
    <col min="6" max="6" width="16.7109375" bestFit="1" customWidth="1"/>
    <col min="7" max="7" width="15.5703125" bestFit="1" customWidth="1"/>
    <col min="8" max="8" width="12.28515625" bestFit="1" customWidth="1"/>
  </cols>
  <sheetData>
    <row r="1" spans="1:8" x14ac:dyDescent="0.25">
      <c r="A1" t="s">
        <v>1</v>
      </c>
      <c r="B1" t="s">
        <v>982</v>
      </c>
      <c r="C1" t="s">
        <v>242</v>
      </c>
      <c r="D1" t="s">
        <v>983</v>
      </c>
      <c r="E1" t="s">
        <v>26</v>
      </c>
      <c r="F1" t="s">
        <v>21</v>
      </c>
      <c r="G1" t="s">
        <v>22</v>
      </c>
      <c r="H1" t="s">
        <v>23</v>
      </c>
    </row>
    <row r="2" spans="1:8" x14ac:dyDescent="0.25">
      <c r="A2" t="s">
        <v>192</v>
      </c>
      <c r="B2" t="s">
        <v>232</v>
      </c>
      <c r="C2" t="s">
        <v>266</v>
      </c>
      <c r="D2" t="s">
        <v>35</v>
      </c>
      <c r="E2">
        <v>0</v>
      </c>
      <c r="F2">
        <v>0</v>
      </c>
      <c r="G2">
        <v>0</v>
      </c>
      <c r="H2">
        <v>0</v>
      </c>
    </row>
    <row r="3" spans="1:8" x14ac:dyDescent="0.25">
      <c r="A3" t="s">
        <v>192</v>
      </c>
      <c r="B3" t="s">
        <v>232</v>
      </c>
      <c r="C3" t="s">
        <v>267</v>
      </c>
      <c r="D3" t="s">
        <v>36</v>
      </c>
      <c r="E3">
        <v>4</v>
      </c>
      <c r="F3">
        <v>0</v>
      </c>
      <c r="G3">
        <v>1</v>
      </c>
      <c r="H3">
        <v>3</v>
      </c>
    </row>
    <row r="4" spans="1:8" x14ac:dyDescent="0.25">
      <c r="A4" t="s">
        <v>192</v>
      </c>
      <c r="B4" t="s">
        <v>232</v>
      </c>
      <c r="C4" t="s">
        <v>268</v>
      </c>
      <c r="D4" t="s">
        <v>38</v>
      </c>
      <c r="E4">
        <v>0</v>
      </c>
      <c r="F4">
        <v>0</v>
      </c>
      <c r="G4">
        <v>0</v>
      </c>
      <c r="H4">
        <v>0</v>
      </c>
    </row>
    <row r="5" spans="1:8" x14ac:dyDescent="0.25">
      <c r="A5" t="s">
        <v>192</v>
      </c>
      <c r="B5" t="s">
        <v>232</v>
      </c>
      <c r="C5" t="s">
        <v>269</v>
      </c>
      <c r="D5" t="s">
        <v>40</v>
      </c>
      <c r="E5">
        <v>0</v>
      </c>
      <c r="F5">
        <v>0</v>
      </c>
      <c r="G5">
        <v>0</v>
      </c>
      <c r="H5">
        <v>0</v>
      </c>
    </row>
    <row r="6" spans="1:8" x14ac:dyDescent="0.25">
      <c r="A6" t="s">
        <v>192</v>
      </c>
      <c r="B6" t="s">
        <v>232</v>
      </c>
      <c r="C6" t="s">
        <v>270</v>
      </c>
      <c r="D6" t="s">
        <v>41</v>
      </c>
      <c r="E6">
        <v>0</v>
      </c>
      <c r="F6">
        <v>0</v>
      </c>
      <c r="G6">
        <v>0</v>
      </c>
      <c r="H6">
        <v>0</v>
      </c>
    </row>
    <row r="7" spans="1:8" x14ac:dyDescent="0.25">
      <c r="A7" t="s">
        <v>192</v>
      </c>
      <c r="B7" t="s">
        <v>232</v>
      </c>
      <c r="C7" t="s">
        <v>271</v>
      </c>
      <c r="D7" t="s">
        <v>48</v>
      </c>
      <c r="E7">
        <v>0</v>
      </c>
      <c r="F7">
        <v>0</v>
      </c>
      <c r="G7">
        <v>0</v>
      </c>
      <c r="H7">
        <v>0</v>
      </c>
    </row>
    <row r="8" spans="1:8" x14ac:dyDescent="0.25">
      <c r="A8" t="s">
        <v>192</v>
      </c>
      <c r="B8" t="s">
        <v>232</v>
      </c>
      <c r="C8" t="s">
        <v>272</v>
      </c>
      <c r="D8" t="s">
        <v>42</v>
      </c>
      <c r="E8">
        <v>0</v>
      </c>
      <c r="F8">
        <v>0</v>
      </c>
      <c r="G8">
        <v>0</v>
      </c>
      <c r="H8">
        <v>0</v>
      </c>
    </row>
    <row r="9" spans="1:8" x14ac:dyDescent="0.25">
      <c r="A9" t="s">
        <v>192</v>
      </c>
      <c r="B9" t="s">
        <v>232</v>
      </c>
      <c r="C9" t="s">
        <v>273</v>
      </c>
      <c r="D9" t="s">
        <v>44</v>
      </c>
      <c r="E9">
        <v>72</v>
      </c>
      <c r="F9">
        <v>8</v>
      </c>
      <c r="G9">
        <v>13</v>
      </c>
      <c r="H9">
        <v>51</v>
      </c>
    </row>
    <row r="10" spans="1:8" x14ac:dyDescent="0.25">
      <c r="A10" t="s">
        <v>192</v>
      </c>
      <c r="B10" t="s">
        <v>232</v>
      </c>
      <c r="C10" t="s">
        <v>274</v>
      </c>
      <c r="D10" t="s">
        <v>45</v>
      </c>
      <c r="E10">
        <v>0</v>
      </c>
      <c r="F10">
        <v>0</v>
      </c>
      <c r="G10">
        <v>0</v>
      </c>
      <c r="H10">
        <v>0</v>
      </c>
    </row>
    <row r="11" spans="1:8" x14ac:dyDescent="0.25">
      <c r="A11" t="s">
        <v>192</v>
      </c>
      <c r="B11" t="s">
        <v>232</v>
      </c>
      <c r="C11" t="s">
        <v>275</v>
      </c>
      <c r="D11" t="s">
        <v>46</v>
      </c>
      <c r="E11">
        <v>0</v>
      </c>
      <c r="F11">
        <v>0</v>
      </c>
      <c r="G11">
        <v>0</v>
      </c>
      <c r="H11">
        <v>0</v>
      </c>
    </row>
    <row r="12" spans="1:8" x14ac:dyDescent="0.25">
      <c r="A12" t="s">
        <v>192</v>
      </c>
      <c r="B12" t="s">
        <v>232</v>
      </c>
      <c r="C12" t="s">
        <v>276</v>
      </c>
      <c r="D12" t="s">
        <v>47</v>
      </c>
      <c r="E12">
        <v>32</v>
      </c>
      <c r="F12">
        <v>1</v>
      </c>
      <c r="G12">
        <v>2</v>
      </c>
      <c r="H12">
        <v>29</v>
      </c>
    </row>
    <row r="13" spans="1:8" x14ac:dyDescent="0.25">
      <c r="A13" t="s">
        <v>192</v>
      </c>
      <c r="B13" t="s">
        <v>232</v>
      </c>
      <c r="C13" t="s">
        <v>277</v>
      </c>
      <c r="D13" t="s">
        <v>49</v>
      </c>
      <c r="E13">
        <v>21</v>
      </c>
      <c r="F13">
        <v>0</v>
      </c>
      <c r="G13">
        <v>6</v>
      </c>
      <c r="H13">
        <v>15</v>
      </c>
    </row>
    <row r="14" spans="1:8" x14ac:dyDescent="0.25">
      <c r="A14" t="s">
        <v>192</v>
      </c>
      <c r="B14" t="s">
        <v>232</v>
      </c>
      <c r="C14" t="s">
        <v>278</v>
      </c>
      <c r="D14" t="s">
        <v>51</v>
      </c>
      <c r="E14">
        <v>0</v>
      </c>
      <c r="F14">
        <v>0</v>
      </c>
      <c r="G14">
        <v>0</v>
      </c>
      <c r="H14">
        <v>0</v>
      </c>
    </row>
    <row r="15" spans="1:8" x14ac:dyDescent="0.25">
      <c r="A15" t="s">
        <v>192</v>
      </c>
      <c r="B15" t="s">
        <v>232</v>
      </c>
      <c r="C15" t="s">
        <v>279</v>
      </c>
      <c r="D15" t="s">
        <v>52</v>
      </c>
      <c r="E15">
        <v>25</v>
      </c>
      <c r="F15">
        <v>0</v>
      </c>
      <c r="G15">
        <v>3</v>
      </c>
      <c r="H15">
        <v>22</v>
      </c>
    </row>
    <row r="16" spans="1:8" x14ac:dyDescent="0.25">
      <c r="A16" t="s">
        <v>192</v>
      </c>
      <c r="B16" t="s">
        <v>232</v>
      </c>
      <c r="C16" t="s">
        <v>280</v>
      </c>
      <c r="D16" t="s">
        <v>54</v>
      </c>
      <c r="E16">
        <v>0</v>
      </c>
      <c r="F16">
        <v>0</v>
      </c>
      <c r="G16">
        <v>0</v>
      </c>
      <c r="H16">
        <v>0</v>
      </c>
    </row>
    <row r="17" spans="1:8" x14ac:dyDescent="0.25">
      <c r="A17" t="s">
        <v>192</v>
      </c>
      <c r="B17" t="s">
        <v>232</v>
      </c>
      <c r="C17" t="s">
        <v>281</v>
      </c>
      <c r="D17" t="s">
        <v>55</v>
      </c>
      <c r="E17">
        <v>0</v>
      </c>
      <c r="F17">
        <v>0</v>
      </c>
      <c r="G17">
        <v>0</v>
      </c>
      <c r="H17">
        <v>0</v>
      </c>
    </row>
    <row r="18" spans="1:8" x14ac:dyDescent="0.25">
      <c r="A18" t="s">
        <v>192</v>
      </c>
      <c r="B18" t="s">
        <v>232</v>
      </c>
      <c r="C18" t="s">
        <v>282</v>
      </c>
      <c r="D18" t="s">
        <v>56</v>
      </c>
      <c r="E18">
        <v>0</v>
      </c>
      <c r="F18">
        <v>0</v>
      </c>
      <c r="G18">
        <v>0</v>
      </c>
      <c r="H18">
        <v>0</v>
      </c>
    </row>
    <row r="19" spans="1:8" x14ac:dyDescent="0.25">
      <c r="A19" t="s">
        <v>192</v>
      </c>
      <c r="B19" t="s">
        <v>232</v>
      </c>
      <c r="C19" t="s">
        <v>283</v>
      </c>
      <c r="D19" t="s">
        <v>57</v>
      </c>
      <c r="E19">
        <v>2</v>
      </c>
      <c r="F19">
        <v>0</v>
      </c>
      <c r="G19">
        <v>1</v>
      </c>
      <c r="H19">
        <v>1</v>
      </c>
    </row>
    <row r="20" spans="1:8" x14ac:dyDescent="0.25">
      <c r="A20" t="s">
        <v>192</v>
      </c>
      <c r="B20" t="s">
        <v>232</v>
      </c>
      <c r="C20" t="s">
        <v>284</v>
      </c>
      <c r="D20" t="s">
        <v>58</v>
      </c>
      <c r="E20">
        <v>0</v>
      </c>
      <c r="F20">
        <v>0</v>
      </c>
      <c r="G20">
        <v>0</v>
      </c>
      <c r="H20">
        <v>0</v>
      </c>
    </row>
    <row r="21" spans="1:8" x14ac:dyDescent="0.25">
      <c r="A21" t="s">
        <v>192</v>
      </c>
      <c r="B21" t="s">
        <v>232</v>
      </c>
      <c r="C21" t="s">
        <v>285</v>
      </c>
      <c r="D21" t="s">
        <v>31</v>
      </c>
      <c r="E21">
        <v>0</v>
      </c>
      <c r="F21">
        <v>0</v>
      </c>
      <c r="G21">
        <v>0</v>
      </c>
      <c r="H21">
        <v>0</v>
      </c>
    </row>
    <row r="22" spans="1:8" x14ac:dyDescent="0.25">
      <c r="A22" t="s">
        <v>192</v>
      </c>
      <c r="B22" t="s">
        <v>232</v>
      </c>
      <c r="C22" t="s">
        <v>286</v>
      </c>
      <c r="D22" t="s">
        <v>32</v>
      </c>
      <c r="E22">
        <v>0</v>
      </c>
      <c r="F22">
        <v>0</v>
      </c>
      <c r="G22">
        <v>0</v>
      </c>
      <c r="H22">
        <v>0</v>
      </c>
    </row>
    <row r="23" spans="1:8" x14ac:dyDescent="0.25">
      <c r="A23" t="s">
        <v>192</v>
      </c>
      <c r="B23" t="s">
        <v>232</v>
      </c>
      <c r="C23" t="s">
        <v>287</v>
      </c>
      <c r="D23" t="s">
        <v>34</v>
      </c>
      <c r="E23">
        <v>203</v>
      </c>
      <c r="F23">
        <v>0</v>
      </c>
      <c r="G23">
        <v>47</v>
      </c>
      <c r="H23">
        <v>156</v>
      </c>
    </row>
    <row r="24" spans="1:8" x14ac:dyDescent="0.25">
      <c r="A24" t="s">
        <v>192</v>
      </c>
      <c r="B24" t="s">
        <v>232</v>
      </c>
      <c r="C24" t="s">
        <v>288</v>
      </c>
      <c r="D24" t="s">
        <v>243</v>
      </c>
      <c r="E24">
        <v>0</v>
      </c>
      <c r="F24">
        <v>0</v>
      </c>
      <c r="G24">
        <v>0</v>
      </c>
      <c r="H24">
        <v>0</v>
      </c>
    </row>
    <row r="25" spans="1:8" x14ac:dyDescent="0.25">
      <c r="A25" t="s">
        <v>192</v>
      </c>
      <c r="B25" t="s">
        <v>232</v>
      </c>
      <c r="C25" t="s">
        <v>289</v>
      </c>
      <c r="D25" t="s">
        <v>53</v>
      </c>
      <c r="E25">
        <v>0</v>
      </c>
      <c r="F25">
        <v>0</v>
      </c>
      <c r="G25">
        <v>0</v>
      </c>
      <c r="H25">
        <v>0</v>
      </c>
    </row>
    <row r="26" spans="1:8" x14ac:dyDescent="0.25">
      <c r="A26" t="s">
        <v>192</v>
      </c>
      <c r="B26" t="s">
        <v>232</v>
      </c>
      <c r="C26" t="s">
        <v>290</v>
      </c>
      <c r="D26" t="s">
        <v>59</v>
      </c>
      <c r="E26">
        <v>0</v>
      </c>
      <c r="F26">
        <v>0</v>
      </c>
      <c r="G26">
        <v>0</v>
      </c>
      <c r="H26">
        <v>0</v>
      </c>
    </row>
    <row r="27" spans="1:8" x14ac:dyDescent="0.25">
      <c r="A27" t="s">
        <v>192</v>
      </c>
      <c r="B27" t="s">
        <v>232</v>
      </c>
      <c r="C27" t="s">
        <v>291</v>
      </c>
      <c r="D27" t="s">
        <v>60</v>
      </c>
      <c r="E27">
        <v>0</v>
      </c>
      <c r="F27">
        <v>0</v>
      </c>
      <c r="G27">
        <v>0</v>
      </c>
      <c r="H27">
        <v>0</v>
      </c>
    </row>
    <row r="28" spans="1:8" x14ac:dyDescent="0.25">
      <c r="A28" t="s">
        <v>192</v>
      </c>
      <c r="B28" t="s">
        <v>232</v>
      </c>
      <c r="C28" t="s">
        <v>292</v>
      </c>
      <c r="D28" t="s">
        <v>33</v>
      </c>
      <c r="E28">
        <v>0</v>
      </c>
      <c r="F28">
        <v>0</v>
      </c>
      <c r="G28">
        <v>0</v>
      </c>
      <c r="H28">
        <v>0</v>
      </c>
    </row>
    <row r="29" spans="1:8" x14ac:dyDescent="0.25">
      <c r="A29" t="s">
        <v>192</v>
      </c>
      <c r="B29" t="s">
        <v>232</v>
      </c>
      <c r="C29" t="s">
        <v>293</v>
      </c>
      <c r="D29" t="s">
        <v>37</v>
      </c>
      <c r="E29">
        <v>0</v>
      </c>
      <c r="F29">
        <v>0</v>
      </c>
      <c r="G29">
        <v>0</v>
      </c>
      <c r="H29">
        <v>0</v>
      </c>
    </row>
    <row r="30" spans="1:8" x14ac:dyDescent="0.25">
      <c r="A30" t="s">
        <v>192</v>
      </c>
      <c r="B30" t="s">
        <v>232</v>
      </c>
      <c r="C30" t="s">
        <v>294</v>
      </c>
      <c r="D30" t="s">
        <v>50</v>
      </c>
      <c r="E30">
        <v>0</v>
      </c>
      <c r="F30">
        <v>0</v>
      </c>
      <c r="G30">
        <v>0</v>
      </c>
      <c r="H30">
        <v>0</v>
      </c>
    </row>
    <row r="31" spans="1:8" x14ac:dyDescent="0.25">
      <c r="A31" t="s">
        <v>192</v>
      </c>
      <c r="B31" t="s">
        <v>232</v>
      </c>
      <c r="C31" t="s">
        <v>295</v>
      </c>
      <c r="D31" t="s">
        <v>39</v>
      </c>
      <c r="E31">
        <v>0</v>
      </c>
      <c r="F31">
        <v>0</v>
      </c>
      <c r="G31">
        <v>0</v>
      </c>
      <c r="H31">
        <v>0</v>
      </c>
    </row>
    <row r="32" spans="1:8" x14ac:dyDescent="0.25">
      <c r="A32" t="s">
        <v>192</v>
      </c>
      <c r="B32" t="s">
        <v>232</v>
      </c>
      <c r="C32" t="s">
        <v>296</v>
      </c>
      <c r="D32" t="s">
        <v>117</v>
      </c>
      <c r="E32">
        <v>0</v>
      </c>
      <c r="F32">
        <v>0</v>
      </c>
      <c r="G32">
        <v>0</v>
      </c>
      <c r="H32">
        <v>0</v>
      </c>
    </row>
    <row r="33" spans="1:8" x14ac:dyDescent="0.25">
      <c r="A33" t="s">
        <v>192</v>
      </c>
      <c r="B33" t="s">
        <v>232</v>
      </c>
      <c r="C33" t="s">
        <v>297</v>
      </c>
      <c r="D33" t="s">
        <v>43</v>
      </c>
      <c r="E33">
        <v>0</v>
      </c>
      <c r="F33">
        <v>0</v>
      </c>
      <c r="G33">
        <v>0</v>
      </c>
      <c r="H33">
        <v>0</v>
      </c>
    </row>
    <row r="34" spans="1:8" x14ac:dyDescent="0.25">
      <c r="A34" t="s">
        <v>191</v>
      </c>
      <c r="B34" t="s">
        <v>232</v>
      </c>
      <c r="C34" t="s">
        <v>266</v>
      </c>
      <c r="D34" t="s">
        <v>35</v>
      </c>
      <c r="E34">
        <v>0</v>
      </c>
      <c r="F34">
        <v>0</v>
      </c>
      <c r="G34">
        <v>0</v>
      </c>
      <c r="H34">
        <v>0</v>
      </c>
    </row>
    <row r="35" spans="1:8" x14ac:dyDescent="0.25">
      <c r="A35" t="s">
        <v>191</v>
      </c>
      <c r="B35" t="s">
        <v>232</v>
      </c>
      <c r="C35" t="s">
        <v>267</v>
      </c>
      <c r="D35" t="s">
        <v>36</v>
      </c>
      <c r="E35">
        <v>3</v>
      </c>
      <c r="F35">
        <v>0</v>
      </c>
      <c r="G35">
        <v>1</v>
      </c>
      <c r="H35">
        <v>2</v>
      </c>
    </row>
    <row r="36" spans="1:8" x14ac:dyDescent="0.25">
      <c r="A36" t="s">
        <v>191</v>
      </c>
      <c r="B36" t="s">
        <v>232</v>
      </c>
      <c r="C36" t="s">
        <v>268</v>
      </c>
      <c r="D36" t="s">
        <v>38</v>
      </c>
      <c r="E36">
        <v>0</v>
      </c>
      <c r="F36">
        <v>0</v>
      </c>
      <c r="G36">
        <v>0</v>
      </c>
      <c r="H36">
        <v>0</v>
      </c>
    </row>
    <row r="37" spans="1:8" x14ac:dyDescent="0.25">
      <c r="A37" t="s">
        <v>191</v>
      </c>
      <c r="B37" t="s">
        <v>232</v>
      </c>
      <c r="C37" t="s">
        <v>269</v>
      </c>
      <c r="D37" t="s">
        <v>40</v>
      </c>
      <c r="E37">
        <v>0</v>
      </c>
      <c r="F37">
        <v>0</v>
      </c>
      <c r="G37">
        <v>0</v>
      </c>
      <c r="H37">
        <v>0</v>
      </c>
    </row>
    <row r="38" spans="1:8" x14ac:dyDescent="0.25">
      <c r="A38" t="s">
        <v>191</v>
      </c>
      <c r="B38" t="s">
        <v>232</v>
      </c>
      <c r="C38" t="s">
        <v>270</v>
      </c>
      <c r="D38" t="s">
        <v>41</v>
      </c>
      <c r="E38">
        <v>0</v>
      </c>
      <c r="F38">
        <v>0</v>
      </c>
      <c r="G38">
        <v>0</v>
      </c>
      <c r="H38">
        <v>0</v>
      </c>
    </row>
    <row r="39" spans="1:8" x14ac:dyDescent="0.25">
      <c r="A39" t="s">
        <v>191</v>
      </c>
      <c r="B39" t="s">
        <v>232</v>
      </c>
      <c r="C39" t="s">
        <v>271</v>
      </c>
      <c r="D39" t="s">
        <v>48</v>
      </c>
      <c r="E39">
        <v>0</v>
      </c>
      <c r="F39">
        <v>0</v>
      </c>
      <c r="G39">
        <v>0</v>
      </c>
      <c r="H39">
        <v>0</v>
      </c>
    </row>
    <row r="40" spans="1:8" x14ac:dyDescent="0.25">
      <c r="A40" t="s">
        <v>191</v>
      </c>
      <c r="B40" t="s">
        <v>232</v>
      </c>
      <c r="C40" t="s">
        <v>272</v>
      </c>
      <c r="D40" t="s">
        <v>42</v>
      </c>
      <c r="E40">
        <v>0</v>
      </c>
      <c r="F40">
        <v>0</v>
      </c>
      <c r="G40">
        <v>0</v>
      </c>
      <c r="H40">
        <v>0</v>
      </c>
    </row>
    <row r="41" spans="1:8" x14ac:dyDescent="0.25">
      <c r="A41" t="s">
        <v>191</v>
      </c>
      <c r="B41" t="s">
        <v>232</v>
      </c>
      <c r="C41" t="s">
        <v>273</v>
      </c>
      <c r="D41" t="s">
        <v>44</v>
      </c>
      <c r="E41">
        <v>69</v>
      </c>
      <c r="F41">
        <v>8</v>
      </c>
      <c r="G41">
        <v>12</v>
      </c>
      <c r="H41">
        <v>49</v>
      </c>
    </row>
    <row r="42" spans="1:8" x14ac:dyDescent="0.25">
      <c r="A42" t="s">
        <v>191</v>
      </c>
      <c r="B42" t="s">
        <v>232</v>
      </c>
      <c r="C42" t="s">
        <v>274</v>
      </c>
      <c r="D42" t="s">
        <v>45</v>
      </c>
      <c r="E42">
        <v>0</v>
      </c>
      <c r="F42">
        <v>0</v>
      </c>
      <c r="G42">
        <v>0</v>
      </c>
      <c r="H42">
        <v>0</v>
      </c>
    </row>
    <row r="43" spans="1:8" x14ac:dyDescent="0.25">
      <c r="A43" t="s">
        <v>191</v>
      </c>
      <c r="B43" t="s">
        <v>232</v>
      </c>
      <c r="C43" t="s">
        <v>275</v>
      </c>
      <c r="D43" t="s">
        <v>46</v>
      </c>
      <c r="E43">
        <v>0</v>
      </c>
      <c r="F43">
        <v>0</v>
      </c>
      <c r="G43">
        <v>0</v>
      </c>
      <c r="H43">
        <v>0</v>
      </c>
    </row>
    <row r="44" spans="1:8" x14ac:dyDescent="0.25">
      <c r="A44" t="s">
        <v>191</v>
      </c>
      <c r="B44" t="s">
        <v>232</v>
      </c>
      <c r="C44" t="s">
        <v>276</v>
      </c>
      <c r="D44" t="s">
        <v>47</v>
      </c>
      <c r="E44">
        <v>25</v>
      </c>
      <c r="F44">
        <v>1</v>
      </c>
      <c r="G44">
        <v>2</v>
      </c>
      <c r="H44">
        <v>22</v>
      </c>
    </row>
    <row r="45" spans="1:8" x14ac:dyDescent="0.25">
      <c r="A45" t="s">
        <v>191</v>
      </c>
      <c r="B45" t="s">
        <v>232</v>
      </c>
      <c r="C45" t="s">
        <v>277</v>
      </c>
      <c r="D45" t="s">
        <v>49</v>
      </c>
      <c r="E45">
        <v>26</v>
      </c>
      <c r="F45">
        <v>3</v>
      </c>
      <c r="G45">
        <v>3</v>
      </c>
      <c r="H45">
        <v>20</v>
      </c>
    </row>
    <row r="46" spans="1:8" x14ac:dyDescent="0.25">
      <c r="A46" t="s">
        <v>191</v>
      </c>
      <c r="B46" t="s">
        <v>232</v>
      </c>
      <c r="C46" t="s">
        <v>278</v>
      </c>
      <c r="D46" t="s">
        <v>51</v>
      </c>
      <c r="E46">
        <v>1</v>
      </c>
      <c r="F46">
        <v>0</v>
      </c>
      <c r="G46">
        <v>1</v>
      </c>
      <c r="H46">
        <v>0</v>
      </c>
    </row>
    <row r="47" spans="1:8" x14ac:dyDescent="0.25">
      <c r="A47" t="s">
        <v>191</v>
      </c>
      <c r="B47" t="s">
        <v>232</v>
      </c>
      <c r="C47" t="s">
        <v>279</v>
      </c>
      <c r="D47" t="s">
        <v>52</v>
      </c>
      <c r="E47">
        <v>24</v>
      </c>
      <c r="F47">
        <v>0</v>
      </c>
      <c r="G47">
        <v>5</v>
      </c>
      <c r="H47">
        <v>19</v>
      </c>
    </row>
    <row r="48" spans="1:8" x14ac:dyDescent="0.25">
      <c r="A48" t="s">
        <v>191</v>
      </c>
      <c r="B48" t="s">
        <v>232</v>
      </c>
      <c r="C48" t="s">
        <v>280</v>
      </c>
      <c r="D48" t="s">
        <v>54</v>
      </c>
      <c r="E48">
        <v>0</v>
      </c>
      <c r="F48">
        <v>0</v>
      </c>
      <c r="G48">
        <v>0</v>
      </c>
      <c r="H48">
        <v>0</v>
      </c>
    </row>
    <row r="49" spans="1:8" x14ac:dyDescent="0.25">
      <c r="A49" t="s">
        <v>191</v>
      </c>
      <c r="B49" t="s">
        <v>232</v>
      </c>
      <c r="C49" t="s">
        <v>281</v>
      </c>
      <c r="D49" t="s">
        <v>55</v>
      </c>
      <c r="E49">
        <v>1</v>
      </c>
      <c r="F49">
        <v>0</v>
      </c>
      <c r="G49">
        <v>0</v>
      </c>
      <c r="H49">
        <v>1</v>
      </c>
    </row>
    <row r="50" spans="1:8" x14ac:dyDescent="0.25">
      <c r="A50" t="s">
        <v>191</v>
      </c>
      <c r="B50" t="s">
        <v>232</v>
      </c>
      <c r="C50" t="s">
        <v>282</v>
      </c>
      <c r="D50" t="s">
        <v>56</v>
      </c>
      <c r="E50">
        <v>0</v>
      </c>
      <c r="F50">
        <v>0</v>
      </c>
      <c r="G50">
        <v>0</v>
      </c>
      <c r="H50">
        <v>0</v>
      </c>
    </row>
    <row r="51" spans="1:8" x14ac:dyDescent="0.25">
      <c r="A51" t="s">
        <v>191</v>
      </c>
      <c r="B51" t="s">
        <v>232</v>
      </c>
      <c r="C51" t="s">
        <v>283</v>
      </c>
      <c r="D51" t="s">
        <v>57</v>
      </c>
      <c r="E51">
        <v>4</v>
      </c>
      <c r="F51">
        <v>1</v>
      </c>
      <c r="H51">
        <v>3</v>
      </c>
    </row>
    <row r="52" spans="1:8" x14ac:dyDescent="0.25">
      <c r="A52" t="s">
        <v>191</v>
      </c>
      <c r="B52" t="s">
        <v>232</v>
      </c>
      <c r="C52" t="s">
        <v>284</v>
      </c>
      <c r="D52" t="s">
        <v>58</v>
      </c>
      <c r="E52">
        <v>0</v>
      </c>
      <c r="F52">
        <v>0</v>
      </c>
      <c r="G52">
        <v>0</v>
      </c>
      <c r="H52">
        <v>0</v>
      </c>
    </row>
    <row r="53" spans="1:8" x14ac:dyDescent="0.25">
      <c r="A53" t="s">
        <v>191</v>
      </c>
      <c r="B53" t="s">
        <v>232</v>
      </c>
      <c r="C53" t="s">
        <v>285</v>
      </c>
      <c r="D53" t="s">
        <v>31</v>
      </c>
      <c r="E53">
        <v>0</v>
      </c>
      <c r="F53">
        <v>0</v>
      </c>
      <c r="G53">
        <v>0</v>
      </c>
      <c r="H53">
        <v>0</v>
      </c>
    </row>
    <row r="54" spans="1:8" x14ac:dyDescent="0.25">
      <c r="A54" t="s">
        <v>191</v>
      </c>
      <c r="B54" t="s">
        <v>232</v>
      </c>
      <c r="C54" t="s">
        <v>286</v>
      </c>
      <c r="D54" t="s">
        <v>32</v>
      </c>
      <c r="E54">
        <v>0</v>
      </c>
      <c r="F54">
        <v>0</v>
      </c>
      <c r="G54">
        <v>0</v>
      </c>
      <c r="H54">
        <v>0</v>
      </c>
    </row>
    <row r="55" spans="1:8" x14ac:dyDescent="0.25">
      <c r="A55" t="s">
        <v>191</v>
      </c>
      <c r="B55" t="s">
        <v>232</v>
      </c>
      <c r="C55" t="s">
        <v>287</v>
      </c>
      <c r="D55" t="s">
        <v>34</v>
      </c>
      <c r="E55">
        <v>225</v>
      </c>
      <c r="F55">
        <v>25</v>
      </c>
      <c r="G55">
        <v>20</v>
      </c>
      <c r="H55">
        <v>180</v>
      </c>
    </row>
    <row r="56" spans="1:8" x14ac:dyDescent="0.25">
      <c r="A56" t="s">
        <v>191</v>
      </c>
      <c r="B56" t="s">
        <v>232</v>
      </c>
      <c r="C56" t="s">
        <v>288</v>
      </c>
      <c r="D56" t="s">
        <v>243</v>
      </c>
      <c r="E56">
        <v>0</v>
      </c>
      <c r="F56">
        <v>0</v>
      </c>
      <c r="G56">
        <v>0</v>
      </c>
      <c r="H56">
        <v>0</v>
      </c>
    </row>
    <row r="57" spans="1:8" x14ac:dyDescent="0.25">
      <c r="A57" t="s">
        <v>191</v>
      </c>
      <c r="B57" t="s">
        <v>232</v>
      </c>
      <c r="C57" t="s">
        <v>289</v>
      </c>
      <c r="D57" t="s">
        <v>53</v>
      </c>
      <c r="E57">
        <v>0</v>
      </c>
      <c r="F57">
        <v>0</v>
      </c>
      <c r="G57">
        <v>0</v>
      </c>
      <c r="H57">
        <v>0</v>
      </c>
    </row>
    <row r="58" spans="1:8" x14ac:dyDescent="0.25">
      <c r="A58" t="s">
        <v>191</v>
      </c>
      <c r="B58" t="s">
        <v>232</v>
      </c>
      <c r="C58" t="s">
        <v>290</v>
      </c>
      <c r="D58" t="s">
        <v>59</v>
      </c>
      <c r="E58">
        <v>0</v>
      </c>
      <c r="F58">
        <v>0</v>
      </c>
      <c r="G58">
        <v>0</v>
      </c>
      <c r="H58">
        <v>0</v>
      </c>
    </row>
    <row r="59" spans="1:8" x14ac:dyDescent="0.25">
      <c r="A59" t="s">
        <v>191</v>
      </c>
      <c r="B59" t="s">
        <v>232</v>
      </c>
      <c r="C59" t="s">
        <v>291</v>
      </c>
      <c r="D59" t="s">
        <v>60</v>
      </c>
      <c r="E59">
        <v>0</v>
      </c>
      <c r="F59">
        <v>0</v>
      </c>
      <c r="G59">
        <v>0</v>
      </c>
      <c r="H59">
        <v>0</v>
      </c>
    </row>
    <row r="60" spans="1:8" x14ac:dyDescent="0.25">
      <c r="A60" t="s">
        <v>191</v>
      </c>
      <c r="B60" t="s">
        <v>232</v>
      </c>
      <c r="C60" t="s">
        <v>292</v>
      </c>
      <c r="D60" t="s">
        <v>33</v>
      </c>
      <c r="E60">
        <v>0</v>
      </c>
      <c r="F60">
        <v>0</v>
      </c>
      <c r="G60">
        <v>0</v>
      </c>
      <c r="H60">
        <v>0</v>
      </c>
    </row>
    <row r="61" spans="1:8" x14ac:dyDescent="0.25">
      <c r="A61" t="s">
        <v>191</v>
      </c>
      <c r="B61" t="s">
        <v>232</v>
      </c>
      <c r="C61" t="s">
        <v>293</v>
      </c>
      <c r="D61" t="s">
        <v>37</v>
      </c>
      <c r="E61">
        <v>0</v>
      </c>
      <c r="F61">
        <v>0</v>
      </c>
      <c r="G61">
        <v>0</v>
      </c>
      <c r="H61">
        <v>0</v>
      </c>
    </row>
    <row r="62" spans="1:8" x14ac:dyDescent="0.25">
      <c r="A62" t="s">
        <v>191</v>
      </c>
      <c r="B62" t="s">
        <v>232</v>
      </c>
      <c r="C62" t="s">
        <v>294</v>
      </c>
      <c r="D62" t="s">
        <v>50</v>
      </c>
      <c r="E62">
        <v>0</v>
      </c>
      <c r="F62">
        <v>0</v>
      </c>
      <c r="G62">
        <v>0</v>
      </c>
      <c r="H62">
        <v>0</v>
      </c>
    </row>
    <row r="63" spans="1:8" x14ac:dyDescent="0.25">
      <c r="A63" t="s">
        <v>191</v>
      </c>
      <c r="B63" t="s">
        <v>232</v>
      </c>
      <c r="C63" t="s">
        <v>295</v>
      </c>
      <c r="D63" t="s">
        <v>39</v>
      </c>
      <c r="E63">
        <v>0</v>
      </c>
      <c r="F63">
        <v>0</v>
      </c>
      <c r="G63">
        <v>0</v>
      </c>
      <c r="H63">
        <v>0</v>
      </c>
    </row>
    <row r="64" spans="1:8" x14ac:dyDescent="0.25">
      <c r="A64" t="s">
        <v>191</v>
      </c>
      <c r="B64" t="s">
        <v>232</v>
      </c>
      <c r="C64" t="s">
        <v>296</v>
      </c>
      <c r="D64" t="s">
        <v>117</v>
      </c>
      <c r="E64">
        <v>0</v>
      </c>
      <c r="F64">
        <v>0</v>
      </c>
      <c r="G64">
        <v>0</v>
      </c>
      <c r="H64">
        <v>0</v>
      </c>
    </row>
    <row r="65" spans="1:8" x14ac:dyDescent="0.25">
      <c r="A65" t="s">
        <v>191</v>
      </c>
      <c r="B65" t="s">
        <v>232</v>
      </c>
      <c r="C65" t="s">
        <v>297</v>
      </c>
      <c r="D65" t="s">
        <v>43</v>
      </c>
      <c r="E65">
        <v>0</v>
      </c>
      <c r="F65">
        <v>0</v>
      </c>
      <c r="G65">
        <v>0</v>
      </c>
      <c r="H65">
        <v>0</v>
      </c>
    </row>
    <row r="66" spans="1:8" x14ac:dyDescent="0.25">
      <c r="A66" t="s">
        <v>190</v>
      </c>
      <c r="B66" t="s">
        <v>232</v>
      </c>
      <c r="C66" t="s">
        <v>266</v>
      </c>
      <c r="D66" t="s">
        <v>35</v>
      </c>
      <c r="E66">
        <v>0</v>
      </c>
      <c r="F66">
        <v>0</v>
      </c>
      <c r="G66">
        <v>0</v>
      </c>
      <c r="H66">
        <v>0</v>
      </c>
    </row>
    <row r="67" spans="1:8" x14ac:dyDescent="0.25">
      <c r="A67" t="s">
        <v>190</v>
      </c>
      <c r="B67" t="s">
        <v>232</v>
      </c>
      <c r="C67" t="s">
        <v>267</v>
      </c>
      <c r="D67" t="s">
        <v>36</v>
      </c>
      <c r="E67">
        <v>5</v>
      </c>
      <c r="F67">
        <v>1</v>
      </c>
      <c r="G67">
        <v>1</v>
      </c>
      <c r="H67">
        <v>3</v>
      </c>
    </row>
    <row r="68" spans="1:8" x14ac:dyDescent="0.25">
      <c r="A68" t="s">
        <v>190</v>
      </c>
      <c r="B68" t="s">
        <v>232</v>
      </c>
      <c r="C68" t="s">
        <v>268</v>
      </c>
      <c r="D68" t="s">
        <v>38</v>
      </c>
      <c r="E68">
        <v>0</v>
      </c>
      <c r="F68">
        <v>0</v>
      </c>
      <c r="G68">
        <v>0</v>
      </c>
      <c r="H68">
        <v>0</v>
      </c>
    </row>
    <row r="69" spans="1:8" x14ac:dyDescent="0.25">
      <c r="A69" t="s">
        <v>190</v>
      </c>
      <c r="B69" t="s">
        <v>232</v>
      </c>
      <c r="C69" t="s">
        <v>269</v>
      </c>
      <c r="D69" t="s">
        <v>40</v>
      </c>
      <c r="E69">
        <v>0</v>
      </c>
      <c r="F69">
        <v>0</v>
      </c>
      <c r="G69">
        <v>0</v>
      </c>
      <c r="H69">
        <v>0</v>
      </c>
    </row>
    <row r="70" spans="1:8" x14ac:dyDescent="0.25">
      <c r="A70" t="s">
        <v>190</v>
      </c>
      <c r="B70" t="s">
        <v>232</v>
      </c>
      <c r="C70" t="s">
        <v>270</v>
      </c>
      <c r="D70" t="s">
        <v>41</v>
      </c>
      <c r="E70">
        <v>0</v>
      </c>
      <c r="F70">
        <v>0</v>
      </c>
      <c r="G70">
        <v>0</v>
      </c>
      <c r="H70">
        <v>0</v>
      </c>
    </row>
    <row r="71" spans="1:8" x14ac:dyDescent="0.25">
      <c r="A71" t="s">
        <v>190</v>
      </c>
      <c r="B71" t="s">
        <v>232</v>
      </c>
      <c r="C71" t="s">
        <v>271</v>
      </c>
      <c r="D71" t="s">
        <v>48</v>
      </c>
      <c r="E71">
        <v>0</v>
      </c>
      <c r="F71">
        <v>0</v>
      </c>
      <c r="G71">
        <v>0</v>
      </c>
      <c r="H71">
        <v>0</v>
      </c>
    </row>
    <row r="72" spans="1:8" x14ac:dyDescent="0.25">
      <c r="A72" t="s">
        <v>190</v>
      </c>
      <c r="B72" t="s">
        <v>232</v>
      </c>
      <c r="C72" t="s">
        <v>272</v>
      </c>
      <c r="D72" t="s">
        <v>42</v>
      </c>
      <c r="E72">
        <v>0</v>
      </c>
      <c r="F72">
        <v>0</v>
      </c>
      <c r="G72">
        <v>0</v>
      </c>
      <c r="H72">
        <v>0</v>
      </c>
    </row>
    <row r="73" spans="1:8" x14ac:dyDescent="0.25">
      <c r="A73" t="s">
        <v>190</v>
      </c>
      <c r="B73" t="s">
        <v>232</v>
      </c>
      <c r="C73" t="s">
        <v>273</v>
      </c>
      <c r="D73" t="s">
        <v>44</v>
      </c>
      <c r="E73">
        <v>68</v>
      </c>
      <c r="F73">
        <v>8</v>
      </c>
      <c r="G73">
        <v>14</v>
      </c>
      <c r="H73">
        <v>46</v>
      </c>
    </row>
    <row r="74" spans="1:8" x14ac:dyDescent="0.25">
      <c r="A74" t="s">
        <v>190</v>
      </c>
      <c r="B74" t="s">
        <v>232</v>
      </c>
      <c r="C74" t="s">
        <v>274</v>
      </c>
      <c r="D74" t="s">
        <v>45</v>
      </c>
      <c r="E74">
        <v>0</v>
      </c>
      <c r="F74">
        <v>0</v>
      </c>
      <c r="G74">
        <v>0</v>
      </c>
      <c r="H74">
        <v>0</v>
      </c>
    </row>
    <row r="75" spans="1:8" x14ac:dyDescent="0.25">
      <c r="A75" t="s">
        <v>190</v>
      </c>
      <c r="B75" t="s">
        <v>232</v>
      </c>
      <c r="C75" t="s">
        <v>275</v>
      </c>
      <c r="D75" t="s">
        <v>46</v>
      </c>
      <c r="E75">
        <v>0</v>
      </c>
      <c r="F75">
        <v>0</v>
      </c>
      <c r="G75">
        <v>0</v>
      </c>
      <c r="H75">
        <v>0</v>
      </c>
    </row>
    <row r="76" spans="1:8" x14ac:dyDescent="0.25">
      <c r="A76" t="s">
        <v>190</v>
      </c>
      <c r="B76" t="s">
        <v>232</v>
      </c>
      <c r="C76" t="s">
        <v>276</v>
      </c>
      <c r="D76" t="s">
        <v>47</v>
      </c>
      <c r="E76">
        <v>20</v>
      </c>
      <c r="F76">
        <v>2</v>
      </c>
      <c r="G76">
        <v>1</v>
      </c>
      <c r="H76">
        <v>17</v>
      </c>
    </row>
    <row r="77" spans="1:8" x14ac:dyDescent="0.25">
      <c r="A77" t="s">
        <v>190</v>
      </c>
      <c r="B77" t="s">
        <v>232</v>
      </c>
      <c r="C77" t="s">
        <v>277</v>
      </c>
      <c r="D77" t="s">
        <v>49</v>
      </c>
      <c r="E77">
        <v>22</v>
      </c>
      <c r="F77">
        <v>3</v>
      </c>
      <c r="G77">
        <v>4</v>
      </c>
      <c r="H77">
        <v>15</v>
      </c>
    </row>
    <row r="78" spans="1:8" x14ac:dyDescent="0.25">
      <c r="A78" t="s">
        <v>190</v>
      </c>
      <c r="B78" t="s">
        <v>232</v>
      </c>
      <c r="C78" t="s">
        <v>278</v>
      </c>
      <c r="D78" t="s">
        <v>51</v>
      </c>
      <c r="E78">
        <v>0</v>
      </c>
      <c r="F78">
        <v>0</v>
      </c>
      <c r="G78">
        <v>0</v>
      </c>
      <c r="H78">
        <v>0</v>
      </c>
    </row>
    <row r="79" spans="1:8" x14ac:dyDescent="0.25">
      <c r="A79" t="s">
        <v>190</v>
      </c>
      <c r="B79" t="s">
        <v>232</v>
      </c>
      <c r="C79" t="s">
        <v>279</v>
      </c>
      <c r="D79" t="s">
        <v>52</v>
      </c>
      <c r="E79">
        <v>23</v>
      </c>
      <c r="F79">
        <v>0</v>
      </c>
      <c r="G79">
        <v>2</v>
      </c>
      <c r="H79">
        <v>21</v>
      </c>
    </row>
    <row r="80" spans="1:8" x14ac:dyDescent="0.25">
      <c r="A80" t="s">
        <v>190</v>
      </c>
      <c r="B80" t="s">
        <v>232</v>
      </c>
      <c r="C80" t="s">
        <v>280</v>
      </c>
      <c r="D80" t="s">
        <v>54</v>
      </c>
      <c r="E80">
        <v>0</v>
      </c>
      <c r="F80">
        <v>0</v>
      </c>
      <c r="G80">
        <v>0</v>
      </c>
      <c r="H80">
        <v>0</v>
      </c>
    </row>
    <row r="81" spans="1:8" x14ac:dyDescent="0.25">
      <c r="A81" t="s">
        <v>190</v>
      </c>
      <c r="B81" t="s">
        <v>232</v>
      </c>
      <c r="C81" t="s">
        <v>281</v>
      </c>
      <c r="D81" t="s">
        <v>55</v>
      </c>
      <c r="E81">
        <v>0</v>
      </c>
      <c r="F81">
        <v>0</v>
      </c>
      <c r="G81">
        <v>0</v>
      </c>
      <c r="H81">
        <v>0</v>
      </c>
    </row>
    <row r="82" spans="1:8" x14ac:dyDescent="0.25">
      <c r="A82" t="s">
        <v>190</v>
      </c>
      <c r="B82" t="s">
        <v>232</v>
      </c>
      <c r="C82" t="s">
        <v>282</v>
      </c>
      <c r="D82" t="s">
        <v>56</v>
      </c>
      <c r="E82">
        <v>0</v>
      </c>
      <c r="F82">
        <v>0</v>
      </c>
      <c r="G82">
        <v>0</v>
      </c>
      <c r="H82">
        <v>0</v>
      </c>
    </row>
    <row r="83" spans="1:8" x14ac:dyDescent="0.25">
      <c r="A83" t="s">
        <v>190</v>
      </c>
      <c r="B83" t="s">
        <v>232</v>
      </c>
      <c r="C83" t="s">
        <v>283</v>
      </c>
      <c r="D83" t="s">
        <v>57</v>
      </c>
      <c r="E83">
        <v>3</v>
      </c>
      <c r="F83">
        <v>0</v>
      </c>
      <c r="G83">
        <v>1</v>
      </c>
      <c r="H83">
        <v>2</v>
      </c>
    </row>
    <row r="84" spans="1:8" x14ac:dyDescent="0.25">
      <c r="A84" t="s">
        <v>190</v>
      </c>
      <c r="B84" t="s">
        <v>232</v>
      </c>
      <c r="C84" t="s">
        <v>284</v>
      </c>
      <c r="D84" t="s">
        <v>58</v>
      </c>
      <c r="E84">
        <v>0</v>
      </c>
      <c r="F84">
        <v>0</v>
      </c>
      <c r="G84">
        <v>0</v>
      </c>
      <c r="H84">
        <v>0</v>
      </c>
    </row>
    <row r="85" spans="1:8" x14ac:dyDescent="0.25">
      <c r="A85" t="s">
        <v>190</v>
      </c>
      <c r="B85" t="s">
        <v>232</v>
      </c>
      <c r="C85" t="s">
        <v>285</v>
      </c>
      <c r="D85" t="s">
        <v>31</v>
      </c>
      <c r="E85">
        <v>0</v>
      </c>
      <c r="F85">
        <v>0</v>
      </c>
      <c r="G85">
        <v>0</v>
      </c>
      <c r="H85">
        <v>0</v>
      </c>
    </row>
    <row r="86" spans="1:8" x14ac:dyDescent="0.25">
      <c r="A86" t="s">
        <v>190</v>
      </c>
      <c r="B86" t="s">
        <v>232</v>
      </c>
      <c r="C86" t="s">
        <v>286</v>
      </c>
      <c r="D86" t="s">
        <v>32</v>
      </c>
      <c r="E86">
        <v>0</v>
      </c>
      <c r="F86">
        <v>0</v>
      </c>
      <c r="G86">
        <v>0</v>
      </c>
      <c r="H86">
        <v>0</v>
      </c>
    </row>
    <row r="87" spans="1:8" x14ac:dyDescent="0.25">
      <c r="A87" t="s">
        <v>190</v>
      </c>
      <c r="B87" t="s">
        <v>232</v>
      </c>
      <c r="C87" t="s">
        <v>287</v>
      </c>
      <c r="D87" t="s">
        <v>34</v>
      </c>
      <c r="E87">
        <v>201</v>
      </c>
      <c r="F87">
        <v>22</v>
      </c>
      <c r="G87">
        <v>23</v>
      </c>
      <c r="H87">
        <v>156</v>
      </c>
    </row>
    <row r="88" spans="1:8" x14ac:dyDescent="0.25">
      <c r="A88" t="s">
        <v>190</v>
      </c>
      <c r="B88" t="s">
        <v>232</v>
      </c>
      <c r="C88" t="s">
        <v>288</v>
      </c>
      <c r="D88" t="s">
        <v>243</v>
      </c>
      <c r="E88">
        <v>0</v>
      </c>
      <c r="F88">
        <v>0</v>
      </c>
      <c r="G88">
        <v>0</v>
      </c>
      <c r="H88">
        <v>0</v>
      </c>
    </row>
    <row r="89" spans="1:8" x14ac:dyDescent="0.25">
      <c r="A89" t="s">
        <v>190</v>
      </c>
      <c r="B89" t="s">
        <v>232</v>
      </c>
      <c r="C89" t="s">
        <v>289</v>
      </c>
      <c r="D89" t="s">
        <v>53</v>
      </c>
      <c r="E89">
        <v>0</v>
      </c>
      <c r="F89">
        <v>0</v>
      </c>
      <c r="G89">
        <v>0</v>
      </c>
      <c r="H89">
        <v>0</v>
      </c>
    </row>
    <row r="90" spans="1:8" x14ac:dyDescent="0.25">
      <c r="A90" t="s">
        <v>190</v>
      </c>
      <c r="B90" t="s">
        <v>232</v>
      </c>
      <c r="C90" t="s">
        <v>290</v>
      </c>
      <c r="D90" t="s">
        <v>59</v>
      </c>
      <c r="E90">
        <v>0</v>
      </c>
      <c r="F90">
        <v>0</v>
      </c>
      <c r="G90">
        <v>0</v>
      </c>
      <c r="H90">
        <v>0</v>
      </c>
    </row>
    <row r="91" spans="1:8" x14ac:dyDescent="0.25">
      <c r="A91" t="s">
        <v>190</v>
      </c>
      <c r="B91" t="s">
        <v>232</v>
      </c>
      <c r="C91" t="s">
        <v>291</v>
      </c>
      <c r="D91" t="s">
        <v>60</v>
      </c>
      <c r="E91">
        <v>0</v>
      </c>
      <c r="F91">
        <v>0</v>
      </c>
      <c r="G91">
        <v>0</v>
      </c>
      <c r="H91">
        <v>0</v>
      </c>
    </row>
    <row r="92" spans="1:8" x14ac:dyDescent="0.25">
      <c r="A92" t="s">
        <v>190</v>
      </c>
      <c r="B92" t="s">
        <v>232</v>
      </c>
      <c r="C92" t="s">
        <v>292</v>
      </c>
      <c r="D92" t="s">
        <v>33</v>
      </c>
      <c r="E92">
        <v>0</v>
      </c>
      <c r="F92">
        <v>0</v>
      </c>
      <c r="G92">
        <v>0</v>
      </c>
      <c r="H92">
        <v>0</v>
      </c>
    </row>
    <row r="93" spans="1:8" x14ac:dyDescent="0.25">
      <c r="A93" t="s">
        <v>190</v>
      </c>
      <c r="B93" t="s">
        <v>232</v>
      </c>
      <c r="C93" t="s">
        <v>293</v>
      </c>
      <c r="D93" t="s">
        <v>37</v>
      </c>
      <c r="E93">
        <v>0</v>
      </c>
      <c r="F93">
        <v>0</v>
      </c>
      <c r="G93">
        <v>0</v>
      </c>
      <c r="H93">
        <v>0</v>
      </c>
    </row>
    <row r="94" spans="1:8" x14ac:dyDescent="0.25">
      <c r="A94" t="s">
        <v>190</v>
      </c>
      <c r="B94" t="s">
        <v>232</v>
      </c>
      <c r="C94" t="s">
        <v>294</v>
      </c>
      <c r="D94" t="s">
        <v>50</v>
      </c>
      <c r="E94">
        <v>0</v>
      </c>
      <c r="F94">
        <v>0</v>
      </c>
      <c r="G94">
        <v>0</v>
      </c>
      <c r="H94">
        <v>0</v>
      </c>
    </row>
    <row r="95" spans="1:8" x14ac:dyDescent="0.25">
      <c r="A95" t="s">
        <v>190</v>
      </c>
      <c r="B95" t="s">
        <v>232</v>
      </c>
      <c r="C95" t="s">
        <v>295</v>
      </c>
      <c r="D95" t="s">
        <v>39</v>
      </c>
      <c r="E95">
        <v>0</v>
      </c>
      <c r="F95">
        <v>0</v>
      </c>
      <c r="G95">
        <v>0</v>
      </c>
      <c r="H95">
        <v>0</v>
      </c>
    </row>
    <row r="96" spans="1:8" x14ac:dyDescent="0.25">
      <c r="A96" t="s">
        <v>190</v>
      </c>
      <c r="B96" t="s">
        <v>232</v>
      </c>
      <c r="C96" t="s">
        <v>296</v>
      </c>
      <c r="D96" t="s">
        <v>117</v>
      </c>
      <c r="E96">
        <v>0</v>
      </c>
      <c r="F96">
        <v>0</v>
      </c>
      <c r="G96">
        <v>0</v>
      </c>
      <c r="H96">
        <v>0</v>
      </c>
    </row>
    <row r="97" spans="1:8" x14ac:dyDescent="0.25">
      <c r="A97" t="s">
        <v>190</v>
      </c>
      <c r="B97" t="s">
        <v>232</v>
      </c>
      <c r="C97" t="s">
        <v>297</v>
      </c>
      <c r="D97" t="s">
        <v>43</v>
      </c>
      <c r="E97">
        <v>0</v>
      </c>
      <c r="F97">
        <v>0</v>
      </c>
      <c r="G97">
        <v>0</v>
      </c>
      <c r="H97">
        <v>0</v>
      </c>
    </row>
    <row r="98" spans="1:8" x14ac:dyDescent="0.25">
      <c r="A98" t="s">
        <v>257</v>
      </c>
      <c r="B98" t="s">
        <v>232</v>
      </c>
      <c r="C98" t="s">
        <v>266</v>
      </c>
      <c r="D98" t="s">
        <v>35</v>
      </c>
      <c r="E98">
        <v>0</v>
      </c>
      <c r="F98">
        <v>0</v>
      </c>
      <c r="G98">
        <v>0</v>
      </c>
      <c r="H98">
        <v>0</v>
      </c>
    </row>
    <row r="99" spans="1:8" x14ac:dyDescent="0.25">
      <c r="A99" t="s">
        <v>257</v>
      </c>
      <c r="B99" t="s">
        <v>232</v>
      </c>
      <c r="C99" t="s">
        <v>267</v>
      </c>
      <c r="D99" t="s">
        <v>36</v>
      </c>
      <c r="E99">
        <v>5</v>
      </c>
      <c r="F99">
        <v>1</v>
      </c>
      <c r="G99">
        <v>1</v>
      </c>
      <c r="H99">
        <v>3</v>
      </c>
    </row>
    <row r="100" spans="1:8" x14ac:dyDescent="0.25">
      <c r="A100" t="s">
        <v>257</v>
      </c>
      <c r="B100" t="s">
        <v>232</v>
      </c>
      <c r="C100" t="s">
        <v>268</v>
      </c>
      <c r="D100" t="s">
        <v>38</v>
      </c>
      <c r="E100">
        <v>0</v>
      </c>
      <c r="F100">
        <v>0</v>
      </c>
      <c r="G100">
        <v>0</v>
      </c>
      <c r="H100">
        <v>0</v>
      </c>
    </row>
    <row r="101" spans="1:8" x14ac:dyDescent="0.25">
      <c r="A101" t="s">
        <v>257</v>
      </c>
      <c r="B101" t="s">
        <v>232</v>
      </c>
      <c r="C101" t="s">
        <v>269</v>
      </c>
      <c r="D101" t="s">
        <v>40</v>
      </c>
      <c r="E101">
        <v>0</v>
      </c>
      <c r="F101">
        <v>0</v>
      </c>
      <c r="G101">
        <v>0</v>
      </c>
      <c r="H101">
        <v>0</v>
      </c>
    </row>
    <row r="102" spans="1:8" x14ac:dyDescent="0.25">
      <c r="A102" t="s">
        <v>257</v>
      </c>
      <c r="B102" t="s">
        <v>232</v>
      </c>
      <c r="C102" t="s">
        <v>270</v>
      </c>
      <c r="D102" t="s">
        <v>41</v>
      </c>
      <c r="E102">
        <v>0</v>
      </c>
      <c r="F102">
        <v>0</v>
      </c>
      <c r="G102">
        <v>0</v>
      </c>
      <c r="H102">
        <v>0</v>
      </c>
    </row>
    <row r="103" spans="1:8" x14ac:dyDescent="0.25">
      <c r="A103" t="s">
        <v>257</v>
      </c>
      <c r="B103" t="s">
        <v>232</v>
      </c>
      <c r="C103" t="s">
        <v>271</v>
      </c>
      <c r="D103" t="s">
        <v>48</v>
      </c>
      <c r="E103">
        <v>0</v>
      </c>
      <c r="F103">
        <v>0</v>
      </c>
      <c r="G103">
        <v>0</v>
      </c>
      <c r="H103">
        <v>0</v>
      </c>
    </row>
    <row r="104" spans="1:8" x14ac:dyDescent="0.25">
      <c r="A104" t="s">
        <v>257</v>
      </c>
      <c r="B104" t="s">
        <v>232</v>
      </c>
      <c r="C104" t="s">
        <v>272</v>
      </c>
      <c r="D104" t="s">
        <v>42</v>
      </c>
      <c r="E104">
        <v>0</v>
      </c>
      <c r="F104">
        <v>0</v>
      </c>
      <c r="G104">
        <v>0</v>
      </c>
      <c r="H104">
        <v>0</v>
      </c>
    </row>
    <row r="105" spans="1:8" x14ac:dyDescent="0.25">
      <c r="A105" t="s">
        <v>257</v>
      </c>
      <c r="B105" t="s">
        <v>232</v>
      </c>
      <c r="C105" t="s">
        <v>273</v>
      </c>
      <c r="D105" t="s">
        <v>44</v>
      </c>
      <c r="E105">
        <v>67</v>
      </c>
      <c r="F105">
        <v>7</v>
      </c>
      <c r="G105">
        <v>13</v>
      </c>
      <c r="H105">
        <v>47</v>
      </c>
    </row>
    <row r="106" spans="1:8" x14ac:dyDescent="0.25">
      <c r="A106" t="s">
        <v>257</v>
      </c>
      <c r="B106" t="s">
        <v>232</v>
      </c>
      <c r="C106" t="s">
        <v>274</v>
      </c>
      <c r="D106" t="s">
        <v>45</v>
      </c>
      <c r="E106">
        <v>0</v>
      </c>
      <c r="F106">
        <v>0</v>
      </c>
      <c r="G106">
        <v>0</v>
      </c>
      <c r="H106">
        <v>0</v>
      </c>
    </row>
    <row r="107" spans="1:8" x14ac:dyDescent="0.25">
      <c r="A107" t="s">
        <v>257</v>
      </c>
      <c r="B107" t="s">
        <v>232</v>
      </c>
      <c r="C107" t="s">
        <v>275</v>
      </c>
      <c r="D107" t="s">
        <v>46</v>
      </c>
      <c r="E107">
        <v>0</v>
      </c>
      <c r="F107">
        <v>0</v>
      </c>
      <c r="G107">
        <v>0</v>
      </c>
      <c r="H107">
        <v>0</v>
      </c>
    </row>
    <row r="108" spans="1:8" x14ac:dyDescent="0.25">
      <c r="A108" t="s">
        <v>257</v>
      </c>
      <c r="B108" t="s">
        <v>232</v>
      </c>
      <c r="C108" t="s">
        <v>276</v>
      </c>
      <c r="D108" t="s">
        <v>47</v>
      </c>
      <c r="E108">
        <v>4</v>
      </c>
      <c r="F108">
        <v>1</v>
      </c>
      <c r="G108">
        <v>2</v>
      </c>
      <c r="H108">
        <v>1</v>
      </c>
    </row>
    <row r="109" spans="1:8" x14ac:dyDescent="0.25">
      <c r="A109" t="s">
        <v>257</v>
      </c>
      <c r="B109" t="s">
        <v>232</v>
      </c>
      <c r="C109" t="s">
        <v>277</v>
      </c>
      <c r="D109" t="s">
        <v>49</v>
      </c>
      <c r="E109">
        <v>18</v>
      </c>
      <c r="F109">
        <v>3</v>
      </c>
      <c r="G109">
        <v>4</v>
      </c>
      <c r="H109">
        <v>11</v>
      </c>
    </row>
    <row r="110" spans="1:8" x14ac:dyDescent="0.25">
      <c r="A110" t="s">
        <v>257</v>
      </c>
      <c r="B110" t="s">
        <v>232</v>
      </c>
      <c r="C110" t="s">
        <v>278</v>
      </c>
      <c r="D110" t="s">
        <v>51</v>
      </c>
      <c r="E110">
        <v>0</v>
      </c>
      <c r="F110">
        <v>0</v>
      </c>
      <c r="G110">
        <v>0</v>
      </c>
      <c r="H110">
        <v>0</v>
      </c>
    </row>
    <row r="111" spans="1:8" x14ac:dyDescent="0.25">
      <c r="A111" t="s">
        <v>257</v>
      </c>
      <c r="B111" t="s">
        <v>232</v>
      </c>
      <c r="C111" t="s">
        <v>279</v>
      </c>
      <c r="D111" t="s">
        <v>52</v>
      </c>
      <c r="E111">
        <v>23</v>
      </c>
      <c r="F111">
        <v>0</v>
      </c>
      <c r="G111">
        <v>3</v>
      </c>
      <c r="H111">
        <v>20</v>
      </c>
    </row>
    <row r="112" spans="1:8" x14ac:dyDescent="0.25">
      <c r="A112" t="s">
        <v>257</v>
      </c>
      <c r="B112" t="s">
        <v>232</v>
      </c>
      <c r="C112" t="s">
        <v>280</v>
      </c>
      <c r="D112" t="s">
        <v>54</v>
      </c>
      <c r="E112">
        <v>0</v>
      </c>
      <c r="F112">
        <v>0</v>
      </c>
      <c r="G112">
        <v>0</v>
      </c>
      <c r="H112">
        <v>0</v>
      </c>
    </row>
    <row r="113" spans="1:8" x14ac:dyDescent="0.25">
      <c r="A113" t="s">
        <v>257</v>
      </c>
      <c r="B113" t="s">
        <v>232</v>
      </c>
      <c r="C113" t="s">
        <v>281</v>
      </c>
      <c r="D113" t="s">
        <v>55</v>
      </c>
      <c r="E113">
        <v>0</v>
      </c>
      <c r="F113">
        <v>0</v>
      </c>
      <c r="G113">
        <v>0</v>
      </c>
      <c r="H113">
        <v>0</v>
      </c>
    </row>
    <row r="114" spans="1:8" x14ac:dyDescent="0.25">
      <c r="A114" t="s">
        <v>257</v>
      </c>
      <c r="B114" t="s">
        <v>232</v>
      </c>
      <c r="C114" t="s">
        <v>282</v>
      </c>
      <c r="D114" t="s">
        <v>56</v>
      </c>
      <c r="E114">
        <v>0</v>
      </c>
      <c r="F114">
        <v>0</v>
      </c>
      <c r="G114">
        <v>0</v>
      </c>
      <c r="H114">
        <v>0</v>
      </c>
    </row>
    <row r="115" spans="1:8" x14ac:dyDescent="0.25">
      <c r="A115" t="s">
        <v>257</v>
      </c>
      <c r="B115" t="s">
        <v>232</v>
      </c>
      <c r="C115" t="s">
        <v>283</v>
      </c>
      <c r="D115" t="s">
        <v>57</v>
      </c>
      <c r="E115">
        <v>3</v>
      </c>
      <c r="F115">
        <v>1</v>
      </c>
      <c r="G115">
        <v>0</v>
      </c>
      <c r="H115">
        <v>2</v>
      </c>
    </row>
    <row r="116" spans="1:8" x14ac:dyDescent="0.25">
      <c r="A116" t="s">
        <v>257</v>
      </c>
      <c r="B116" t="s">
        <v>232</v>
      </c>
      <c r="C116" t="s">
        <v>284</v>
      </c>
      <c r="D116" t="s">
        <v>58</v>
      </c>
      <c r="E116">
        <v>0</v>
      </c>
      <c r="F116">
        <v>0</v>
      </c>
      <c r="G116">
        <v>0</v>
      </c>
      <c r="H116">
        <v>0</v>
      </c>
    </row>
    <row r="117" spans="1:8" x14ac:dyDescent="0.25">
      <c r="A117" t="s">
        <v>257</v>
      </c>
      <c r="B117" t="s">
        <v>232</v>
      </c>
      <c r="C117" t="s">
        <v>285</v>
      </c>
      <c r="D117" t="s">
        <v>31</v>
      </c>
      <c r="E117">
        <v>0</v>
      </c>
      <c r="F117">
        <v>0</v>
      </c>
      <c r="G117">
        <v>0</v>
      </c>
      <c r="H117">
        <v>0</v>
      </c>
    </row>
    <row r="118" spans="1:8" x14ac:dyDescent="0.25">
      <c r="A118" t="s">
        <v>257</v>
      </c>
      <c r="B118" t="s">
        <v>232</v>
      </c>
      <c r="C118" t="s">
        <v>286</v>
      </c>
      <c r="D118" t="s">
        <v>32</v>
      </c>
      <c r="E118">
        <v>0</v>
      </c>
      <c r="F118">
        <v>0</v>
      </c>
      <c r="G118">
        <v>0</v>
      </c>
      <c r="H118">
        <v>0</v>
      </c>
    </row>
    <row r="119" spans="1:8" x14ac:dyDescent="0.25">
      <c r="A119" t="s">
        <v>257</v>
      </c>
      <c r="B119" t="s">
        <v>232</v>
      </c>
      <c r="C119" t="s">
        <v>287</v>
      </c>
      <c r="D119" t="s">
        <v>34</v>
      </c>
      <c r="E119">
        <v>200</v>
      </c>
      <c r="F119">
        <v>24</v>
      </c>
      <c r="G119">
        <v>21</v>
      </c>
      <c r="H119">
        <v>155</v>
      </c>
    </row>
    <row r="120" spans="1:8" x14ac:dyDescent="0.25">
      <c r="A120" t="s">
        <v>257</v>
      </c>
      <c r="B120" t="s">
        <v>232</v>
      </c>
      <c r="C120" t="s">
        <v>288</v>
      </c>
      <c r="D120" t="s">
        <v>243</v>
      </c>
      <c r="E120">
        <v>0</v>
      </c>
      <c r="F120">
        <v>0</v>
      </c>
      <c r="G120">
        <v>0</v>
      </c>
      <c r="H120">
        <v>0</v>
      </c>
    </row>
    <row r="121" spans="1:8" x14ac:dyDescent="0.25">
      <c r="A121" t="s">
        <v>257</v>
      </c>
      <c r="B121" t="s">
        <v>232</v>
      </c>
      <c r="C121" t="s">
        <v>289</v>
      </c>
      <c r="D121" t="s">
        <v>53</v>
      </c>
      <c r="E121">
        <v>0</v>
      </c>
      <c r="F121">
        <v>0</v>
      </c>
      <c r="G121">
        <v>0</v>
      </c>
      <c r="H121">
        <v>0</v>
      </c>
    </row>
    <row r="122" spans="1:8" x14ac:dyDescent="0.25">
      <c r="A122" t="s">
        <v>257</v>
      </c>
      <c r="B122" t="s">
        <v>232</v>
      </c>
      <c r="C122" t="s">
        <v>290</v>
      </c>
      <c r="D122" t="s">
        <v>59</v>
      </c>
      <c r="E122">
        <v>0</v>
      </c>
      <c r="F122">
        <v>0</v>
      </c>
      <c r="G122">
        <v>0</v>
      </c>
      <c r="H122">
        <v>0</v>
      </c>
    </row>
    <row r="123" spans="1:8" x14ac:dyDescent="0.25">
      <c r="A123" t="s">
        <v>257</v>
      </c>
      <c r="B123" t="s">
        <v>232</v>
      </c>
      <c r="C123" t="s">
        <v>291</v>
      </c>
      <c r="D123" t="s">
        <v>60</v>
      </c>
      <c r="E123">
        <v>0</v>
      </c>
      <c r="F123">
        <v>0</v>
      </c>
      <c r="G123">
        <v>0</v>
      </c>
      <c r="H123">
        <v>0</v>
      </c>
    </row>
    <row r="124" spans="1:8" x14ac:dyDescent="0.25">
      <c r="A124" t="s">
        <v>257</v>
      </c>
      <c r="B124" t="s">
        <v>232</v>
      </c>
      <c r="C124" t="s">
        <v>292</v>
      </c>
      <c r="D124" t="s">
        <v>33</v>
      </c>
      <c r="E124">
        <v>0</v>
      </c>
      <c r="F124">
        <v>0</v>
      </c>
      <c r="G124">
        <v>0</v>
      </c>
      <c r="H124">
        <v>0</v>
      </c>
    </row>
    <row r="125" spans="1:8" x14ac:dyDescent="0.25">
      <c r="A125" t="s">
        <v>257</v>
      </c>
      <c r="B125" t="s">
        <v>232</v>
      </c>
      <c r="C125" t="s">
        <v>293</v>
      </c>
      <c r="D125" t="s">
        <v>37</v>
      </c>
      <c r="E125">
        <v>0</v>
      </c>
      <c r="F125">
        <v>0</v>
      </c>
      <c r="G125">
        <v>0</v>
      </c>
      <c r="H125">
        <v>0</v>
      </c>
    </row>
    <row r="126" spans="1:8" x14ac:dyDescent="0.25">
      <c r="A126" t="s">
        <v>257</v>
      </c>
      <c r="B126" t="s">
        <v>232</v>
      </c>
      <c r="C126" t="s">
        <v>294</v>
      </c>
      <c r="D126" t="s">
        <v>50</v>
      </c>
      <c r="E126">
        <v>0</v>
      </c>
      <c r="F126">
        <v>0</v>
      </c>
      <c r="G126">
        <v>0</v>
      </c>
      <c r="H126">
        <v>0</v>
      </c>
    </row>
    <row r="127" spans="1:8" x14ac:dyDescent="0.25">
      <c r="A127" t="s">
        <v>257</v>
      </c>
      <c r="B127" t="s">
        <v>232</v>
      </c>
      <c r="C127" t="s">
        <v>295</v>
      </c>
      <c r="D127" t="s">
        <v>39</v>
      </c>
      <c r="E127">
        <v>0</v>
      </c>
      <c r="F127">
        <v>0</v>
      </c>
      <c r="G127">
        <v>0</v>
      </c>
      <c r="H127">
        <v>0</v>
      </c>
    </row>
    <row r="128" spans="1:8" x14ac:dyDescent="0.25">
      <c r="A128" t="s">
        <v>257</v>
      </c>
      <c r="B128" t="s">
        <v>232</v>
      </c>
      <c r="C128" t="s">
        <v>296</v>
      </c>
      <c r="D128" t="s">
        <v>117</v>
      </c>
      <c r="E128">
        <v>0</v>
      </c>
      <c r="F128">
        <v>0</v>
      </c>
      <c r="G128">
        <v>0</v>
      </c>
      <c r="H128">
        <v>0</v>
      </c>
    </row>
    <row r="129" spans="1:8" x14ac:dyDescent="0.25">
      <c r="A129" t="s">
        <v>257</v>
      </c>
      <c r="B129" t="s">
        <v>232</v>
      </c>
      <c r="C129" t="s">
        <v>297</v>
      </c>
      <c r="D129" t="s">
        <v>43</v>
      </c>
      <c r="E129">
        <v>0</v>
      </c>
      <c r="F129">
        <v>0</v>
      </c>
      <c r="G129">
        <v>0</v>
      </c>
      <c r="H129">
        <v>0</v>
      </c>
    </row>
    <row r="130" spans="1:8" x14ac:dyDescent="0.25">
      <c r="A130" t="s">
        <v>240</v>
      </c>
      <c r="B130" t="s">
        <v>232</v>
      </c>
      <c r="C130" t="s">
        <v>267</v>
      </c>
      <c r="D130" t="s">
        <v>36</v>
      </c>
      <c r="E130">
        <v>4</v>
      </c>
      <c r="F130">
        <v>1</v>
      </c>
      <c r="H130">
        <v>3</v>
      </c>
    </row>
    <row r="131" spans="1:8" x14ac:dyDescent="0.25">
      <c r="A131" t="s">
        <v>240</v>
      </c>
      <c r="B131" t="s">
        <v>232</v>
      </c>
      <c r="C131" t="s">
        <v>273</v>
      </c>
      <c r="D131" t="s">
        <v>44</v>
      </c>
      <c r="E131">
        <v>64</v>
      </c>
      <c r="F131">
        <v>7</v>
      </c>
      <c r="G131">
        <v>11</v>
      </c>
      <c r="H131">
        <v>46</v>
      </c>
    </row>
    <row r="132" spans="1:8" x14ac:dyDescent="0.25">
      <c r="A132" t="s">
        <v>240</v>
      </c>
      <c r="B132" t="s">
        <v>232</v>
      </c>
      <c r="C132" t="s">
        <v>276</v>
      </c>
      <c r="D132" t="s">
        <v>47</v>
      </c>
      <c r="E132">
        <v>4</v>
      </c>
      <c r="F132">
        <v>2</v>
      </c>
      <c r="G132">
        <v>1</v>
      </c>
      <c r="H132">
        <v>1</v>
      </c>
    </row>
    <row r="133" spans="1:8" x14ac:dyDescent="0.25">
      <c r="A133" t="s">
        <v>240</v>
      </c>
      <c r="B133" t="s">
        <v>232</v>
      </c>
      <c r="C133" t="s">
        <v>277</v>
      </c>
      <c r="D133" t="s">
        <v>49</v>
      </c>
      <c r="E133">
        <v>23</v>
      </c>
      <c r="F133">
        <v>3</v>
      </c>
      <c r="G133">
        <v>3</v>
      </c>
      <c r="H133">
        <v>17</v>
      </c>
    </row>
    <row r="134" spans="1:8" x14ac:dyDescent="0.25">
      <c r="A134" t="s">
        <v>240</v>
      </c>
      <c r="B134" t="s">
        <v>232</v>
      </c>
      <c r="C134" t="s">
        <v>279</v>
      </c>
      <c r="D134" t="s">
        <v>52</v>
      </c>
      <c r="E134">
        <v>28</v>
      </c>
      <c r="G134">
        <v>3</v>
      </c>
      <c r="H134">
        <v>25</v>
      </c>
    </row>
    <row r="135" spans="1:8" x14ac:dyDescent="0.25">
      <c r="A135" t="s">
        <v>240</v>
      </c>
      <c r="B135" t="s">
        <v>232</v>
      </c>
      <c r="C135" t="s">
        <v>283</v>
      </c>
      <c r="D135" t="s">
        <v>57</v>
      </c>
      <c r="E135">
        <v>2</v>
      </c>
      <c r="F135">
        <v>1</v>
      </c>
      <c r="H135">
        <v>1</v>
      </c>
    </row>
    <row r="136" spans="1:8" x14ac:dyDescent="0.25">
      <c r="A136" t="s">
        <v>240</v>
      </c>
      <c r="B136" t="s">
        <v>232</v>
      </c>
      <c r="C136" t="s">
        <v>287</v>
      </c>
      <c r="D136" t="s">
        <v>34</v>
      </c>
      <c r="E136">
        <v>211</v>
      </c>
      <c r="F136">
        <v>25</v>
      </c>
      <c r="G136">
        <v>22</v>
      </c>
      <c r="H136">
        <v>164</v>
      </c>
    </row>
    <row r="137" spans="1:8" x14ac:dyDescent="0.25">
      <c r="A137" t="s">
        <v>239</v>
      </c>
      <c r="B137" t="s">
        <v>232</v>
      </c>
      <c r="C137" t="s">
        <v>267</v>
      </c>
      <c r="D137" t="s">
        <v>36</v>
      </c>
      <c r="E137">
        <v>6</v>
      </c>
      <c r="F137">
        <v>1</v>
      </c>
      <c r="G137">
        <v>0</v>
      </c>
      <c r="H137">
        <v>5</v>
      </c>
    </row>
    <row r="138" spans="1:8" x14ac:dyDescent="0.25">
      <c r="A138" t="s">
        <v>239</v>
      </c>
      <c r="B138" t="s">
        <v>232</v>
      </c>
      <c r="C138" t="s">
        <v>273</v>
      </c>
      <c r="D138" t="s">
        <v>44</v>
      </c>
      <c r="E138">
        <v>62</v>
      </c>
      <c r="F138">
        <v>7</v>
      </c>
      <c r="G138">
        <v>12</v>
      </c>
      <c r="H138">
        <v>43</v>
      </c>
    </row>
    <row r="139" spans="1:8" x14ac:dyDescent="0.25">
      <c r="A139" t="s">
        <v>239</v>
      </c>
      <c r="B139" t="s">
        <v>232</v>
      </c>
      <c r="C139" t="s">
        <v>276</v>
      </c>
      <c r="D139" t="s">
        <v>47</v>
      </c>
      <c r="E139">
        <v>4</v>
      </c>
      <c r="F139">
        <v>1</v>
      </c>
      <c r="G139">
        <v>2</v>
      </c>
      <c r="H139">
        <v>1</v>
      </c>
    </row>
    <row r="140" spans="1:8" x14ac:dyDescent="0.25">
      <c r="A140" t="s">
        <v>239</v>
      </c>
      <c r="B140" t="s">
        <v>232</v>
      </c>
      <c r="C140" t="s">
        <v>277</v>
      </c>
      <c r="D140" t="s">
        <v>49</v>
      </c>
      <c r="E140">
        <v>22</v>
      </c>
      <c r="F140">
        <v>3</v>
      </c>
      <c r="G140">
        <v>3</v>
      </c>
      <c r="H140">
        <v>16</v>
      </c>
    </row>
    <row r="141" spans="1:8" x14ac:dyDescent="0.25">
      <c r="A141" t="s">
        <v>239</v>
      </c>
      <c r="B141" t="s">
        <v>232</v>
      </c>
      <c r="C141" t="s">
        <v>283</v>
      </c>
      <c r="D141" t="s">
        <v>57</v>
      </c>
      <c r="E141">
        <v>2</v>
      </c>
      <c r="F141">
        <v>1</v>
      </c>
      <c r="G141">
        <v>0</v>
      </c>
      <c r="H141">
        <v>1</v>
      </c>
    </row>
    <row r="142" spans="1:8" x14ac:dyDescent="0.25">
      <c r="A142" t="s">
        <v>239</v>
      </c>
      <c r="B142" t="s">
        <v>232</v>
      </c>
      <c r="C142" t="s">
        <v>287</v>
      </c>
      <c r="D142" t="s">
        <v>34</v>
      </c>
      <c r="E142">
        <v>203</v>
      </c>
      <c r="F142">
        <v>25</v>
      </c>
      <c r="G142">
        <v>22</v>
      </c>
      <c r="H142">
        <v>156</v>
      </c>
    </row>
    <row r="143" spans="1:8" x14ac:dyDescent="0.25">
      <c r="A143" t="s">
        <v>239</v>
      </c>
      <c r="B143" t="s">
        <v>232</v>
      </c>
      <c r="C143" t="s">
        <v>945</v>
      </c>
      <c r="D143" t="s">
        <v>52</v>
      </c>
      <c r="E143">
        <v>22</v>
      </c>
      <c r="F143">
        <v>0</v>
      </c>
      <c r="G143">
        <v>3</v>
      </c>
      <c r="H143">
        <v>19</v>
      </c>
    </row>
    <row r="144" spans="1:8" x14ac:dyDescent="0.25">
      <c r="A144" t="s">
        <v>760</v>
      </c>
      <c r="B144" t="s">
        <v>232</v>
      </c>
      <c r="C144" t="s">
        <v>362</v>
      </c>
      <c r="D144" t="s">
        <v>34</v>
      </c>
      <c r="E144">
        <v>212</v>
      </c>
      <c r="F144">
        <v>25</v>
      </c>
      <c r="G144">
        <v>22</v>
      </c>
      <c r="H144">
        <v>165</v>
      </c>
    </row>
    <row r="145" spans="1:8" x14ac:dyDescent="0.25">
      <c r="A145" t="s">
        <v>760</v>
      </c>
      <c r="B145" t="s">
        <v>232</v>
      </c>
      <c r="C145" t="s">
        <v>362</v>
      </c>
      <c r="D145" t="s">
        <v>36</v>
      </c>
      <c r="E145">
        <v>5</v>
      </c>
      <c r="F145">
        <v>1</v>
      </c>
      <c r="G145">
        <v>1</v>
      </c>
      <c r="H145">
        <v>3</v>
      </c>
    </row>
    <row r="146" spans="1:8" x14ac:dyDescent="0.25">
      <c r="A146" t="s">
        <v>760</v>
      </c>
      <c r="B146" t="s">
        <v>232</v>
      </c>
      <c r="C146" t="s">
        <v>362</v>
      </c>
      <c r="D146" t="s">
        <v>49</v>
      </c>
      <c r="E146">
        <v>22</v>
      </c>
      <c r="F146">
        <v>3</v>
      </c>
      <c r="G146">
        <v>3</v>
      </c>
      <c r="H146">
        <v>16</v>
      </c>
    </row>
    <row r="147" spans="1:8" x14ac:dyDescent="0.25">
      <c r="A147" t="s">
        <v>760</v>
      </c>
      <c r="B147" t="s">
        <v>232</v>
      </c>
      <c r="C147" t="s">
        <v>362</v>
      </c>
      <c r="D147" t="s">
        <v>57</v>
      </c>
      <c r="E147">
        <v>2</v>
      </c>
      <c r="F147">
        <v>1</v>
      </c>
      <c r="G147">
        <v>0</v>
      </c>
      <c r="H147">
        <v>1</v>
      </c>
    </row>
    <row r="148" spans="1:8" x14ac:dyDescent="0.25">
      <c r="A148" t="s">
        <v>760</v>
      </c>
      <c r="B148" t="s">
        <v>232</v>
      </c>
      <c r="C148" t="s">
        <v>363</v>
      </c>
      <c r="D148" t="s">
        <v>44</v>
      </c>
      <c r="E148">
        <v>49</v>
      </c>
      <c r="F148">
        <v>6</v>
      </c>
      <c r="G148">
        <v>10</v>
      </c>
      <c r="H148">
        <v>33</v>
      </c>
    </row>
    <row r="149" spans="1:8" x14ac:dyDescent="0.25">
      <c r="A149" t="s">
        <v>760</v>
      </c>
      <c r="B149" t="s">
        <v>232</v>
      </c>
      <c r="C149" t="s">
        <v>363</v>
      </c>
      <c r="D149" t="s">
        <v>47</v>
      </c>
      <c r="E149">
        <v>4</v>
      </c>
      <c r="F149">
        <v>1</v>
      </c>
      <c r="G149">
        <v>2</v>
      </c>
      <c r="H149">
        <v>1</v>
      </c>
    </row>
    <row r="150" spans="1:8" x14ac:dyDescent="0.25">
      <c r="A150" t="s">
        <v>760</v>
      </c>
      <c r="B150" t="s">
        <v>232</v>
      </c>
      <c r="C150" t="s">
        <v>363</v>
      </c>
      <c r="D150" t="s">
        <v>52</v>
      </c>
      <c r="E150">
        <v>21</v>
      </c>
      <c r="F150">
        <v>0</v>
      </c>
      <c r="G150">
        <v>3</v>
      </c>
      <c r="H150">
        <v>18</v>
      </c>
    </row>
    <row r="151" spans="1:8" x14ac:dyDescent="0.25">
      <c r="A151" t="s">
        <v>917</v>
      </c>
      <c r="B151" t="s">
        <v>232</v>
      </c>
      <c r="C151" t="s">
        <v>362</v>
      </c>
      <c r="D151" t="s">
        <v>34</v>
      </c>
      <c r="E151">
        <v>201</v>
      </c>
      <c r="F151">
        <v>25</v>
      </c>
      <c r="G151">
        <v>22</v>
      </c>
      <c r="H151">
        <v>154</v>
      </c>
    </row>
    <row r="152" spans="1:8" x14ac:dyDescent="0.25">
      <c r="A152" t="s">
        <v>917</v>
      </c>
      <c r="B152" t="s">
        <v>232</v>
      </c>
      <c r="C152" t="s">
        <v>362</v>
      </c>
      <c r="D152" t="s">
        <v>36</v>
      </c>
      <c r="E152">
        <v>6</v>
      </c>
      <c r="F152">
        <v>1</v>
      </c>
      <c r="G152">
        <v>1</v>
      </c>
      <c r="H152">
        <v>4</v>
      </c>
    </row>
    <row r="153" spans="1:8" x14ac:dyDescent="0.25">
      <c r="A153" t="s">
        <v>917</v>
      </c>
      <c r="B153" t="s">
        <v>232</v>
      </c>
      <c r="C153" t="s">
        <v>362</v>
      </c>
      <c r="D153" t="s">
        <v>49</v>
      </c>
      <c r="E153">
        <v>22</v>
      </c>
      <c r="F153">
        <v>3</v>
      </c>
      <c r="G153">
        <v>3</v>
      </c>
      <c r="H153">
        <v>16</v>
      </c>
    </row>
    <row r="154" spans="1:8" x14ac:dyDescent="0.25">
      <c r="A154" t="s">
        <v>917</v>
      </c>
      <c r="B154" t="s">
        <v>232</v>
      </c>
      <c r="C154" t="s">
        <v>362</v>
      </c>
      <c r="D154" t="s">
        <v>57</v>
      </c>
      <c r="E154">
        <v>2</v>
      </c>
      <c r="F154">
        <v>1</v>
      </c>
      <c r="G154">
        <v>0</v>
      </c>
      <c r="H154">
        <v>1</v>
      </c>
    </row>
    <row r="155" spans="1:8" x14ac:dyDescent="0.25">
      <c r="A155" t="s">
        <v>917</v>
      </c>
      <c r="B155" t="s">
        <v>232</v>
      </c>
      <c r="C155" t="s">
        <v>363</v>
      </c>
      <c r="D155" t="s">
        <v>44</v>
      </c>
      <c r="E155">
        <v>48</v>
      </c>
      <c r="F155">
        <v>6</v>
      </c>
      <c r="G155">
        <v>12</v>
      </c>
      <c r="H155">
        <v>30</v>
      </c>
    </row>
    <row r="156" spans="1:8" x14ac:dyDescent="0.25">
      <c r="A156" t="s">
        <v>917</v>
      </c>
      <c r="B156" t="s">
        <v>232</v>
      </c>
      <c r="C156" t="s">
        <v>363</v>
      </c>
      <c r="D156" t="s">
        <v>47</v>
      </c>
      <c r="E156">
        <v>3</v>
      </c>
      <c r="F156">
        <v>1</v>
      </c>
      <c r="G156">
        <v>2</v>
      </c>
      <c r="H156">
        <v>0</v>
      </c>
    </row>
    <row r="157" spans="1:8" x14ac:dyDescent="0.25">
      <c r="A157" t="s">
        <v>917</v>
      </c>
      <c r="B157" t="s">
        <v>232</v>
      </c>
      <c r="C157" t="s">
        <v>363</v>
      </c>
      <c r="D157" t="s">
        <v>52</v>
      </c>
      <c r="E157">
        <v>21</v>
      </c>
      <c r="F157">
        <v>0</v>
      </c>
      <c r="G157">
        <v>3</v>
      </c>
      <c r="H157">
        <v>18</v>
      </c>
    </row>
    <row r="158" spans="1:8" x14ac:dyDescent="0.25">
      <c r="A158" t="s">
        <v>1010</v>
      </c>
      <c r="B158" t="s">
        <v>232</v>
      </c>
      <c r="D158" t="s">
        <v>34</v>
      </c>
      <c r="E158">
        <v>183</v>
      </c>
      <c r="F158">
        <v>24</v>
      </c>
      <c r="G158">
        <v>21</v>
      </c>
      <c r="H158">
        <v>138</v>
      </c>
    </row>
    <row r="159" spans="1:8" x14ac:dyDescent="0.25">
      <c r="A159" t="s">
        <v>1010</v>
      </c>
      <c r="B159" t="s">
        <v>232</v>
      </c>
      <c r="D159" t="s">
        <v>36</v>
      </c>
      <c r="E159">
        <v>6</v>
      </c>
      <c r="F159">
        <v>1</v>
      </c>
      <c r="G159">
        <v>1</v>
      </c>
      <c r="H159">
        <v>4</v>
      </c>
    </row>
    <row r="160" spans="1:8" x14ac:dyDescent="0.25">
      <c r="A160" t="s">
        <v>1010</v>
      </c>
      <c r="B160" t="s">
        <v>232</v>
      </c>
      <c r="D160" t="s">
        <v>44</v>
      </c>
      <c r="E160">
        <v>45</v>
      </c>
      <c r="F160">
        <v>7</v>
      </c>
      <c r="G160">
        <v>12</v>
      </c>
      <c r="H160">
        <v>26</v>
      </c>
    </row>
    <row r="161" spans="1:8" x14ac:dyDescent="0.25">
      <c r="A161" t="s">
        <v>1010</v>
      </c>
      <c r="B161" t="s">
        <v>232</v>
      </c>
      <c r="D161" t="s">
        <v>49</v>
      </c>
      <c r="E161">
        <v>19</v>
      </c>
      <c r="F161">
        <v>3</v>
      </c>
      <c r="G161">
        <v>3</v>
      </c>
      <c r="H161">
        <v>13</v>
      </c>
    </row>
    <row r="162" spans="1:8" x14ac:dyDescent="0.25">
      <c r="A162" t="s">
        <v>1010</v>
      </c>
      <c r="B162" t="s">
        <v>232</v>
      </c>
      <c r="D162" t="s">
        <v>52</v>
      </c>
      <c r="E162">
        <v>22</v>
      </c>
      <c r="F162">
        <v>0</v>
      </c>
      <c r="G162">
        <v>3</v>
      </c>
      <c r="H162">
        <v>19</v>
      </c>
    </row>
    <row r="163" spans="1:8" x14ac:dyDescent="0.25">
      <c r="A163" t="s">
        <v>1010</v>
      </c>
      <c r="B163" t="s">
        <v>232</v>
      </c>
      <c r="D163" t="s">
        <v>57</v>
      </c>
      <c r="E163">
        <v>2</v>
      </c>
      <c r="F163">
        <v>1</v>
      </c>
      <c r="G163">
        <v>0</v>
      </c>
      <c r="H163">
        <v>1</v>
      </c>
    </row>
    <row r="164" spans="1:8" x14ac:dyDescent="0.25">
      <c r="A164" t="s">
        <v>1061</v>
      </c>
      <c r="B164" t="s">
        <v>232</v>
      </c>
      <c r="D164" t="s">
        <v>34</v>
      </c>
      <c r="E164">
        <v>172</v>
      </c>
      <c r="F164">
        <v>25</v>
      </c>
      <c r="G164">
        <v>21</v>
      </c>
      <c r="H164">
        <v>126</v>
      </c>
    </row>
    <row r="165" spans="1:8" x14ac:dyDescent="0.25">
      <c r="A165" t="s">
        <v>1061</v>
      </c>
      <c r="B165" t="s">
        <v>232</v>
      </c>
      <c r="D165" t="s">
        <v>36</v>
      </c>
      <c r="E165">
        <v>6</v>
      </c>
      <c r="F165">
        <v>1</v>
      </c>
      <c r="G165">
        <v>1</v>
      </c>
      <c r="H165">
        <v>4</v>
      </c>
    </row>
    <row r="166" spans="1:8" x14ac:dyDescent="0.25">
      <c r="A166" t="s">
        <v>1061</v>
      </c>
      <c r="B166" t="s">
        <v>232</v>
      </c>
      <c r="D166" t="s">
        <v>44</v>
      </c>
      <c r="E166">
        <v>42</v>
      </c>
      <c r="F166">
        <v>6</v>
      </c>
      <c r="G166">
        <v>11</v>
      </c>
      <c r="H166">
        <v>25</v>
      </c>
    </row>
    <row r="167" spans="1:8" x14ac:dyDescent="0.25">
      <c r="A167" t="s">
        <v>1061</v>
      </c>
      <c r="B167" t="s">
        <v>232</v>
      </c>
      <c r="D167" t="s">
        <v>47</v>
      </c>
      <c r="E167">
        <v>3</v>
      </c>
      <c r="F167">
        <v>1</v>
      </c>
      <c r="G167">
        <v>2</v>
      </c>
      <c r="H167">
        <v>0</v>
      </c>
    </row>
    <row r="168" spans="1:8" x14ac:dyDescent="0.25">
      <c r="A168" t="s">
        <v>1061</v>
      </c>
      <c r="B168" t="s">
        <v>232</v>
      </c>
      <c r="D168" t="s">
        <v>49</v>
      </c>
      <c r="E168">
        <v>20</v>
      </c>
      <c r="F168">
        <v>3</v>
      </c>
      <c r="G168">
        <v>2</v>
      </c>
      <c r="H168">
        <v>15</v>
      </c>
    </row>
    <row r="169" spans="1:8" x14ac:dyDescent="0.25">
      <c r="A169" t="s">
        <v>1061</v>
      </c>
      <c r="B169" t="s">
        <v>232</v>
      </c>
      <c r="D169" t="s">
        <v>52</v>
      </c>
      <c r="E169">
        <v>21</v>
      </c>
      <c r="F169">
        <v>0</v>
      </c>
      <c r="G169">
        <v>3</v>
      </c>
      <c r="H169">
        <v>18</v>
      </c>
    </row>
    <row r="170" spans="1:8" x14ac:dyDescent="0.25">
      <c r="A170" t="s">
        <v>1061</v>
      </c>
      <c r="B170" t="s">
        <v>232</v>
      </c>
      <c r="D170" t="s">
        <v>57</v>
      </c>
      <c r="E170">
        <v>2</v>
      </c>
      <c r="F170">
        <v>1</v>
      </c>
      <c r="G170">
        <v>0</v>
      </c>
      <c r="H170">
        <v>1</v>
      </c>
    </row>
    <row r="171" spans="1:8" x14ac:dyDescent="0.25">
      <c r="A171" t="s">
        <v>1108</v>
      </c>
      <c r="B171" t="s">
        <v>232</v>
      </c>
      <c r="D171" t="s">
        <v>34</v>
      </c>
      <c r="E171">
        <v>172</v>
      </c>
      <c r="F171">
        <v>25</v>
      </c>
      <c r="G171">
        <v>21</v>
      </c>
      <c r="H171">
        <v>126</v>
      </c>
    </row>
    <row r="172" spans="1:8" x14ac:dyDescent="0.25">
      <c r="A172" t="s">
        <v>1108</v>
      </c>
      <c r="B172" t="s">
        <v>232</v>
      </c>
      <c r="D172" t="s">
        <v>36</v>
      </c>
      <c r="E172">
        <v>7</v>
      </c>
      <c r="F172">
        <v>1</v>
      </c>
      <c r="G172">
        <v>2</v>
      </c>
      <c r="H172">
        <v>4</v>
      </c>
    </row>
    <row r="173" spans="1:8" x14ac:dyDescent="0.25">
      <c r="A173" t="s">
        <v>1108</v>
      </c>
      <c r="B173" t="s">
        <v>232</v>
      </c>
      <c r="D173" t="s">
        <v>44</v>
      </c>
      <c r="E173">
        <v>47</v>
      </c>
      <c r="F173">
        <v>6</v>
      </c>
      <c r="G173">
        <v>11</v>
      </c>
      <c r="H173">
        <v>30</v>
      </c>
    </row>
    <row r="174" spans="1:8" x14ac:dyDescent="0.25">
      <c r="A174" t="s">
        <v>1108</v>
      </c>
      <c r="B174" t="s">
        <v>232</v>
      </c>
      <c r="D174" t="s">
        <v>47</v>
      </c>
      <c r="E174">
        <v>3</v>
      </c>
      <c r="F174">
        <v>1</v>
      </c>
      <c r="G174">
        <v>2</v>
      </c>
      <c r="H174">
        <v>0</v>
      </c>
    </row>
    <row r="175" spans="1:8" x14ac:dyDescent="0.25">
      <c r="A175" t="s">
        <v>1108</v>
      </c>
      <c r="B175" t="s">
        <v>232</v>
      </c>
      <c r="D175" t="s">
        <v>49</v>
      </c>
      <c r="E175">
        <v>19</v>
      </c>
      <c r="F175">
        <v>2</v>
      </c>
      <c r="G175">
        <v>2</v>
      </c>
      <c r="H175">
        <v>15</v>
      </c>
    </row>
    <row r="176" spans="1:8" x14ac:dyDescent="0.25">
      <c r="A176" t="s">
        <v>1108</v>
      </c>
      <c r="B176" t="s">
        <v>232</v>
      </c>
      <c r="D176" t="s">
        <v>52</v>
      </c>
      <c r="E176">
        <v>21</v>
      </c>
      <c r="F176">
        <v>0</v>
      </c>
      <c r="G176">
        <v>3</v>
      </c>
      <c r="H176">
        <v>18</v>
      </c>
    </row>
  </sheetData>
  <pageMargins left="0.7" right="0.7" top="0.75" bottom="0.75" header="0.3" footer="0.3"/>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0">
    <tabColor theme="9" tint="0.39997558519241921"/>
    <pageSetUpPr fitToPage="1"/>
  </sheetPr>
  <dimension ref="A1:G48"/>
  <sheetViews>
    <sheetView showGridLines="0" zoomScaleNormal="100" workbookViewId="0">
      <pane ySplit="2" topLeftCell="A3" activePane="bottomLeft" state="frozen"/>
      <selection pane="bottomLeft" sqref="A1:G1"/>
    </sheetView>
  </sheetViews>
  <sheetFormatPr defaultRowHeight="15" x14ac:dyDescent="0.25"/>
  <cols>
    <col min="1" max="1" width="17.140625" customWidth="1"/>
    <col min="2" max="2" width="28.7109375" customWidth="1"/>
    <col min="3" max="5" width="13" customWidth="1"/>
    <col min="6" max="6" width="10.28515625" customWidth="1"/>
  </cols>
  <sheetData>
    <row r="1" spans="1:7" ht="15.75" customHeight="1" x14ac:dyDescent="0.25">
      <c r="A1" s="993" t="s">
        <v>450</v>
      </c>
      <c r="B1" s="993"/>
      <c r="C1" s="993"/>
      <c r="D1" s="993"/>
      <c r="E1" s="993"/>
      <c r="F1" s="993"/>
      <c r="G1" s="993"/>
    </row>
    <row r="2" spans="1:7" ht="15.75" x14ac:dyDescent="0.25">
      <c r="A2" s="507" t="s">
        <v>511</v>
      </c>
      <c r="C2" s="449"/>
      <c r="D2" s="449"/>
      <c r="E2" s="449"/>
      <c r="F2" s="449"/>
      <c r="G2" s="449"/>
    </row>
    <row r="3" spans="1:7" ht="15.75" x14ac:dyDescent="0.25">
      <c r="C3" s="449"/>
      <c r="D3" s="449"/>
      <c r="E3" s="449"/>
      <c r="F3" s="449"/>
      <c r="G3" s="449"/>
    </row>
    <row r="4" spans="1:7" ht="37.5" customHeight="1" x14ac:dyDescent="0.25">
      <c r="A4" s="429" t="s">
        <v>470</v>
      </c>
      <c r="B4" s="232"/>
      <c r="C4" s="232"/>
      <c r="D4" s="232"/>
      <c r="E4" s="232"/>
    </row>
    <row r="5" spans="1:7" ht="15" customHeight="1" x14ac:dyDescent="0.25">
      <c r="A5" t="s">
        <v>328</v>
      </c>
      <c r="B5" t="s">
        <v>673</v>
      </c>
      <c r="C5" s="232"/>
      <c r="D5" s="232"/>
      <c r="E5" s="232"/>
    </row>
    <row r="6" spans="1:7" ht="15" customHeight="1" x14ac:dyDescent="0.25">
      <c r="A6" t="s">
        <v>329</v>
      </c>
      <c r="B6" t="s">
        <v>331</v>
      </c>
      <c r="C6" s="232"/>
      <c r="D6" s="232"/>
      <c r="E6" s="232"/>
    </row>
    <row r="7" spans="1:7" ht="15" customHeight="1" x14ac:dyDescent="0.25">
      <c r="A7" t="s">
        <v>330</v>
      </c>
      <c r="B7" t="s">
        <v>332</v>
      </c>
      <c r="C7" s="232"/>
      <c r="D7" s="232"/>
      <c r="E7" s="232"/>
    </row>
    <row r="8" spans="1:7" ht="33.75" customHeight="1" x14ac:dyDescent="0.25">
      <c r="A8" s="78" t="s">
        <v>1</v>
      </c>
      <c r="B8" s="78" t="s">
        <v>205</v>
      </c>
      <c r="C8" s="79" t="s">
        <v>841</v>
      </c>
      <c r="D8" s="79" t="s">
        <v>842</v>
      </c>
      <c r="E8" s="79" t="s">
        <v>23</v>
      </c>
      <c r="F8" s="79" t="s">
        <v>26</v>
      </c>
    </row>
    <row r="9" spans="1:7" ht="22.5" customHeight="1" thickBot="1" x14ac:dyDescent="0.3">
      <c r="A9" s="80" t="str">
        <f>volroleareapivot!B1</f>
        <v>2023-24</v>
      </c>
      <c r="B9" s="80" t="s">
        <v>460</v>
      </c>
      <c r="C9" s="90">
        <f>C44</f>
        <v>35</v>
      </c>
      <c r="D9" s="90">
        <f>D44</f>
        <v>41</v>
      </c>
      <c r="E9" s="90">
        <f>E44</f>
        <v>193</v>
      </c>
      <c r="F9" s="90">
        <f>F44</f>
        <v>269</v>
      </c>
    </row>
    <row r="10" spans="1:7" ht="15" customHeight="1" x14ac:dyDescent="0.25">
      <c r="B10" s="48"/>
      <c r="C10" s="44"/>
      <c r="D10" s="44"/>
      <c r="E10" s="44"/>
      <c r="F10" s="44"/>
    </row>
    <row r="11" spans="1:7" ht="15" customHeight="1" x14ac:dyDescent="0.25">
      <c r="A11" s="42" t="s">
        <v>458</v>
      </c>
      <c r="B11" s="42" t="s">
        <v>30</v>
      </c>
      <c r="C11" s="91"/>
      <c r="D11" s="91"/>
      <c r="E11" s="91"/>
      <c r="F11" s="92"/>
    </row>
    <row r="12" spans="1:7" ht="15" customHeight="1" x14ac:dyDescent="0.25">
      <c r="A12" s="398" t="s">
        <v>285</v>
      </c>
      <c r="B12" s="45" t="s">
        <v>31</v>
      </c>
      <c r="C12" s="93" t="str">
        <f>IFERROR(GETPIVOTDATA("Sum of Watch Manager",volroleareapivot!$A$3,"ReportingLevel","1:LA","lvl","Aberdeen City"),"-")</f>
        <v>-</v>
      </c>
      <c r="D12" s="93" t="str">
        <f>IFERROR(GETPIVOTDATA("Sum of Crew Manager",volroleareapivot!$A$3,"ReportingLevel","1:LA","lvl","Aberdeen City"),"-")</f>
        <v>-</v>
      </c>
      <c r="E12" s="93" t="str">
        <f>IFERROR(GETPIVOTDATA("Sum of Firefighter",volroleareapivot!$A$3,"ReportingLevel","1:LA","lvl","Aberdeen City"),"-")</f>
        <v>-</v>
      </c>
      <c r="F12" s="94">
        <f>SUM(C12:E12)</f>
        <v>0</v>
      </c>
    </row>
    <row r="13" spans="1:7" ht="15" customHeight="1" x14ac:dyDescent="0.25">
      <c r="A13" s="89" t="s">
        <v>286</v>
      </c>
      <c r="B13" s="48" t="s">
        <v>32</v>
      </c>
      <c r="C13" s="93" t="str">
        <f>IFERROR(GETPIVOTDATA("Sum of Watch Manager",volroleareapivot!$A$3,"ReportingLevel","1:LA","lvl","Aberdeenshire"),"-")</f>
        <v>-</v>
      </c>
      <c r="D13" s="93" t="str">
        <f>IFERROR(GETPIVOTDATA("Sum of Crew Manager",volroleareapivot!$A$3,"ReportingLevel","1:LA","lvl","Aberdeenshire"),"-")</f>
        <v>-</v>
      </c>
      <c r="E13" s="93" t="str">
        <f>IFERROR(GETPIVOTDATA("Sum of Firefighter",volroleareapivot!$A$3,"ReportingLevel","1:LA","lvl","Aberdeenshire"),"-")</f>
        <v>-</v>
      </c>
      <c r="F13" s="94">
        <f>SUM(C13:E13)</f>
        <v>0</v>
      </c>
    </row>
    <row r="14" spans="1:7" ht="15" customHeight="1" x14ac:dyDescent="0.25">
      <c r="A14" s="89" t="s">
        <v>292</v>
      </c>
      <c r="B14" s="48" t="s">
        <v>33</v>
      </c>
      <c r="C14" s="93" t="str">
        <f>IFERROR(GETPIVOTDATA("Sum of Watch Manager",volroleareapivot!$A$3,"ReportingLevel","1:LA","lvl","Angus"),"-")</f>
        <v>-</v>
      </c>
      <c r="D14" s="93" t="str">
        <f>IFERROR(GETPIVOTDATA("Sum of Crew Manager",volroleareapivot!$A$3,"ReportingLevel","1:LA","lvl","Angus"),"-")</f>
        <v>-</v>
      </c>
      <c r="E14" s="93" t="str">
        <f>IFERROR(GETPIVOTDATA("Sum of Firefighter",volroleareapivot!$A$3,"ReportingLevel","1:LA","lvl","Angus"),"-")</f>
        <v>-</v>
      </c>
      <c r="F14" s="94">
        <f>SUM(C14:E14)</f>
        <v>0</v>
      </c>
    </row>
    <row r="15" spans="1:7" ht="15" customHeight="1" x14ac:dyDescent="0.25">
      <c r="A15" s="89" t="s">
        <v>287</v>
      </c>
      <c r="B15" s="48" t="s">
        <v>34</v>
      </c>
      <c r="C15" s="93">
        <f>IFERROR(GETPIVOTDATA("Sum of Watch Manager",volroleareapivot!$A$3,"ReportingLevel","1:LA","lvl","Argyll and Bute"),"-")</f>
        <v>25</v>
      </c>
      <c r="D15" s="93">
        <f>IFERROR(GETPIVOTDATA("Sum of Crew Manager",volroleareapivot!$A$3,"ReportingLevel","1:LA","lvl","Argyll and Bute"),"-")</f>
        <v>21</v>
      </c>
      <c r="E15" s="93">
        <f>IFERROR(GETPIVOTDATA("Sum of Firefighter",volroleareapivot!$A$3,"ReportingLevel","1:LA","lvl","Argyll and Bute"),"-")</f>
        <v>126</v>
      </c>
      <c r="F15" s="94">
        <f t="shared" ref="F15:F43" si="0">SUM(C15:E15)</f>
        <v>172</v>
      </c>
    </row>
    <row r="16" spans="1:7" ht="15" customHeight="1" x14ac:dyDescent="0.25">
      <c r="A16" s="89" t="s">
        <v>288</v>
      </c>
      <c r="B16" s="48" t="s">
        <v>243</v>
      </c>
      <c r="C16" s="93" t="str">
        <f>IFERROR(GETPIVOTDATA("Sum of Watch Manager",volroleareapivot!$A$3,"ReportingLevel","1:LA","lvl","City of Edinburgh"),"-")</f>
        <v>-</v>
      </c>
      <c r="D16" s="93" t="str">
        <f>IFERROR(GETPIVOTDATA("Sum of Crew Manager",volroleareapivot!$A$3,"ReportingLevel","1:LA","lvl","City of Edinburgh"),"-")</f>
        <v>-</v>
      </c>
      <c r="E16" s="93" t="str">
        <f>IFERROR(GETPIVOTDATA("Sum of Firefighter",volroleareapivot!$A$3,"ReportingLevel","1:LA","lvl","City of Edinburgh"),"-")</f>
        <v>-</v>
      </c>
      <c r="F16" s="94">
        <f t="shared" si="0"/>
        <v>0</v>
      </c>
    </row>
    <row r="17" spans="1:6" ht="15" customHeight="1" x14ac:dyDescent="0.25">
      <c r="A17" s="89" t="s">
        <v>266</v>
      </c>
      <c r="B17" s="48" t="s">
        <v>35</v>
      </c>
      <c r="C17" s="93" t="str">
        <f>IFERROR(GETPIVOTDATA("Sum of Watch Manager",volroleareapivot!$A$3,"ReportingLevel","1:LA","lvl","Clackmannanshire"),"-")</f>
        <v>-</v>
      </c>
      <c r="D17" s="93" t="str">
        <f>IFERROR(GETPIVOTDATA("Sum of Crew Manager",volroleareapivot!$A$3,"ReportingLevel","1:LA","lvl","Clackmannanshire"),"-")</f>
        <v>-</v>
      </c>
      <c r="E17" s="93" t="str">
        <f>IFERROR(GETPIVOTDATA("Sum of Firefighter",volroleareapivot!$A$3,"ReportingLevel","1:LA","lvl","Clackmannanshire"),"-")</f>
        <v>-</v>
      </c>
      <c r="F17" s="94">
        <f t="shared" si="0"/>
        <v>0</v>
      </c>
    </row>
    <row r="18" spans="1:6" ht="15" customHeight="1" x14ac:dyDescent="0.25">
      <c r="A18" s="89" t="s">
        <v>267</v>
      </c>
      <c r="B18" s="48" t="s">
        <v>36</v>
      </c>
      <c r="C18" s="93">
        <f>IFERROR(GETPIVOTDATA("Sum of Watch Manager",volroleareapivot!$A$3,"ReportingLevel","1:LA","lvl","Dumfries and Galloway"),"-")</f>
        <v>1</v>
      </c>
      <c r="D18" s="93">
        <f>IFERROR(GETPIVOTDATA("Sum of Crew Manager",volroleareapivot!$A$3,"ReportingLevel","1:LA","lvl","Dumfries and Galloway"),"-")</f>
        <v>2</v>
      </c>
      <c r="E18" s="93">
        <f>IFERROR(GETPIVOTDATA("Sum of Firefighter",volroleareapivot!$A$3,"ReportingLevel","1:LA","lvl","Dumfries and Galloway"),"-")</f>
        <v>4</v>
      </c>
      <c r="F18" s="94">
        <f t="shared" si="0"/>
        <v>7</v>
      </c>
    </row>
    <row r="19" spans="1:6" ht="15" customHeight="1" x14ac:dyDescent="0.25">
      <c r="A19" s="89" t="s">
        <v>293</v>
      </c>
      <c r="B19" s="48" t="s">
        <v>37</v>
      </c>
      <c r="C19" s="93" t="str">
        <f>IFERROR(GETPIVOTDATA("Sum of Watch Manager",volroleareapivot!$A$3,"ReportingLevel","1:LA","lvl","Dundee City"),"-")</f>
        <v>-</v>
      </c>
      <c r="D19" s="93" t="str">
        <f>IFERROR(GETPIVOTDATA("Sum of Crew Manager",volroleareapivot!$A$3,"ReportingLevel","1:LA","lvl","Dundee City"),"-")</f>
        <v>-</v>
      </c>
      <c r="E19" s="93" t="str">
        <f>IFERROR(GETPIVOTDATA("Sum of Firefighter",volroleareapivot!$A$3,"ReportingLevel","1:LA","lvl","Dundee City"),"-")</f>
        <v>-</v>
      </c>
      <c r="F19" s="94">
        <f t="shared" si="0"/>
        <v>0</v>
      </c>
    </row>
    <row r="20" spans="1:6" ht="15" customHeight="1" x14ac:dyDescent="0.25">
      <c r="A20" s="89" t="s">
        <v>268</v>
      </c>
      <c r="B20" s="48" t="s">
        <v>38</v>
      </c>
      <c r="C20" s="93" t="str">
        <f>IFERROR(GETPIVOTDATA("Sum of Watch Manager",volroleareapivot!$A$3,"ReportingLevel","1:LA","lvl","East Ayrshire"),"-")</f>
        <v>-</v>
      </c>
      <c r="D20" s="93" t="str">
        <f>IFERROR(GETPIVOTDATA("Sum of Crew Manager",volroleareapivot!$A$3,"ReportingLevel","1:LA","lvl","East Ayrshire"),"-")</f>
        <v>-</v>
      </c>
      <c r="E20" s="93" t="str">
        <f>IFERROR(GETPIVOTDATA("Sum of Firefighter",volroleareapivot!$A$3,"ReportingLevel","1:LA","lvl","East Ayrshire"),"-")</f>
        <v>-</v>
      </c>
      <c r="F20" s="94">
        <f t="shared" si="0"/>
        <v>0</v>
      </c>
    </row>
    <row r="21" spans="1:6" ht="15" customHeight="1" x14ac:dyDescent="0.25">
      <c r="A21" s="89" t="s">
        <v>295</v>
      </c>
      <c r="B21" s="48" t="s">
        <v>39</v>
      </c>
      <c r="C21" s="93" t="str">
        <f>IFERROR(GETPIVOTDATA("Sum of Watch Manager",volroleareapivot!$A$3,"ReportingLevel","1:LA","lvl","East Dunbartonshire"),"-")</f>
        <v>-</v>
      </c>
      <c r="D21" s="93" t="str">
        <f>IFERROR(GETPIVOTDATA("Sum of Crew Manager",volroleareapivot!$A$3,"ReportingLevel","1:LA","lvl","East Dunbartonshire"),"-")</f>
        <v>-</v>
      </c>
      <c r="E21" s="93" t="str">
        <f>IFERROR(GETPIVOTDATA("Sum of Firefighter",volroleareapivot!$A$3,"ReportingLevel","1:LA","lvl","East Dunbartonshire"),"-")</f>
        <v>-</v>
      </c>
      <c r="F21" s="94">
        <f t="shared" si="0"/>
        <v>0</v>
      </c>
    </row>
    <row r="22" spans="1:6" ht="15" customHeight="1" x14ac:dyDescent="0.25">
      <c r="A22" s="89" t="s">
        <v>269</v>
      </c>
      <c r="B22" s="48" t="s">
        <v>40</v>
      </c>
      <c r="C22" s="93" t="str">
        <f>IFERROR(GETPIVOTDATA("Sum of Watch Manager",volroleareapivot!$A$3,"ReportingLevel","1:LA","lvl","East Lothian"),"-")</f>
        <v>-</v>
      </c>
      <c r="D22" s="93" t="str">
        <f>IFERROR(GETPIVOTDATA("Sum of Crew Manager",volroleareapivot!$A$3,"ReportingLevel","1:LA","lvl","East Lothian"),"-")</f>
        <v>-</v>
      </c>
      <c r="E22" s="93" t="str">
        <f>IFERROR(GETPIVOTDATA("Sum of Firefighter",volroleareapivot!$A$3,"ReportingLevel","1:LA","lvl","East Lothian"),"-")</f>
        <v>-</v>
      </c>
      <c r="F22" s="94">
        <f t="shared" si="0"/>
        <v>0</v>
      </c>
    </row>
    <row r="23" spans="1:6" ht="15" customHeight="1" x14ac:dyDescent="0.25">
      <c r="A23" s="89" t="s">
        <v>270</v>
      </c>
      <c r="B23" s="48" t="s">
        <v>41</v>
      </c>
      <c r="C23" s="93" t="str">
        <f>IFERROR(GETPIVOTDATA("Sum of Watch Manager",volroleareapivot!$A$3,"ReportingLevel","1:LA","lvl","East Lothian"),"-")</f>
        <v>-</v>
      </c>
      <c r="D23" s="93" t="str">
        <f>IFERROR(GETPIVOTDATA("Sum of Crew Manager",volroleareapivot!$A$3,"ReportingLevel","1:LA","lvl","East Lothian"),"-")</f>
        <v>-</v>
      </c>
      <c r="E23" s="93" t="str">
        <f>IFERROR(GETPIVOTDATA("Sum of Firefighter",volroleareapivot!$A$3,"ReportingLevel","1:LA","lvl","East Lothian"),"-")</f>
        <v>-</v>
      </c>
      <c r="F23" s="94">
        <f t="shared" si="0"/>
        <v>0</v>
      </c>
    </row>
    <row r="24" spans="1:6" ht="15" customHeight="1" x14ac:dyDescent="0.25">
      <c r="A24" s="89" t="s">
        <v>272</v>
      </c>
      <c r="B24" s="48" t="s">
        <v>42</v>
      </c>
      <c r="C24" s="93" t="str">
        <f>IFERROR(GETPIVOTDATA("Sum of Watch Manager",volroleareapivot!$A$3,"ReportingLevel","1:LA","lvl","Falkirk"),"-")</f>
        <v>-</v>
      </c>
      <c r="D24" s="93" t="str">
        <f>IFERROR(GETPIVOTDATA("Sum of Crew Manager",volroleareapivot!$A$3,"ReportingLevel","1:LA","lvl","Falkirk"),"-")</f>
        <v>-</v>
      </c>
      <c r="E24" s="93" t="str">
        <f>IFERROR(GETPIVOTDATA("Sum of Firefighter",volroleareapivot!$A$3,"ReportingLevel","1:LA","lvl","Falkirk"),"-")</f>
        <v>-</v>
      </c>
      <c r="F24" s="94">
        <f t="shared" si="0"/>
        <v>0</v>
      </c>
    </row>
    <row r="25" spans="1:6" ht="15" customHeight="1" x14ac:dyDescent="0.25">
      <c r="A25" s="89" t="s">
        <v>297</v>
      </c>
      <c r="B25" s="48" t="s">
        <v>43</v>
      </c>
      <c r="C25" s="93" t="str">
        <f>IFERROR(GETPIVOTDATA("Sum of Watch Manager",volroleareapivot!$A$3,"ReportingLevel","1:LA","lvl","Fife"),"-")</f>
        <v>-</v>
      </c>
      <c r="D25" s="93" t="str">
        <f>IFERROR(GETPIVOTDATA("Sum of Crew Manager",volroleareapivot!$A$3,"ReportingLevel","1:LA","lvl","Fife"),"-")</f>
        <v>-</v>
      </c>
      <c r="E25" s="93" t="str">
        <f>IFERROR(GETPIVOTDATA("Sum of Firefighter",volroleareapivot!$A$3,"ReportingLevel","1:LA","lvl","Fife"),"-")</f>
        <v>-</v>
      </c>
      <c r="F25" s="94">
        <f t="shared" si="0"/>
        <v>0</v>
      </c>
    </row>
    <row r="26" spans="1:6" ht="15" customHeight="1" x14ac:dyDescent="0.25">
      <c r="A26" s="89" t="str">
        <f>IF(A9 = "2019-20","S12000049","S12000046")</f>
        <v>S12000046</v>
      </c>
      <c r="B26" s="48" t="s">
        <v>117</v>
      </c>
      <c r="C26" s="93" t="str">
        <f>IFERROR(GETPIVOTDATA("Sum of Watch Manager",volroleareapivot!$A$3,"ReportingLevel","1:LA","lvl","Glasgow City"),"-")</f>
        <v>-</v>
      </c>
      <c r="D26" s="93" t="str">
        <f>IFERROR(GETPIVOTDATA("Sum of Crew Manager",volroleareapivot!$A$3,"ReportingLevel","1:LA","lvl","Glasgow City"),"-")</f>
        <v>-</v>
      </c>
      <c r="E26" s="93" t="str">
        <f>IFERROR(GETPIVOTDATA("Sum of Firefighter",volroleareapivot!$A$3,"ReportingLevel","1:LA","lvl","Glasgow City"),"-")</f>
        <v>-</v>
      </c>
      <c r="F26" s="94">
        <f t="shared" si="0"/>
        <v>0</v>
      </c>
    </row>
    <row r="27" spans="1:6" ht="15" customHeight="1" x14ac:dyDescent="0.25">
      <c r="A27" s="89" t="s">
        <v>273</v>
      </c>
      <c r="B27" s="48" t="s">
        <v>44</v>
      </c>
      <c r="C27" s="93">
        <f>IFERROR(GETPIVOTDATA("Sum of Watch Manager",volroleareapivot!$A$3,"ReportingLevel","1:LA","lvl","Highland"),"-")</f>
        <v>6</v>
      </c>
      <c r="D27" s="93">
        <f>IFERROR(GETPIVOTDATA("Sum of Crew Manager",volroleareapivot!$A$3,"ReportingLevel","1:LA","lvl","Highland"),"-")</f>
        <v>11</v>
      </c>
      <c r="E27" s="93">
        <f>IFERROR(GETPIVOTDATA("Sum of Firefighter",volroleareapivot!$A$3,"ReportingLevel","1:LA","lvl","Highland"),"-")</f>
        <v>30</v>
      </c>
      <c r="F27" s="94">
        <f t="shared" si="0"/>
        <v>47</v>
      </c>
    </row>
    <row r="28" spans="1:6" ht="15" customHeight="1" x14ac:dyDescent="0.25">
      <c r="A28" s="89" t="s">
        <v>274</v>
      </c>
      <c r="B28" s="48" t="s">
        <v>45</v>
      </c>
      <c r="C28" s="93" t="str">
        <f>IFERROR(GETPIVOTDATA("Sum of Watch Manager",volroleareapivot!$A$3,"ReportingLevel","1:LA","lvl","Inverclyde"),"-")</f>
        <v>-</v>
      </c>
      <c r="D28" s="93" t="str">
        <f>IFERROR(GETPIVOTDATA("Sum of Crew Manager",volroleareapivot!$A$3,"ReportingLevel","1:LA","lvl","Inverclyde"),"-")</f>
        <v>-</v>
      </c>
      <c r="E28" s="93" t="str">
        <f>IFERROR(GETPIVOTDATA("Sum of Firefighter",volroleareapivot!$A$3,"ReportingLevel","1:LA","lvl","Inverclyde"),"-")</f>
        <v>-</v>
      </c>
      <c r="F28" s="94">
        <f t="shared" si="0"/>
        <v>0</v>
      </c>
    </row>
    <row r="29" spans="1:6" ht="15" customHeight="1" x14ac:dyDescent="0.25">
      <c r="A29" s="89" t="s">
        <v>275</v>
      </c>
      <c r="B29" s="48" t="s">
        <v>46</v>
      </c>
      <c r="C29" s="93" t="str">
        <f>IFERROR(GETPIVOTDATA("Sum of Watch Manager",volroleareapivot!$A$3,"ReportingLevel","1:LA","lvl","Midlothian"),"-")</f>
        <v>-</v>
      </c>
      <c r="D29" s="93" t="str">
        <f>IFERROR(GETPIVOTDATA("Sum of Crew Manager",volroleareapivot!$A$3,"ReportingLevel","1:LA","lvl","Midlothian"),"-")</f>
        <v>-</v>
      </c>
      <c r="E29" s="93" t="str">
        <f>IFERROR(GETPIVOTDATA("Sum of Firefighter",volroleareapivot!$A$3,"ReportingLevel","1:LA","lvl","Midlothian"),"-")</f>
        <v>-</v>
      </c>
      <c r="F29" s="94">
        <f t="shared" si="0"/>
        <v>0</v>
      </c>
    </row>
    <row r="30" spans="1:6" ht="15" customHeight="1" x14ac:dyDescent="0.25">
      <c r="A30" s="89" t="s">
        <v>276</v>
      </c>
      <c r="B30" s="48" t="s">
        <v>47</v>
      </c>
      <c r="C30" s="93">
        <f>IFERROR(GETPIVOTDATA("Sum of Watch Manager",volroleareapivot!$A$3,"ReportingLevel","1:LA","lvl","Moray"),"-")</f>
        <v>1</v>
      </c>
      <c r="D30" s="93">
        <f>IFERROR(GETPIVOTDATA("Sum of Crew Manager",volroleareapivot!$A$3,"ReportingLevel","1:LA","lvl","Moray"),"-")</f>
        <v>2</v>
      </c>
      <c r="E30" s="93">
        <f>IFERROR(GETPIVOTDATA("Sum of Firefighter",volroleareapivot!$A$3,"ReportingLevel","1:LA","lvl","Moray"),"-")</f>
        <v>0</v>
      </c>
      <c r="F30" s="69">
        <f t="shared" si="0"/>
        <v>3</v>
      </c>
    </row>
    <row r="31" spans="1:6" ht="15" customHeight="1" x14ac:dyDescent="0.25">
      <c r="A31" s="89" t="s">
        <v>271</v>
      </c>
      <c r="B31" s="48" t="s">
        <v>48</v>
      </c>
      <c r="C31" s="93" t="str">
        <f>IFERROR(GETPIVOTDATA("Sum of Watch Manager",volroleareapivot!$A$3,"ReportingLevel","1:LA","lvl","Na h-Eileanan Siar"),"-")</f>
        <v>-</v>
      </c>
      <c r="D31" s="93" t="str">
        <f>IFERROR(GETPIVOTDATA("Sum of Crew Manager",volroleareapivot!$A$3,"ReportingLevel","1:LA","lvl","Na h-Eileanan Siar"),"-")</f>
        <v>-</v>
      </c>
      <c r="E31" s="93" t="str">
        <f>IFERROR(GETPIVOTDATA("Sum of Firefighter",volroleareapivot!$A$3,"ReportingLevel","1:LA","lvl","Na h-Eileanan Siar"),"-")</f>
        <v>-</v>
      </c>
      <c r="F31" s="94">
        <f t="shared" si="0"/>
        <v>0</v>
      </c>
    </row>
    <row r="32" spans="1:6" ht="15" customHeight="1" x14ac:dyDescent="0.25">
      <c r="A32" s="89" t="s">
        <v>277</v>
      </c>
      <c r="B32" s="48" t="s">
        <v>49</v>
      </c>
      <c r="C32" s="93">
        <f>IFERROR(GETPIVOTDATA("Sum of Watch Manager",volroleareapivot!$A$3,"ReportingLevel","1:LA","lvl","North Ayrshire"),"-")</f>
        <v>2</v>
      </c>
      <c r="D32" s="93">
        <f>IFERROR(GETPIVOTDATA("Sum of Crew Manager",volroleareapivot!$A$3,"ReportingLevel","1:LA","lvl","North Ayrshire"),"-")</f>
        <v>2</v>
      </c>
      <c r="E32" s="93">
        <f>IFERROR(GETPIVOTDATA("Sum of Firefighter",volroleareapivot!$A$3,"ReportingLevel","1:LA","lvl","North Ayrshire"),"-")</f>
        <v>15</v>
      </c>
      <c r="F32" s="94">
        <f t="shared" si="0"/>
        <v>19</v>
      </c>
    </row>
    <row r="33" spans="1:6" ht="15" customHeight="1" x14ac:dyDescent="0.25">
      <c r="A33" s="89" t="str">
        <f>IF(A9="2019-20","S12000050","S12000044")</f>
        <v>S12000044</v>
      </c>
      <c r="B33" s="48" t="s">
        <v>50</v>
      </c>
      <c r="C33" s="93" t="str">
        <f>IFERROR(GETPIVOTDATA("Sum of Watch Manager",volroleareapivot!$A$3,"ReportingLevel","1:LA","lvl","North Lanarkshire"),"-")</f>
        <v>-</v>
      </c>
      <c r="D33" s="93" t="str">
        <f>IFERROR(GETPIVOTDATA("Sum of Crew Manager",volroleareapivot!$A$3,"ReportingLevel","1:LA","lvl","North Lanarkshire"),"-")</f>
        <v>-</v>
      </c>
      <c r="E33" s="93" t="str">
        <f>IFERROR(GETPIVOTDATA("Sum of Firefighter",volroleareapivot!$A$3,"ReportingLevel","1:LA","lvl","North Lanarkshire"),"-")</f>
        <v>-</v>
      </c>
      <c r="F33" s="69">
        <f t="shared" si="0"/>
        <v>0</v>
      </c>
    </row>
    <row r="34" spans="1:6" ht="15" customHeight="1" x14ac:dyDescent="0.25">
      <c r="A34" s="89" t="s">
        <v>278</v>
      </c>
      <c r="B34" s="48" t="s">
        <v>51</v>
      </c>
      <c r="C34" s="93" t="str">
        <f>IFERROR(GETPIVOTDATA("Sum of Watch Manager",volroleareapivot!$A$3,"ReportingLevel","1:LA","lvl","Orkney Islands"),"-")</f>
        <v>-</v>
      </c>
      <c r="D34" s="93" t="str">
        <f>IFERROR(GETPIVOTDATA("Sum of Crew Manager",volroleareapivot!$A$3,"ReportingLevel","1:LA","lvl","Orkney Islands"),"-")</f>
        <v>-</v>
      </c>
      <c r="E34" s="93" t="str">
        <f>IFERROR(GETPIVOTDATA("Sum of Firefighter",volroleareapivot!$A$3,"ReportingLevel","1:LA","lvl","Orkney Islands"),"-")</f>
        <v>-</v>
      </c>
      <c r="F34" s="94">
        <f t="shared" si="0"/>
        <v>0</v>
      </c>
    </row>
    <row r="35" spans="1:6" ht="15" customHeight="1" x14ac:dyDescent="0.25">
      <c r="A35" s="89" t="s">
        <v>279</v>
      </c>
      <c r="B35" s="48" t="s">
        <v>52</v>
      </c>
      <c r="C35" s="93">
        <f>IFERROR(GETPIVOTDATA("Sum of Watch Manager",volroleareapivot!$A$3,"ReportingLevel","1:LA","lvl","Perth and Kinross"),"-")</f>
        <v>0</v>
      </c>
      <c r="D35" s="93">
        <f>IFERROR(GETPIVOTDATA("Sum of Crew Manager",volroleareapivot!$A$3,"ReportingLevel","1:LA","lvl","Perth and Kinross"),"-")</f>
        <v>3</v>
      </c>
      <c r="E35" s="93">
        <f>IFERROR(GETPIVOTDATA("Sum of Firefighter",volroleareapivot!$A$3,"ReportingLevel","1:LA","lvl","Perth and Kinross"),"-")</f>
        <v>18</v>
      </c>
      <c r="F35" s="94">
        <f t="shared" si="0"/>
        <v>21</v>
      </c>
    </row>
    <row r="36" spans="1:6" ht="15" customHeight="1" x14ac:dyDescent="0.25">
      <c r="A36" s="89" t="s">
        <v>289</v>
      </c>
      <c r="B36" s="48" t="s">
        <v>53</v>
      </c>
      <c r="C36" s="93" t="str">
        <f>IFERROR(GETPIVOTDATA("Sum of Watch Manager",volroleareapivot!$A$3,"ReportingLevel","1:LA","lvl","Renfrewshire"),"-")</f>
        <v>-</v>
      </c>
      <c r="D36" s="93" t="str">
        <f>IFERROR(GETPIVOTDATA("Sum of Crew Manager",volroleareapivot!$A$3,"ReportingLevel","1:LA","lvl","Renfrewshire"),"-")</f>
        <v>-</v>
      </c>
      <c r="E36" s="93" t="str">
        <f>IFERROR(GETPIVOTDATA("Sum of Firefighter",volroleareapivot!$A$3,"ReportingLevel","1:LA","lvl","Renfrewshire"),"-")</f>
        <v>-</v>
      </c>
      <c r="F36" s="94">
        <f t="shared" si="0"/>
        <v>0</v>
      </c>
    </row>
    <row r="37" spans="1:6" ht="15" customHeight="1" x14ac:dyDescent="0.25">
      <c r="A37" s="89" t="s">
        <v>280</v>
      </c>
      <c r="B37" s="48" t="s">
        <v>54</v>
      </c>
      <c r="C37" s="93" t="str">
        <f>IFERROR(GETPIVOTDATA("Sum of Watch Manager",volroleareapivot!$A$3,"ReportingLevel","1:LA","lvl","Scottish Borders"),"-")</f>
        <v>-</v>
      </c>
      <c r="D37" s="93" t="str">
        <f>IFERROR(GETPIVOTDATA("Sum of Crew Manager",volroleareapivot!$A$3,"ReportingLevel","1:LA","lvl","Scottish Borders"),"-")</f>
        <v>-</v>
      </c>
      <c r="E37" s="93" t="str">
        <f>IFERROR(GETPIVOTDATA("Sum of Firefighter",volroleareapivot!$A$3,"ReportingLevel","1:LA","lvl","Scottish Borders"),"-")</f>
        <v>-</v>
      </c>
      <c r="F37" s="69">
        <f t="shared" si="0"/>
        <v>0</v>
      </c>
    </row>
    <row r="38" spans="1:6" ht="15" customHeight="1" x14ac:dyDescent="0.25">
      <c r="A38" s="89" t="s">
        <v>281</v>
      </c>
      <c r="B38" s="48" t="s">
        <v>55</v>
      </c>
      <c r="C38" s="93" t="str">
        <f>IFERROR(GETPIVOTDATA("Sum of Watch Manager",volroleareapivot!$A$3,"ReportingLevel","1:LA","lvl","Shetland Islands"),"-")</f>
        <v>-</v>
      </c>
      <c r="D38" s="93" t="str">
        <f>IFERROR(GETPIVOTDATA("Sum of Crew Manager",volroleareapivot!$A$3,"ReportingLevel","1:LA","lvl","Shetland Islands"),"-")</f>
        <v>-</v>
      </c>
      <c r="E38" s="93" t="str">
        <f>IFERROR(GETPIVOTDATA("Sum of Firefighter",volroleareapivot!$A$3,"ReportingLevel","1:LA","lvl","Shetland Islands"),"-")</f>
        <v>-</v>
      </c>
      <c r="F38" s="94">
        <f t="shared" si="0"/>
        <v>0</v>
      </c>
    </row>
    <row r="39" spans="1:6" ht="15" customHeight="1" x14ac:dyDescent="0.25">
      <c r="A39" s="89" t="s">
        <v>282</v>
      </c>
      <c r="B39" s="48" t="s">
        <v>56</v>
      </c>
      <c r="C39" s="93" t="str">
        <f>IFERROR(GETPIVOTDATA("Sum of Watch Manager",volroleareapivot!$A$3,"ReportingLevel","1:LA","lvl","South Ayrshire"),"-")</f>
        <v>-</v>
      </c>
      <c r="D39" s="93" t="str">
        <f>IFERROR(GETPIVOTDATA("Sum of Crew Manager",volroleareapivot!$A$3,"ReportingLevel","1:LA","lvl","South Ayrshire"),"-")</f>
        <v>-</v>
      </c>
      <c r="E39" s="93" t="str">
        <f>IFERROR(GETPIVOTDATA("Sum of Firefighter",volroleareapivot!$A$3,"ReportingLevel","1:LA","lvl","South Ayrshire"),"-")</f>
        <v>-</v>
      </c>
      <c r="F39" s="94">
        <f t="shared" si="0"/>
        <v>0</v>
      </c>
    </row>
    <row r="40" spans="1:6" ht="15" customHeight="1" x14ac:dyDescent="0.25">
      <c r="A40" s="89" t="s">
        <v>283</v>
      </c>
      <c r="B40" s="48" t="s">
        <v>57</v>
      </c>
      <c r="C40" s="93" t="str">
        <f>IFERROR(GETPIVOTDATA("Sum of Watch Manager",volroleareapivot!$A$3,"ReportingLevel","1:LA","lvl","South Lanarkshire"),"-")</f>
        <v>-</v>
      </c>
      <c r="D40" s="93" t="str">
        <f>IFERROR(GETPIVOTDATA("Sum of Crew Manager",volroleareapivot!$A$3,"ReportingLevel","1:LA","lvl","South Lanarkshire"),"-")</f>
        <v>-</v>
      </c>
      <c r="E40" s="93" t="str">
        <f>IFERROR(GETPIVOTDATA("Sum of Firefighter",volroleareapivot!$A$3,"ReportingLevel","1:LA","lvl","South Lanarkshire"),"-")</f>
        <v>-</v>
      </c>
      <c r="F40" s="94">
        <f t="shared" si="0"/>
        <v>0</v>
      </c>
    </row>
    <row r="41" spans="1:6" ht="15" customHeight="1" x14ac:dyDescent="0.25">
      <c r="A41" s="89" t="s">
        <v>284</v>
      </c>
      <c r="B41" s="48" t="s">
        <v>58</v>
      </c>
      <c r="C41" s="93" t="str">
        <f>IFERROR(GETPIVOTDATA("Sum of Watch Manager",volroleareapivot!$A$3,"ReportingLevel","1:LA","lvl","Stirling"),"-")</f>
        <v>-</v>
      </c>
      <c r="D41" s="93" t="str">
        <f>IFERROR(GETPIVOTDATA("Sum of Crew Manager",volroleareapivot!$A$3,"ReportingLevel","1:LA","lvl","Stirling"),"-")</f>
        <v>-</v>
      </c>
      <c r="E41" s="93" t="str">
        <f>IFERROR(GETPIVOTDATA("Sum of Firefighter",volroleareapivot!$A$3,"ReportingLevel","1:LA","lvl","Stirling"),"-")</f>
        <v>-</v>
      </c>
      <c r="F41" s="94">
        <f t="shared" si="0"/>
        <v>0</v>
      </c>
    </row>
    <row r="42" spans="1:6" ht="15" customHeight="1" x14ac:dyDescent="0.25">
      <c r="A42" s="89" t="s">
        <v>290</v>
      </c>
      <c r="B42" s="48" t="s">
        <v>59</v>
      </c>
      <c r="C42" s="93" t="str">
        <f>IFERROR(GETPIVOTDATA("Sum of Watch Manager",volroleareapivot!$A$3,"ReportingLevel","1:LA","lvl","West Dunbartonshire"),"-")</f>
        <v>-</v>
      </c>
      <c r="D42" s="93" t="str">
        <f>IFERROR(GETPIVOTDATA("Sum of Crew Manager",volroleareapivot!$A$3,"ReportingLevel","1:LA","lvl","West Dunbartonshire"),"-")</f>
        <v>-</v>
      </c>
      <c r="E42" s="93" t="str">
        <f>IFERROR(GETPIVOTDATA("Sum of Firefighter",volroleareapivot!$A$3,"ReportingLevel","1:LA","lvl","West Dunbartonshire"),"-")</f>
        <v>-</v>
      </c>
      <c r="F42" s="94">
        <f>SUM(C42:E42)</f>
        <v>0</v>
      </c>
    </row>
    <row r="43" spans="1:6" ht="15" customHeight="1" x14ac:dyDescent="0.25">
      <c r="A43" s="89" t="s">
        <v>291</v>
      </c>
      <c r="B43" s="48" t="s">
        <v>60</v>
      </c>
      <c r="C43" s="93" t="str">
        <f>IFERROR(GETPIVOTDATA("Sum of Watch Manager",volroleareapivot!$A$3,"ReportingLevel","1:LA","lvl","West Lothian"),"-")</f>
        <v>-</v>
      </c>
      <c r="D43" s="93" t="str">
        <f>IFERROR(GETPIVOTDATA("Sum of Crew Manager",volroleareapivot!$A$3,"ReportingLevel","1:LA","lvl","West Lothian"),"-")</f>
        <v>-</v>
      </c>
      <c r="E43" s="93" t="str">
        <f>IFERROR(GETPIVOTDATA("Sum of Firefighter",volroleareapivot!$A$3,"ReportingLevel","1:LA","lvl","West Lothian"),"-")</f>
        <v>-</v>
      </c>
      <c r="F43" s="94">
        <f t="shared" si="0"/>
        <v>0</v>
      </c>
    </row>
    <row r="44" spans="1:6" ht="30" customHeight="1" thickBot="1" x14ac:dyDescent="0.3">
      <c r="A44" s="463"/>
      <c r="B44" s="73" t="s">
        <v>61</v>
      </c>
      <c r="C44" s="53">
        <f>SUM(C12:C43)</f>
        <v>35</v>
      </c>
      <c r="D44" s="53">
        <f>SUM(D12:D43)</f>
        <v>41</v>
      </c>
      <c r="E44" s="53">
        <f>SUM(E12:E43)</f>
        <v>193</v>
      </c>
      <c r="F44" s="53">
        <f>SUM(F12:F43)</f>
        <v>269</v>
      </c>
    </row>
    <row r="45" spans="1:6" ht="13.5" customHeight="1" x14ac:dyDescent="0.25">
      <c r="B45" s="95"/>
      <c r="C45" s="95"/>
      <c r="D45" s="95"/>
      <c r="E45" s="95"/>
      <c r="F45" s="95"/>
    </row>
    <row r="46" spans="1:6" ht="13.5" customHeight="1" x14ac:dyDescent="0.25">
      <c r="A46" s="355" t="s">
        <v>8</v>
      </c>
      <c r="B46" s="352"/>
      <c r="C46" s="352"/>
      <c r="D46" s="352"/>
      <c r="E46" s="352"/>
    </row>
    <row r="47" spans="1:6" ht="15" customHeight="1" x14ac:dyDescent="0.25">
      <c r="A47" s="459" t="s">
        <v>219</v>
      </c>
      <c r="B47" s="431"/>
      <c r="C47" s="431"/>
      <c r="D47" s="431"/>
      <c r="E47" s="431"/>
    </row>
    <row r="48" spans="1:6" ht="15" customHeight="1" x14ac:dyDescent="0.25"/>
  </sheetData>
  <sheetProtection algorithmName="SHA-512" hashValue="4UyuV1vaZhHSteFSP4cHBhuBjSLmDqpXbmlKIySAUMPaxaqHjOrsHG9MdRR8IHALu+U8UUpgibIkoesYeTngww==" saltValue="WRPGQakXBRaUpE9nNAEdlg==" spinCount="100000" sheet="1" scenarios="1" formatCells="0" sort="0" autoFilter="0" pivotTables="0"/>
  <mergeCells count="1">
    <mergeCell ref="A1:G1"/>
  </mergeCells>
  <hyperlinks>
    <hyperlink ref="A2" location="'Table of Contents'!A1" display="Back to Table of Contents" xr:uid="{00000000-0004-0000-4100-000000000000}"/>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9" tint="0.39997558519241921"/>
  </sheetPr>
  <dimension ref="A1:H61"/>
  <sheetViews>
    <sheetView topLeftCell="A22" zoomScale="70" zoomScaleNormal="70" workbookViewId="0">
      <selection activeCell="B51" sqref="B51"/>
    </sheetView>
  </sheetViews>
  <sheetFormatPr defaultRowHeight="15" x14ac:dyDescent="0.25"/>
  <cols>
    <col min="1" max="1" width="62.5703125" bestFit="1" customWidth="1"/>
    <col min="2" max="2" width="28.5703125" bestFit="1" customWidth="1"/>
    <col min="3" max="3" width="25.140625" bestFit="1" customWidth="1"/>
    <col min="4" max="4" width="26.85546875" bestFit="1" customWidth="1"/>
    <col min="5" max="5" width="27.85546875" bestFit="1" customWidth="1"/>
    <col min="6" max="6" width="27" bestFit="1" customWidth="1"/>
    <col min="7" max="7" width="25.42578125" bestFit="1" customWidth="1"/>
    <col min="8" max="8" width="21.140625" bestFit="1" customWidth="1"/>
  </cols>
  <sheetData>
    <row r="1" spans="1:8" x14ac:dyDescent="0.25">
      <c r="A1" s="394" t="s">
        <v>1</v>
      </c>
      <c r="B1" t="s">
        <v>1108</v>
      </c>
    </row>
    <row r="3" spans="1:8" x14ac:dyDescent="0.25">
      <c r="A3" s="394" t="s">
        <v>231</v>
      </c>
      <c r="B3" t="s">
        <v>249</v>
      </c>
      <c r="C3" t="s">
        <v>250</v>
      </c>
      <c r="D3" t="s">
        <v>251</v>
      </c>
      <c r="E3" t="s">
        <v>252</v>
      </c>
      <c r="F3" t="s">
        <v>241</v>
      </c>
      <c r="G3" t="s">
        <v>253</v>
      </c>
      <c r="H3" t="s">
        <v>254</v>
      </c>
    </row>
    <row r="4" spans="1:8" x14ac:dyDescent="0.25">
      <c r="A4" s="395" t="s">
        <v>232</v>
      </c>
    </row>
    <row r="5" spans="1:8" x14ac:dyDescent="0.25">
      <c r="A5" s="396" t="s">
        <v>31</v>
      </c>
      <c r="F5">
        <v>22</v>
      </c>
      <c r="G5">
        <v>34</v>
      </c>
      <c r="H5">
        <v>106</v>
      </c>
    </row>
    <row r="6" spans="1:8" x14ac:dyDescent="0.25">
      <c r="A6" s="396" t="s">
        <v>32</v>
      </c>
      <c r="F6">
        <v>5</v>
      </c>
      <c r="G6">
        <v>6</v>
      </c>
      <c r="H6">
        <v>17</v>
      </c>
    </row>
    <row r="7" spans="1:8" x14ac:dyDescent="0.25">
      <c r="A7" s="396" t="s">
        <v>33</v>
      </c>
      <c r="F7">
        <v>5</v>
      </c>
      <c r="G7">
        <v>5</v>
      </c>
      <c r="H7">
        <v>17</v>
      </c>
    </row>
    <row r="8" spans="1:8" x14ac:dyDescent="0.25">
      <c r="A8" s="396" t="s">
        <v>34</v>
      </c>
      <c r="F8">
        <v>11</v>
      </c>
      <c r="G8">
        <v>10</v>
      </c>
      <c r="H8">
        <v>34</v>
      </c>
    </row>
    <row r="9" spans="1:8" x14ac:dyDescent="0.25">
      <c r="A9" s="396" t="s">
        <v>243</v>
      </c>
      <c r="F9">
        <v>35</v>
      </c>
      <c r="G9">
        <v>59</v>
      </c>
      <c r="H9">
        <v>198.5</v>
      </c>
    </row>
    <row r="10" spans="1:8" x14ac:dyDescent="0.25">
      <c r="A10" s="396" t="s">
        <v>35</v>
      </c>
      <c r="F10">
        <v>6</v>
      </c>
      <c r="G10">
        <v>5</v>
      </c>
      <c r="H10">
        <v>16</v>
      </c>
    </row>
    <row r="11" spans="1:8" x14ac:dyDescent="0.25">
      <c r="A11" s="396" t="s">
        <v>36</v>
      </c>
      <c r="F11">
        <v>5</v>
      </c>
      <c r="G11">
        <v>10</v>
      </c>
      <c r="H11">
        <v>38</v>
      </c>
    </row>
    <row r="12" spans="1:8" x14ac:dyDescent="0.25">
      <c r="A12" s="396" t="s">
        <v>37</v>
      </c>
      <c r="F12">
        <v>20</v>
      </c>
      <c r="G12">
        <v>30</v>
      </c>
      <c r="H12">
        <v>118</v>
      </c>
    </row>
    <row r="13" spans="1:8" x14ac:dyDescent="0.25">
      <c r="A13" s="396" t="s">
        <v>38</v>
      </c>
      <c r="F13">
        <v>6</v>
      </c>
      <c r="G13">
        <v>10</v>
      </c>
      <c r="H13">
        <v>32</v>
      </c>
    </row>
    <row r="14" spans="1:8" x14ac:dyDescent="0.25">
      <c r="A14" s="396" t="s">
        <v>39</v>
      </c>
      <c r="F14">
        <v>15</v>
      </c>
      <c r="G14">
        <v>15</v>
      </c>
      <c r="H14">
        <v>46</v>
      </c>
    </row>
    <row r="15" spans="1:8" x14ac:dyDescent="0.25">
      <c r="A15" s="396" t="s">
        <v>40</v>
      </c>
      <c r="F15">
        <v>5</v>
      </c>
      <c r="G15">
        <v>5</v>
      </c>
      <c r="H15">
        <v>15</v>
      </c>
    </row>
    <row r="16" spans="1:8" x14ac:dyDescent="0.25">
      <c r="A16" s="396" t="s">
        <v>41</v>
      </c>
      <c r="F16">
        <v>10</v>
      </c>
      <c r="G16">
        <v>10</v>
      </c>
      <c r="H16">
        <v>33</v>
      </c>
    </row>
    <row r="17" spans="1:8" x14ac:dyDescent="0.25">
      <c r="A17" s="396" t="s">
        <v>42</v>
      </c>
      <c r="F17">
        <v>15</v>
      </c>
      <c r="G17">
        <v>20</v>
      </c>
      <c r="H17">
        <v>56</v>
      </c>
    </row>
    <row r="18" spans="1:8" x14ac:dyDescent="0.25">
      <c r="A18" s="396" t="s">
        <v>43</v>
      </c>
      <c r="F18">
        <v>27</v>
      </c>
      <c r="G18">
        <v>43</v>
      </c>
      <c r="H18">
        <v>146</v>
      </c>
    </row>
    <row r="19" spans="1:8" x14ac:dyDescent="0.25">
      <c r="A19" s="396" t="s">
        <v>117</v>
      </c>
      <c r="F19">
        <v>67</v>
      </c>
      <c r="G19">
        <v>94</v>
      </c>
      <c r="H19">
        <v>302</v>
      </c>
    </row>
    <row r="20" spans="1:8" x14ac:dyDescent="0.25">
      <c r="A20" s="396" t="s">
        <v>44</v>
      </c>
      <c r="F20">
        <v>8</v>
      </c>
      <c r="G20">
        <v>20</v>
      </c>
      <c r="H20">
        <v>52</v>
      </c>
    </row>
    <row r="21" spans="1:8" x14ac:dyDescent="0.25">
      <c r="A21" s="396" t="s">
        <v>45</v>
      </c>
      <c r="F21">
        <v>10</v>
      </c>
      <c r="G21">
        <v>14</v>
      </c>
      <c r="H21">
        <v>39</v>
      </c>
    </row>
    <row r="22" spans="1:8" x14ac:dyDescent="0.25">
      <c r="A22" s="396" t="s">
        <v>46</v>
      </c>
      <c r="F22">
        <v>6</v>
      </c>
      <c r="G22">
        <v>7</v>
      </c>
      <c r="H22">
        <v>16</v>
      </c>
    </row>
    <row r="23" spans="1:8" x14ac:dyDescent="0.25">
      <c r="A23" s="396" t="s">
        <v>47</v>
      </c>
      <c r="F23">
        <v>5</v>
      </c>
      <c r="G23">
        <v>4</v>
      </c>
      <c r="H23">
        <v>21</v>
      </c>
    </row>
    <row r="24" spans="1:8" x14ac:dyDescent="0.25">
      <c r="A24" s="396" t="s">
        <v>48</v>
      </c>
      <c r="F24">
        <v>3</v>
      </c>
    </row>
    <row r="25" spans="1:8" x14ac:dyDescent="0.25">
      <c r="A25" s="396" t="s">
        <v>49</v>
      </c>
      <c r="F25">
        <v>15</v>
      </c>
      <c r="G25">
        <v>16</v>
      </c>
      <c r="H25">
        <v>54</v>
      </c>
    </row>
    <row r="26" spans="1:8" x14ac:dyDescent="0.25">
      <c r="A26" s="396" t="s">
        <v>50</v>
      </c>
      <c r="F26">
        <v>21</v>
      </c>
      <c r="G26">
        <v>36</v>
      </c>
      <c r="H26">
        <v>112</v>
      </c>
    </row>
    <row r="27" spans="1:8" x14ac:dyDescent="0.25">
      <c r="A27" s="396" t="s">
        <v>52</v>
      </c>
      <c r="F27">
        <v>5</v>
      </c>
      <c r="G27">
        <v>12</v>
      </c>
      <c r="H27">
        <v>49</v>
      </c>
    </row>
    <row r="28" spans="1:8" x14ac:dyDescent="0.25">
      <c r="A28" s="396" t="s">
        <v>53</v>
      </c>
      <c r="F28">
        <v>15</v>
      </c>
      <c r="G28">
        <v>21</v>
      </c>
      <c r="H28">
        <v>66</v>
      </c>
    </row>
    <row r="29" spans="1:8" x14ac:dyDescent="0.25">
      <c r="A29" s="396" t="s">
        <v>54</v>
      </c>
      <c r="F29">
        <v>10</v>
      </c>
      <c r="G29">
        <v>9</v>
      </c>
      <c r="H29">
        <v>38</v>
      </c>
    </row>
    <row r="30" spans="1:8" x14ac:dyDescent="0.25">
      <c r="A30" s="396" t="s">
        <v>55</v>
      </c>
      <c r="F30">
        <v>1</v>
      </c>
    </row>
    <row r="31" spans="1:8" x14ac:dyDescent="0.25">
      <c r="A31" s="396" t="s">
        <v>56</v>
      </c>
      <c r="F31">
        <v>6</v>
      </c>
      <c r="G31">
        <v>10</v>
      </c>
      <c r="H31">
        <v>36</v>
      </c>
    </row>
    <row r="32" spans="1:8" x14ac:dyDescent="0.25">
      <c r="A32" s="396" t="s">
        <v>57</v>
      </c>
      <c r="F32">
        <v>20</v>
      </c>
      <c r="G32">
        <v>30</v>
      </c>
      <c r="H32">
        <v>111</v>
      </c>
    </row>
    <row r="33" spans="1:8" x14ac:dyDescent="0.25">
      <c r="A33" s="396" t="s">
        <v>58</v>
      </c>
      <c r="F33">
        <v>5</v>
      </c>
      <c r="G33">
        <v>10</v>
      </c>
      <c r="H33">
        <v>34</v>
      </c>
    </row>
    <row r="34" spans="1:8" x14ac:dyDescent="0.25">
      <c r="A34" s="396" t="s">
        <v>59</v>
      </c>
      <c r="F34">
        <v>11</v>
      </c>
      <c r="G34">
        <v>13</v>
      </c>
      <c r="H34">
        <v>51</v>
      </c>
    </row>
    <row r="35" spans="1:8" x14ac:dyDescent="0.25">
      <c r="A35" s="396" t="s">
        <v>60</v>
      </c>
      <c r="F35">
        <v>13</v>
      </c>
      <c r="G35">
        <v>11</v>
      </c>
      <c r="H35">
        <v>36.980000000000004</v>
      </c>
    </row>
    <row r="36" spans="1:8" x14ac:dyDescent="0.25">
      <c r="A36" s="395" t="s">
        <v>832</v>
      </c>
      <c r="F36">
        <v>408</v>
      </c>
      <c r="G36">
        <v>569</v>
      </c>
      <c r="H36">
        <v>1890.48</v>
      </c>
    </row>
    <row r="37" spans="1:8" x14ac:dyDescent="0.25">
      <c r="A37" s="395" t="s">
        <v>233</v>
      </c>
    </row>
    <row r="38" spans="1:8" x14ac:dyDescent="0.25">
      <c r="A38" s="396" t="s">
        <v>64</v>
      </c>
      <c r="C38">
        <v>1</v>
      </c>
      <c r="D38">
        <v>4</v>
      </c>
      <c r="E38">
        <v>9</v>
      </c>
      <c r="F38">
        <v>6</v>
      </c>
      <c r="G38">
        <v>6</v>
      </c>
      <c r="H38">
        <v>2</v>
      </c>
    </row>
    <row r="39" spans="1:8" x14ac:dyDescent="0.25">
      <c r="A39" s="396" t="s">
        <v>36</v>
      </c>
      <c r="C39">
        <v>1</v>
      </c>
      <c r="D39">
        <v>2</v>
      </c>
      <c r="E39">
        <v>5</v>
      </c>
      <c r="F39">
        <v>7</v>
      </c>
      <c r="G39">
        <v>5</v>
      </c>
      <c r="H39">
        <v>1.83</v>
      </c>
    </row>
    <row r="40" spans="1:8" x14ac:dyDescent="0.25">
      <c r="A40" s="396" t="s">
        <v>65</v>
      </c>
      <c r="C40">
        <v>2</v>
      </c>
      <c r="D40">
        <v>4</v>
      </c>
      <c r="E40">
        <v>8</v>
      </c>
      <c r="F40">
        <v>8.77</v>
      </c>
    </row>
    <row r="41" spans="1:8" x14ac:dyDescent="0.25">
      <c r="A41" s="396" t="s">
        <v>66</v>
      </c>
      <c r="C41">
        <v>1</v>
      </c>
      <c r="D41">
        <v>3</v>
      </c>
      <c r="E41">
        <v>9</v>
      </c>
      <c r="F41">
        <v>7</v>
      </c>
      <c r="G41">
        <v>5</v>
      </c>
    </row>
    <row r="42" spans="1:8" x14ac:dyDescent="0.25">
      <c r="A42" s="396" t="s">
        <v>67</v>
      </c>
      <c r="C42">
        <v>1</v>
      </c>
      <c r="D42">
        <v>3</v>
      </c>
      <c r="E42">
        <v>6</v>
      </c>
      <c r="F42">
        <v>9</v>
      </c>
      <c r="G42">
        <v>3</v>
      </c>
      <c r="H42">
        <v>4</v>
      </c>
    </row>
    <row r="43" spans="1:8" x14ac:dyDescent="0.25">
      <c r="A43" s="396" t="s">
        <v>68</v>
      </c>
      <c r="C43">
        <v>1</v>
      </c>
      <c r="D43">
        <v>3</v>
      </c>
      <c r="E43">
        <v>6</v>
      </c>
      <c r="F43">
        <v>4</v>
      </c>
      <c r="G43">
        <v>3</v>
      </c>
      <c r="H43">
        <v>1</v>
      </c>
    </row>
    <row r="44" spans="1:8" x14ac:dyDescent="0.25">
      <c r="A44" s="396" t="s">
        <v>165</v>
      </c>
      <c r="C44">
        <v>1</v>
      </c>
      <c r="D44">
        <v>3</v>
      </c>
      <c r="E44">
        <v>7</v>
      </c>
      <c r="F44">
        <v>9</v>
      </c>
      <c r="G44">
        <v>4</v>
      </c>
      <c r="H44">
        <v>3</v>
      </c>
    </row>
    <row r="45" spans="1:8" x14ac:dyDescent="0.25">
      <c r="A45" s="396" t="s">
        <v>69</v>
      </c>
      <c r="C45">
        <v>1</v>
      </c>
      <c r="D45">
        <v>2</v>
      </c>
      <c r="E45">
        <v>6</v>
      </c>
      <c r="F45">
        <v>6</v>
      </c>
      <c r="G45">
        <v>3</v>
      </c>
      <c r="H45">
        <v>1</v>
      </c>
    </row>
    <row r="46" spans="1:8" x14ac:dyDescent="0.25">
      <c r="A46" s="396" t="s">
        <v>117</v>
      </c>
      <c r="C46">
        <v>1</v>
      </c>
      <c r="D46">
        <v>4</v>
      </c>
      <c r="E46">
        <v>8</v>
      </c>
      <c r="F46">
        <v>7</v>
      </c>
      <c r="G46">
        <v>2</v>
      </c>
      <c r="H46">
        <v>1</v>
      </c>
    </row>
    <row r="47" spans="1:8" x14ac:dyDescent="0.25">
      <c r="A47" s="396" t="s">
        <v>70</v>
      </c>
      <c r="C47">
        <v>1</v>
      </c>
      <c r="D47">
        <v>4</v>
      </c>
      <c r="E47">
        <v>12</v>
      </c>
      <c r="F47">
        <v>4</v>
      </c>
      <c r="G47">
        <v>1</v>
      </c>
      <c r="H47">
        <v>1</v>
      </c>
    </row>
    <row r="48" spans="1:8" x14ac:dyDescent="0.25">
      <c r="A48" s="396" t="s">
        <v>762</v>
      </c>
      <c r="C48">
        <v>1</v>
      </c>
      <c r="D48">
        <v>4</v>
      </c>
      <c r="E48">
        <v>9</v>
      </c>
      <c r="F48">
        <v>10</v>
      </c>
      <c r="G48">
        <v>7</v>
      </c>
      <c r="H48">
        <v>2</v>
      </c>
    </row>
    <row r="49" spans="1:8" x14ac:dyDescent="0.25">
      <c r="A49" s="396" t="s">
        <v>71</v>
      </c>
      <c r="C49">
        <v>1</v>
      </c>
      <c r="D49">
        <v>4</v>
      </c>
      <c r="E49">
        <v>6</v>
      </c>
    </row>
    <row r="50" spans="1:8" x14ac:dyDescent="0.25">
      <c r="A50" s="396" t="s">
        <v>1038</v>
      </c>
      <c r="C50">
        <v>1</v>
      </c>
      <c r="D50">
        <v>4</v>
      </c>
      <c r="E50">
        <v>11</v>
      </c>
      <c r="F50">
        <v>6</v>
      </c>
    </row>
    <row r="51" spans="1:8" x14ac:dyDescent="0.25">
      <c r="A51" s="396" t="s">
        <v>1040</v>
      </c>
      <c r="C51">
        <v>1</v>
      </c>
      <c r="D51">
        <v>3</v>
      </c>
      <c r="E51">
        <v>10</v>
      </c>
      <c r="F51">
        <v>9</v>
      </c>
      <c r="G51">
        <v>3</v>
      </c>
      <c r="H51">
        <v>1</v>
      </c>
    </row>
    <row r="52" spans="1:8" x14ac:dyDescent="0.25">
      <c r="A52" s="395" t="s">
        <v>833</v>
      </c>
      <c r="C52">
        <v>15</v>
      </c>
      <c r="D52">
        <v>47</v>
      </c>
      <c r="E52">
        <v>112</v>
      </c>
      <c r="F52">
        <v>92.77</v>
      </c>
      <c r="G52">
        <v>42</v>
      </c>
      <c r="H52">
        <v>17.829999999999998</v>
      </c>
    </row>
    <row r="53" spans="1:8" x14ac:dyDescent="0.25">
      <c r="A53" s="395" t="s">
        <v>234</v>
      </c>
    </row>
    <row r="54" spans="1:8" x14ac:dyDescent="0.25">
      <c r="A54" s="396" t="s">
        <v>164</v>
      </c>
      <c r="C54">
        <v>1</v>
      </c>
      <c r="D54">
        <v>2</v>
      </c>
      <c r="E54">
        <v>5</v>
      </c>
      <c r="F54">
        <v>18</v>
      </c>
      <c r="G54">
        <v>3</v>
      </c>
    </row>
    <row r="55" spans="1:8" x14ac:dyDescent="0.25">
      <c r="A55" s="396" t="s">
        <v>162</v>
      </c>
      <c r="C55">
        <v>2</v>
      </c>
      <c r="D55">
        <v>2</v>
      </c>
      <c r="E55">
        <v>8</v>
      </c>
      <c r="F55">
        <v>23</v>
      </c>
      <c r="G55">
        <v>17</v>
      </c>
    </row>
    <row r="56" spans="1:8" x14ac:dyDescent="0.25">
      <c r="A56" s="396" t="s">
        <v>163</v>
      </c>
      <c r="C56">
        <v>2</v>
      </c>
      <c r="D56">
        <v>4</v>
      </c>
      <c r="E56">
        <v>7</v>
      </c>
      <c r="F56">
        <v>38</v>
      </c>
      <c r="G56">
        <v>8</v>
      </c>
      <c r="H56">
        <v>1</v>
      </c>
    </row>
    <row r="57" spans="1:8" x14ac:dyDescent="0.25">
      <c r="A57" s="395" t="s">
        <v>834</v>
      </c>
      <c r="C57">
        <v>5</v>
      </c>
      <c r="D57">
        <v>8</v>
      </c>
      <c r="E57">
        <v>20</v>
      </c>
      <c r="F57">
        <v>79</v>
      </c>
      <c r="G57">
        <v>28</v>
      </c>
      <c r="H57">
        <v>1</v>
      </c>
    </row>
    <row r="58" spans="1:8" x14ac:dyDescent="0.25">
      <c r="A58" s="395" t="s">
        <v>235</v>
      </c>
    </row>
    <row r="59" spans="1:8" x14ac:dyDescent="0.25">
      <c r="A59" s="396" t="s">
        <v>244</v>
      </c>
      <c r="B59">
        <v>5</v>
      </c>
      <c r="C59">
        <v>11</v>
      </c>
      <c r="D59">
        <v>16</v>
      </c>
      <c r="E59">
        <v>24</v>
      </c>
      <c r="F59">
        <v>27</v>
      </c>
      <c r="G59">
        <v>1</v>
      </c>
    </row>
    <row r="60" spans="1:8" x14ac:dyDescent="0.25">
      <c r="A60" s="395" t="s">
        <v>835</v>
      </c>
      <c r="B60">
        <v>5</v>
      </c>
      <c r="C60">
        <v>11</v>
      </c>
      <c r="D60">
        <v>16</v>
      </c>
      <c r="E60">
        <v>24</v>
      </c>
      <c r="F60">
        <v>27</v>
      </c>
      <c r="G60">
        <v>1</v>
      </c>
    </row>
    <row r="61" spans="1:8" x14ac:dyDescent="0.25">
      <c r="A61" s="395" t="s">
        <v>236</v>
      </c>
      <c r="B61">
        <v>5</v>
      </c>
      <c r="C61">
        <v>31</v>
      </c>
      <c r="D61">
        <v>71</v>
      </c>
      <c r="E61">
        <v>156</v>
      </c>
      <c r="F61">
        <v>606.77</v>
      </c>
      <c r="G61">
        <v>640</v>
      </c>
      <c r="H61">
        <v>1909.31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9" tint="0.39997558519241921"/>
  </sheetPr>
  <dimension ref="A1:L565"/>
  <sheetViews>
    <sheetView workbookViewId="0">
      <selection activeCell="D18" sqref="D18"/>
    </sheetView>
  </sheetViews>
  <sheetFormatPr defaultRowHeight="15" x14ac:dyDescent="0.25"/>
  <cols>
    <col min="1" max="1" width="7.42578125" bestFit="1" customWidth="1"/>
    <col min="2" max="2" width="16.140625" bestFit="1" customWidth="1"/>
    <col min="3" max="3" width="9.7109375" bestFit="1" customWidth="1"/>
    <col min="4" max="4" width="55.140625" bestFit="1" customWidth="1"/>
    <col min="5" max="5" width="11.85546875" bestFit="1" customWidth="1"/>
    <col min="6" max="6" width="15.28515625" bestFit="1" customWidth="1"/>
    <col min="7" max="7" width="17.7109375" bestFit="1" customWidth="1"/>
    <col min="8" max="8" width="15.5703125" bestFit="1" customWidth="1"/>
    <col min="9" max="9" width="12.28515625" bestFit="1" customWidth="1"/>
    <col min="10" max="10" width="16.5703125" bestFit="1" customWidth="1"/>
    <col min="11" max="11" width="17.28515625" bestFit="1" customWidth="1"/>
    <col min="12" max="12" width="16.7109375" bestFit="1" customWidth="1"/>
  </cols>
  <sheetData>
    <row r="1" spans="1:12" x14ac:dyDescent="0.25">
      <c r="A1" t="s">
        <v>1</v>
      </c>
      <c r="B1" t="s">
        <v>982</v>
      </c>
      <c r="C1" t="s">
        <v>242</v>
      </c>
      <c r="D1" t="s">
        <v>983</v>
      </c>
      <c r="E1" t="s">
        <v>26</v>
      </c>
      <c r="F1" t="s">
        <v>18</v>
      </c>
      <c r="G1" t="s">
        <v>196</v>
      </c>
      <c r="H1" t="s">
        <v>22</v>
      </c>
      <c r="I1" t="s">
        <v>23</v>
      </c>
      <c r="J1" t="s">
        <v>19</v>
      </c>
      <c r="K1" t="s">
        <v>20</v>
      </c>
      <c r="L1" t="s">
        <v>21</v>
      </c>
    </row>
    <row r="2" spans="1:12" x14ac:dyDescent="0.25">
      <c r="A2" t="s">
        <v>192</v>
      </c>
      <c r="B2" t="s">
        <v>232</v>
      </c>
      <c r="C2" t="s">
        <v>266</v>
      </c>
      <c r="D2" t="s">
        <v>35</v>
      </c>
      <c r="E2">
        <v>43</v>
      </c>
      <c r="F2">
        <v>0</v>
      </c>
      <c r="G2">
        <v>0</v>
      </c>
      <c r="H2">
        <v>9</v>
      </c>
      <c r="I2">
        <v>30</v>
      </c>
      <c r="J2">
        <v>0</v>
      </c>
      <c r="K2">
        <v>0</v>
      </c>
      <c r="L2">
        <v>4</v>
      </c>
    </row>
    <row r="3" spans="1:12" x14ac:dyDescent="0.25">
      <c r="A3" t="s">
        <v>192</v>
      </c>
      <c r="B3" t="s">
        <v>232</v>
      </c>
      <c r="C3" t="s">
        <v>267</v>
      </c>
      <c r="D3" t="s">
        <v>36</v>
      </c>
      <c r="E3">
        <v>69</v>
      </c>
      <c r="F3">
        <v>0</v>
      </c>
      <c r="G3">
        <v>0</v>
      </c>
      <c r="H3">
        <v>11</v>
      </c>
      <c r="I3">
        <v>53</v>
      </c>
      <c r="J3">
        <v>0</v>
      </c>
      <c r="K3">
        <v>0</v>
      </c>
      <c r="L3">
        <v>5</v>
      </c>
    </row>
    <row r="4" spans="1:12" x14ac:dyDescent="0.25">
      <c r="A4" t="s">
        <v>192</v>
      </c>
      <c r="B4" t="s">
        <v>232</v>
      </c>
      <c r="C4" t="s">
        <v>268</v>
      </c>
      <c r="D4" t="s">
        <v>38</v>
      </c>
      <c r="E4">
        <v>59</v>
      </c>
      <c r="F4">
        <v>0</v>
      </c>
      <c r="G4">
        <v>0</v>
      </c>
      <c r="H4">
        <v>11</v>
      </c>
      <c r="I4">
        <v>40</v>
      </c>
      <c r="J4">
        <v>0</v>
      </c>
      <c r="K4">
        <v>0</v>
      </c>
      <c r="L4">
        <v>8</v>
      </c>
    </row>
    <row r="5" spans="1:12" x14ac:dyDescent="0.25">
      <c r="A5" t="s">
        <v>192</v>
      </c>
      <c r="B5" t="s">
        <v>232</v>
      </c>
      <c r="C5" t="s">
        <v>269</v>
      </c>
      <c r="D5" t="s">
        <v>40</v>
      </c>
      <c r="E5">
        <v>29</v>
      </c>
      <c r="F5">
        <v>0</v>
      </c>
      <c r="G5">
        <v>0</v>
      </c>
      <c r="H5">
        <v>5</v>
      </c>
      <c r="I5">
        <v>21</v>
      </c>
      <c r="J5">
        <v>0</v>
      </c>
      <c r="K5">
        <v>0</v>
      </c>
      <c r="L5">
        <v>3</v>
      </c>
    </row>
    <row r="6" spans="1:12" x14ac:dyDescent="0.25">
      <c r="A6" t="s">
        <v>192</v>
      </c>
      <c r="B6" t="s">
        <v>232</v>
      </c>
      <c r="C6" t="s">
        <v>270</v>
      </c>
      <c r="D6" t="s">
        <v>41</v>
      </c>
      <c r="E6">
        <v>59</v>
      </c>
      <c r="F6">
        <v>0</v>
      </c>
      <c r="G6">
        <v>0</v>
      </c>
      <c r="H6">
        <v>14</v>
      </c>
      <c r="I6">
        <v>34</v>
      </c>
      <c r="J6">
        <v>0</v>
      </c>
      <c r="K6">
        <v>0</v>
      </c>
      <c r="L6">
        <v>11</v>
      </c>
    </row>
    <row r="7" spans="1:12" x14ac:dyDescent="0.25">
      <c r="A7" t="s">
        <v>192</v>
      </c>
      <c r="B7" t="s">
        <v>232</v>
      </c>
      <c r="C7" t="s">
        <v>271</v>
      </c>
      <c r="D7" t="s">
        <v>48</v>
      </c>
      <c r="E7">
        <v>0</v>
      </c>
      <c r="F7">
        <v>0</v>
      </c>
      <c r="G7">
        <v>0</v>
      </c>
      <c r="H7">
        <v>0</v>
      </c>
      <c r="I7">
        <v>0</v>
      </c>
      <c r="J7">
        <v>0</v>
      </c>
      <c r="K7">
        <v>0</v>
      </c>
      <c r="L7">
        <v>0</v>
      </c>
    </row>
    <row r="8" spans="1:12" x14ac:dyDescent="0.25">
      <c r="A8" t="s">
        <v>192</v>
      </c>
      <c r="B8" t="s">
        <v>232</v>
      </c>
      <c r="C8" t="s">
        <v>272</v>
      </c>
      <c r="D8" t="s">
        <v>42</v>
      </c>
      <c r="E8">
        <v>96</v>
      </c>
      <c r="F8">
        <v>0</v>
      </c>
      <c r="G8">
        <v>0</v>
      </c>
      <c r="H8">
        <v>18</v>
      </c>
      <c r="I8">
        <v>65</v>
      </c>
      <c r="J8">
        <v>0</v>
      </c>
      <c r="K8">
        <v>1</v>
      </c>
      <c r="L8">
        <v>12</v>
      </c>
    </row>
    <row r="9" spans="1:12" x14ac:dyDescent="0.25">
      <c r="A9" t="s">
        <v>192</v>
      </c>
      <c r="B9" t="s">
        <v>232</v>
      </c>
      <c r="C9" t="s">
        <v>273</v>
      </c>
      <c r="D9" t="s">
        <v>44</v>
      </c>
      <c r="E9">
        <v>81</v>
      </c>
      <c r="F9">
        <v>0</v>
      </c>
      <c r="G9">
        <v>0</v>
      </c>
      <c r="H9">
        <v>9</v>
      </c>
      <c r="I9">
        <v>60</v>
      </c>
      <c r="J9">
        <v>0</v>
      </c>
      <c r="K9">
        <v>2</v>
      </c>
      <c r="L9">
        <v>10</v>
      </c>
    </row>
    <row r="10" spans="1:12" x14ac:dyDescent="0.25">
      <c r="A10" t="s">
        <v>192</v>
      </c>
      <c r="B10" t="s">
        <v>232</v>
      </c>
      <c r="C10" t="s">
        <v>274</v>
      </c>
      <c r="D10" t="s">
        <v>45</v>
      </c>
      <c r="E10">
        <v>78</v>
      </c>
      <c r="F10">
        <v>0</v>
      </c>
      <c r="G10">
        <v>0</v>
      </c>
      <c r="H10">
        <v>18</v>
      </c>
      <c r="I10">
        <v>49</v>
      </c>
      <c r="J10">
        <v>0</v>
      </c>
      <c r="K10">
        <v>0</v>
      </c>
      <c r="L10">
        <v>11</v>
      </c>
    </row>
    <row r="11" spans="1:12" x14ac:dyDescent="0.25">
      <c r="A11" t="s">
        <v>192</v>
      </c>
      <c r="B11" t="s">
        <v>232</v>
      </c>
      <c r="C11" t="s">
        <v>275</v>
      </c>
      <c r="D11" t="s">
        <v>46</v>
      </c>
      <c r="E11">
        <v>35</v>
      </c>
      <c r="F11">
        <v>0</v>
      </c>
      <c r="G11">
        <v>0</v>
      </c>
      <c r="H11">
        <v>4</v>
      </c>
      <c r="I11">
        <v>26</v>
      </c>
      <c r="J11">
        <v>0</v>
      </c>
      <c r="K11">
        <v>0</v>
      </c>
      <c r="L11">
        <v>5</v>
      </c>
    </row>
    <row r="12" spans="1:12" x14ac:dyDescent="0.25">
      <c r="A12" t="s">
        <v>192</v>
      </c>
      <c r="B12" t="s">
        <v>232</v>
      </c>
      <c r="C12" t="s">
        <v>276</v>
      </c>
      <c r="D12" t="s">
        <v>47</v>
      </c>
      <c r="E12">
        <v>20</v>
      </c>
      <c r="F12">
        <v>0</v>
      </c>
      <c r="G12">
        <v>0</v>
      </c>
      <c r="H12">
        <v>2</v>
      </c>
      <c r="I12">
        <v>15</v>
      </c>
      <c r="J12">
        <v>0</v>
      </c>
      <c r="K12">
        <v>0</v>
      </c>
      <c r="L12">
        <v>3</v>
      </c>
    </row>
    <row r="13" spans="1:12" x14ac:dyDescent="0.25">
      <c r="A13" t="s">
        <v>192</v>
      </c>
      <c r="B13" t="s">
        <v>232</v>
      </c>
      <c r="C13" t="s">
        <v>277</v>
      </c>
      <c r="D13" t="s">
        <v>49</v>
      </c>
      <c r="E13">
        <v>76</v>
      </c>
      <c r="F13">
        <v>0</v>
      </c>
      <c r="G13">
        <v>0</v>
      </c>
      <c r="H13">
        <v>13</v>
      </c>
      <c r="I13">
        <v>50</v>
      </c>
      <c r="J13">
        <v>0</v>
      </c>
      <c r="K13">
        <v>0</v>
      </c>
      <c r="L13">
        <v>13</v>
      </c>
    </row>
    <row r="14" spans="1:12" x14ac:dyDescent="0.25">
      <c r="A14" t="s">
        <v>192</v>
      </c>
      <c r="B14" t="s">
        <v>232</v>
      </c>
      <c r="C14" t="s">
        <v>278</v>
      </c>
      <c r="D14" t="s">
        <v>51</v>
      </c>
      <c r="E14">
        <v>0</v>
      </c>
      <c r="F14">
        <v>0</v>
      </c>
      <c r="G14">
        <v>0</v>
      </c>
      <c r="H14">
        <v>0</v>
      </c>
      <c r="I14">
        <v>0</v>
      </c>
      <c r="J14">
        <v>0</v>
      </c>
      <c r="K14">
        <v>0</v>
      </c>
      <c r="L14">
        <v>0</v>
      </c>
    </row>
    <row r="15" spans="1:12" x14ac:dyDescent="0.25">
      <c r="A15" t="s">
        <v>192</v>
      </c>
      <c r="B15" t="s">
        <v>232</v>
      </c>
      <c r="C15" t="s">
        <v>279</v>
      </c>
      <c r="D15" t="s">
        <v>52</v>
      </c>
      <c r="E15">
        <v>88</v>
      </c>
      <c r="F15">
        <v>0</v>
      </c>
      <c r="G15">
        <v>0</v>
      </c>
      <c r="H15">
        <v>14</v>
      </c>
      <c r="I15">
        <v>61</v>
      </c>
      <c r="J15">
        <v>0</v>
      </c>
      <c r="K15">
        <v>2</v>
      </c>
      <c r="L15">
        <v>11</v>
      </c>
    </row>
    <row r="16" spans="1:12" x14ac:dyDescent="0.25">
      <c r="A16" t="s">
        <v>192</v>
      </c>
      <c r="B16" t="s">
        <v>232</v>
      </c>
      <c r="C16" t="s">
        <v>280</v>
      </c>
      <c r="D16" t="s">
        <v>54</v>
      </c>
      <c r="E16">
        <v>75</v>
      </c>
      <c r="F16">
        <v>0</v>
      </c>
      <c r="G16">
        <v>0</v>
      </c>
      <c r="H16">
        <v>11</v>
      </c>
      <c r="I16">
        <v>54</v>
      </c>
      <c r="J16">
        <v>0</v>
      </c>
      <c r="K16">
        <v>0</v>
      </c>
      <c r="L16">
        <v>10</v>
      </c>
    </row>
    <row r="17" spans="1:12" x14ac:dyDescent="0.25">
      <c r="A17" t="s">
        <v>192</v>
      </c>
      <c r="B17" t="s">
        <v>232</v>
      </c>
      <c r="C17" t="s">
        <v>281</v>
      </c>
      <c r="D17" t="s">
        <v>55</v>
      </c>
      <c r="E17">
        <v>0</v>
      </c>
      <c r="F17">
        <v>0</v>
      </c>
      <c r="G17">
        <v>0</v>
      </c>
      <c r="H17">
        <v>0</v>
      </c>
      <c r="I17">
        <v>0</v>
      </c>
      <c r="J17">
        <v>0</v>
      </c>
      <c r="K17">
        <v>0</v>
      </c>
      <c r="L17">
        <v>0</v>
      </c>
    </row>
    <row r="18" spans="1:12" x14ac:dyDescent="0.25">
      <c r="A18" t="s">
        <v>192</v>
      </c>
      <c r="B18" t="s">
        <v>232</v>
      </c>
      <c r="C18" t="s">
        <v>282</v>
      </c>
      <c r="D18" t="s">
        <v>56</v>
      </c>
      <c r="E18">
        <v>65</v>
      </c>
      <c r="F18">
        <v>0</v>
      </c>
      <c r="G18">
        <v>0</v>
      </c>
      <c r="H18">
        <v>10</v>
      </c>
      <c r="I18">
        <v>47</v>
      </c>
      <c r="J18">
        <v>0</v>
      </c>
      <c r="K18">
        <v>0</v>
      </c>
      <c r="L18">
        <v>8</v>
      </c>
    </row>
    <row r="19" spans="1:12" x14ac:dyDescent="0.25">
      <c r="A19" t="s">
        <v>192</v>
      </c>
      <c r="B19" t="s">
        <v>232</v>
      </c>
      <c r="C19" t="s">
        <v>283</v>
      </c>
      <c r="D19" t="s">
        <v>57</v>
      </c>
      <c r="E19">
        <v>190</v>
      </c>
      <c r="F19">
        <v>0</v>
      </c>
      <c r="G19">
        <v>0</v>
      </c>
      <c r="H19">
        <v>33</v>
      </c>
      <c r="I19">
        <v>129</v>
      </c>
      <c r="J19">
        <v>0</v>
      </c>
      <c r="K19">
        <v>2</v>
      </c>
      <c r="L19">
        <v>26</v>
      </c>
    </row>
    <row r="20" spans="1:12" x14ac:dyDescent="0.25">
      <c r="A20" t="s">
        <v>192</v>
      </c>
      <c r="B20" t="s">
        <v>232</v>
      </c>
      <c r="C20" t="s">
        <v>284</v>
      </c>
      <c r="D20" t="s">
        <v>58</v>
      </c>
      <c r="E20">
        <v>61.76</v>
      </c>
      <c r="F20">
        <v>0</v>
      </c>
      <c r="G20">
        <v>0</v>
      </c>
      <c r="H20">
        <v>10</v>
      </c>
      <c r="I20">
        <v>41.76</v>
      </c>
      <c r="J20">
        <v>0</v>
      </c>
      <c r="K20">
        <v>0</v>
      </c>
      <c r="L20">
        <v>10</v>
      </c>
    </row>
    <row r="21" spans="1:12" x14ac:dyDescent="0.25">
      <c r="A21" t="s">
        <v>192</v>
      </c>
      <c r="B21" t="s">
        <v>232</v>
      </c>
      <c r="C21" t="s">
        <v>285</v>
      </c>
      <c r="D21" t="s">
        <v>31</v>
      </c>
      <c r="E21">
        <v>174</v>
      </c>
      <c r="F21">
        <v>0</v>
      </c>
      <c r="G21">
        <v>0</v>
      </c>
      <c r="H21">
        <v>24</v>
      </c>
      <c r="I21">
        <v>128</v>
      </c>
      <c r="J21">
        <v>0</v>
      </c>
      <c r="K21">
        <v>0</v>
      </c>
      <c r="L21">
        <v>22</v>
      </c>
    </row>
    <row r="22" spans="1:12" x14ac:dyDescent="0.25">
      <c r="A22" t="s">
        <v>192</v>
      </c>
      <c r="B22" t="s">
        <v>232</v>
      </c>
      <c r="C22" t="s">
        <v>286</v>
      </c>
      <c r="D22" t="s">
        <v>32</v>
      </c>
      <c r="E22">
        <v>23</v>
      </c>
      <c r="F22">
        <v>0</v>
      </c>
      <c r="G22">
        <v>0</v>
      </c>
      <c r="H22">
        <v>3</v>
      </c>
      <c r="I22">
        <v>16</v>
      </c>
      <c r="J22">
        <v>0</v>
      </c>
      <c r="K22">
        <v>0</v>
      </c>
      <c r="L22">
        <v>4</v>
      </c>
    </row>
    <row r="23" spans="1:12" x14ac:dyDescent="0.25">
      <c r="A23" t="s">
        <v>192</v>
      </c>
      <c r="B23" t="s">
        <v>232</v>
      </c>
      <c r="C23" t="s">
        <v>287</v>
      </c>
      <c r="D23" t="s">
        <v>34</v>
      </c>
      <c r="E23">
        <v>58</v>
      </c>
      <c r="F23">
        <v>0</v>
      </c>
      <c r="G23">
        <v>0</v>
      </c>
      <c r="H23">
        <v>10</v>
      </c>
      <c r="I23">
        <v>31</v>
      </c>
      <c r="J23">
        <v>0</v>
      </c>
      <c r="K23">
        <v>2</v>
      </c>
      <c r="L23">
        <v>15</v>
      </c>
    </row>
    <row r="24" spans="1:12" x14ac:dyDescent="0.25">
      <c r="A24" t="s">
        <v>192</v>
      </c>
      <c r="B24" t="s">
        <v>232</v>
      </c>
      <c r="C24" t="s">
        <v>288</v>
      </c>
      <c r="D24" t="s">
        <v>243</v>
      </c>
      <c r="E24">
        <v>370</v>
      </c>
      <c r="F24">
        <v>0</v>
      </c>
      <c r="G24">
        <v>0</v>
      </c>
      <c r="H24">
        <v>70</v>
      </c>
      <c r="I24">
        <v>275</v>
      </c>
      <c r="J24">
        <v>0</v>
      </c>
      <c r="K24">
        <v>0</v>
      </c>
      <c r="L24">
        <v>25</v>
      </c>
    </row>
    <row r="25" spans="1:12" x14ac:dyDescent="0.25">
      <c r="A25" t="s">
        <v>192</v>
      </c>
      <c r="B25" t="s">
        <v>232</v>
      </c>
      <c r="C25" t="s">
        <v>289</v>
      </c>
      <c r="D25" t="s">
        <v>53</v>
      </c>
      <c r="E25">
        <v>116</v>
      </c>
      <c r="F25">
        <v>0</v>
      </c>
      <c r="G25">
        <v>0</v>
      </c>
      <c r="H25">
        <v>22</v>
      </c>
      <c r="I25">
        <v>74</v>
      </c>
      <c r="J25">
        <v>0</v>
      </c>
      <c r="K25">
        <v>1</v>
      </c>
      <c r="L25">
        <v>19</v>
      </c>
    </row>
    <row r="26" spans="1:12" x14ac:dyDescent="0.25">
      <c r="A26" t="s">
        <v>192</v>
      </c>
      <c r="B26" t="s">
        <v>232</v>
      </c>
      <c r="C26" t="s">
        <v>290</v>
      </c>
      <c r="D26" t="s">
        <v>59</v>
      </c>
      <c r="E26">
        <v>80</v>
      </c>
      <c r="F26">
        <v>0</v>
      </c>
      <c r="G26">
        <v>0</v>
      </c>
      <c r="H26">
        <v>18</v>
      </c>
      <c r="I26">
        <v>52</v>
      </c>
      <c r="J26">
        <v>0</v>
      </c>
      <c r="K26">
        <v>0</v>
      </c>
      <c r="L26">
        <v>10</v>
      </c>
    </row>
    <row r="27" spans="1:12" x14ac:dyDescent="0.25">
      <c r="A27" t="s">
        <v>192</v>
      </c>
      <c r="B27" t="s">
        <v>232</v>
      </c>
      <c r="C27" t="s">
        <v>291</v>
      </c>
      <c r="D27" t="s">
        <v>60</v>
      </c>
      <c r="E27">
        <v>85</v>
      </c>
      <c r="F27">
        <v>0</v>
      </c>
      <c r="G27">
        <v>0</v>
      </c>
      <c r="H27">
        <v>14</v>
      </c>
      <c r="I27">
        <v>61</v>
      </c>
      <c r="J27">
        <v>0</v>
      </c>
      <c r="K27">
        <v>0</v>
      </c>
      <c r="L27">
        <v>10</v>
      </c>
    </row>
    <row r="28" spans="1:12" x14ac:dyDescent="0.25">
      <c r="A28" t="s">
        <v>192</v>
      </c>
      <c r="B28" t="s">
        <v>232</v>
      </c>
      <c r="C28" t="s">
        <v>292</v>
      </c>
      <c r="D28" t="s">
        <v>33</v>
      </c>
      <c r="E28">
        <v>35</v>
      </c>
      <c r="F28">
        <v>0</v>
      </c>
      <c r="G28">
        <v>0</v>
      </c>
      <c r="H28">
        <v>0</v>
      </c>
      <c r="I28">
        <v>25</v>
      </c>
      <c r="J28">
        <v>0</v>
      </c>
      <c r="K28">
        <v>1</v>
      </c>
      <c r="L28">
        <v>9</v>
      </c>
    </row>
    <row r="29" spans="1:12" x14ac:dyDescent="0.25">
      <c r="A29" t="s">
        <v>192</v>
      </c>
      <c r="B29" t="s">
        <v>232</v>
      </c>
      <c r="C29" t="s">
        <v>293</v>
      </c>
      <c r="D29" t="s">
        <v>37</v>
      </c>
      <c r="E29">
        <v>215</v>
      </c>
      <c r="F29">
        <v>0</v>
      </c>
      <c r="G29">
        <v>0</v>
      </c>
      <c r="H29">
        <v>29</v>
      </c>
      <c r="I29">
        <v>162</v>
      </c>
      <c r="J29">
        <v>0</v>
      </c>
      <c r="K29">
        <v>1</v>
      </c>
      <c r="L29">
        <v>23</v>
      </c>
    </row>
    <row r="30" spans="1:12" x14ac:dyDescent="0.25">
      <c r="A30" t="s">
        <v>192</v>
      </c>
      <c r="B30" t="s">
        <v>232</v>
      </c>
      <c r="C30" t="s">
        <v>294</v>
      </c>
      <c r="D30" t="s">
        <v>50</v>
      </c>
      <c r="E30">
        <v>188</v>
      </c>
      <c r="F30">
        <v>0</v>
      </c>
      <c r="G30">
        <v>0</v>
      </c>
      <c r="H30">
        <v>34</v>
      </c>
      <c r="I30">
        <v>129</v>
      </c>
      <c r="J30">
        <v>0</v>
      </c>
      <c r="K30">
        <v>1</v>
      </c>
      <c r="L30">
        <v>24</v>
      </c>
    </row>
    <row r="31" spans="1:12" x14ac:dyDescent="0.25">
      <c r="A31" t="s">
        <v>192</v>
      </c>
      <c r="B31" t="s">
        <v>232</v>
      </c>
      <c r="C31" t="s">
        <v>295</v>
      </c>
      <c r="D31" t="s">
        <v>39</v>
      </c>
      <c r="E31">
        <v>74</v>
      </c>
      <c r="F31">
        <v>0</v>
      </c>
      <c r="G31">
        <v>0</v>
      </c>
      <c r="H31">
        <v>15</v>
      </c>
      <c r="I31">
        <v>45</v>
      </c>
      <c r="J31">
        <v>0</v>
      </c>
      <c r="K31">
        <v>0</v>
      </c>
      <c r="L31">
        <v>14</v>
      </c>
    </row>
    <row r="32" spans="1:12" x14ac:dyDescent="0.25">
      <c r="A32" t="s">
        <v>192</v>
      </c>
      <c r="B32" t="s">
        <v>232</v>
      </c>
      <c r="C32" t="s">
        <v>296</v>
      </c>
      <c r="D32" t="s">
        <v>117</v>
      </c>
      <c r="E32">
        <v>560</v>
      </c>
      <c r="F32">
        <v>0</v>
      </c>
      <c r="G32">
        <v>0</v>
      </c>
      <c r="H32">
        <v>119</v>
      </c>
      <c r="I32">
        <v>373</v>
      </c>
      <c r="J32">
        <v>0</v>
      </c>
      <c r="K32">
        <v>0</v>
      </c>
      <c r="L32">
        <v>68</v>
      </c>
    </row>
    <row r="33" spans="1:12" x14ac:dyDescent="0.25">
      <c r="A33" t="s">
        <v>192</v>
      </c>
      <c r="B33" t="s">
        <v>232</v>
      </c>
      <c r="C33" t="s">
        <v>297</v>
      </c>
      <c r="D33" t="s">
        <v>43</v>
      </c>
      <c r="E33">
        <v>289</v>
      </c>
      <c r="F33">
        <v>0</v>
      </c>
      <c r="G33">
        <v>0</v>
      </c>
      <c r="H33">
        <v>58</v>
      </c>
      <c r="I33">
        <v>208</v>
      </c>
      <c r="J33">
        <v>0</v>
      </c>
      <c r="K33">
        <v>0</v>
      </c>
      <c r="L33">
        <v>23</v>
      </c>
    </row>
    <row r="34" spans="1:12" x14ac:dyDescent="0.25">
      <c r="A34" t="s">
        <v>192</v>
      </c>
      <c r="B34" t="s">
        <v>233</v>
      </c>
      <c r="C34" t="s">
        <v>334</v>
      </c>
      <c r="D34" t="s">
        <v>31</v>
      </c>
      <c r="E34">
        <v>23</v>
      </c>
      <c r="F34">
        <v>1</v>
      </c>
      <c r="G34">
        <v>0</v>
      </c>
      <c r="H34">
        <v>0</v>
      </c>
      <c r="I34">
        <v>1</v>
      </c>
      <c r="J34">
        <v>7</v>
      </c>
      <c r="K34">
        <v>6</v>
      </c>
      <c r="L34">
        <v>8</v>
      </c>
    </row>
    <row r="35" spans="1:12" x14ac:dyDescent="0.25">
      <c r="A35" t="s">
        <v>192</v>
      </c>
      <c r="B35" t="s">
        <v>233</v>
      </c>
      <c r="C35" t="s">
        <v>335</v>
      </c>
      <c r="D35" t="s">
        <v>63</v>
      </c>
      <c r="E35">
        <v>15</v>
      </c>
      <c r="F35">
        <v>1</v>
      </c>
      <c r="G35">
        <v>0</v>
      </c>
      <c r="H35">
        <v>0</v>
      </c>
      <c r="I35">
        <v>0</v>
      </c>
      <c r="J35">
        <v>2</v>
      </c>
      <c r="K35">
        <v>4</v>
      </c>
      <c r="L35">
        <v>8</v>
      </c>
    </row>
    <row r="36" spans="1:12" x14ac:dyDescent="0.25">
      <c r="A36" t="s">
        <v>192</v>
      </c>
      <c r="B36" t="s">
        <v>233</v>
      </c>
      <c r="C36" t="s">
        <v>337</v>
      </c>
      <c r="D36" t="s">
        <v>64</v>
      </c>
      <c r="E36">
        <v>22</v>
      </c>
      <c r="F36">
        <v>1</v>
      </c>
      <c r="G36">
        <v>0</v>
      </c>
      <c r="H36">
        <v>1</v>
      </c>
      <c r="I36">
        <v>1</v>
      </c>
      <c r="J36">
        <v>3</v>
      </c>
      <c r="K36">
        <v>6</v>
      </c>
      <c r="L36">
        <v>10</v>
      </c>
    </row>
    <row r="37" spans="1:12" x14ac:dyDescent="0.25">
      <c r="A37" t="s">
        <v>192</v>
      </c>
      <c r="B37" t="s">
        <v>233</v>
      </c>
      <c r="C37" t="s">
        <v>338</v>
      </c>
      <c r="D37" t="s">
        <v>36</v>
      </c>
      <c r="E37">
        <v>16</v>
      </c>
      <c r="F37">
        <v>0</v>
      </c>
      <c r="G37">
        <v>0</v>
      </c>
      <c r="H37">
        <v>0</v>
      </c>
      <c r="I37">
        <v>0</v>
      </c>
      <c r="J37">
        <v>2</v>
      </c>
      <c r="K37">
        <v>5</v>
      </c>
      <c r="L37">
        <v>9</v>
      </c>
    </row>
    <row r="38" spans="1:12" x14ac:dyDescent="0.25">
      <c r="A38" t="s">
        <v>192</v>
      </c>
      <c r="B38" t="s">
        <v>233</v>
      </c>
      <c r="C38" t="s">
        <v>339</v>
      </c>
      <c r="D38" t="s">
        <v>66</v>
      </c>
      <c r="E38">
        <v>21</v>
      </c>
      <c r="F38">
        <v>1</v>
      </c>
      <c r="G38">
        <v>0</v>
      </c>
      <c r="H38">
        <v>0</v>
      </c>
      <c r="I38">
        <v>5</v>
      </c>
      <c r="J38">
        <v>7</v>
      </c>
      <c r="K38">
        <v>0</v>
      </c>
      <c r="L38">
        <v>8</v>
      </c>
    </row>
    <row r="39" spans="1:12" x14ac:dyDescent="0.25">
      <c r="A39" t="s">
        <v>192</v>
      </c>
      <c r="B39" t="s">
        <v>233</v>
      </c>
      <c r="C39" t="s">
        <v>340</v>
      </c>
      <c r="D39" t="s">
        <v>67</v>
      </c>
      <c r="E39">
        <v>12</v>
      </c>
      <c r="F39">
        <v>1</v>
      </c>
      <c r="G39">
        <v>0</v>
      </c>
      <c r="H39">
        <v>0</v>
      </c>
      <c r="I39">
        <v>1</v>
      </c>
      <c r="J39">
        <v>3</v>
      </c>
      <c r="K39">
        <v>5</v>
      </c>
      <c r="L39">
        <v>2</v>
      </c>
    </row>
    <row r="40" spans="1:12" x14ac:dyDescent="0.25">
      <c r="A40" t="s">
        <v>192</v>
      </c>
      <c r="B40" t="s">
        <v>233</v>
      </c>
      <c r="C40" t="s">
        <v>341</v>
      </c>
      <c r="D40" t="s">
        <v>68</v>
      </c>
      <c r="E40">
        <v>23</v>
      </c>
      <c r="F40">
        <v>1</v>
      </c>
      <c r="G40">
        <v>0</v>
      </c>
      <c r="H40">
        <v>0</v>
      </c>
      <c r="I40">
        <v>0</v>
      </c>
      <c r="J40">
        <v>9</v>
      </c>
      <c r="K40">
        <v>7</v>
      </c>
      <c r="L40">
        <v>6</v>
      </c>
    </row>
    <row r="41" spans="1:12" x14ac:dyDescent="0.25">
      <c r="A41" t="s">
        <v>192</v>
      </c>
      <c r="B41" t="s">
        <v>233</v>
      </c>
      <c r="C41" t="s">
        <v>342</v>
      </c>
      <c r="D41" t="s">
        <v>165</v>
      </c>
      <c r="E41">
        <v>26</v>
      </c>
      <c r="F41">
        <v>2</v>
      </c>
      <c r="G41">
        <v>0</v>
      </c>
      <c r="H41">
        <v>3</v>
      </c>
      <c r="I41">
        <v>2</v>
      </c>
      <c r="J41">
        <v>9</v>
      </c>
      <c r="K41">
        <v>3</v>
      </c>
      <c r="L41">
        <v>7</v>
      </c>
    </row>
    <row r="42" spans="1:12" x14ac:dyDescent="0.25">
      <c r="A42" t="s">
        <v>192</v>
      </c>
      <c r="B42" t="s">
        <v>233</v>
      </c>
      <c r="C42" t="s">
        <v>343</v>
      </c>
      <c r="D42" t="s">
        <v>69</v>
      </c>
      <c r="E42">
        <v>13</v>
      </c>
      <c r="F42">
        <v>1</v>
      </c>
      <c r="G42">
        <v>0</v>
      </c>
      <c r="H42">
        <v>0</v>
      </c>
      <c r="I42">
        <v>2</v>
      </c>
      <c r="J42">
        <v>2</v>
      </c>
      <c r="K42">
        <v>2</v>
      </c>
      <c r="L42">
        <v>6</v>
      </c>
    </row>
    <row r="43" spans="1:12" x14ac:dyDescent="0.25">
      <c r="A43" t="s">
        <v>192</v>
      </c>
      <c r="B43" t="s">
        <v>233</v>
      </c>
      <c r="C43" t="s">
        <v>994</v>
      </c>
      <c r="D43" t="s">
        <v>117</v>
      </c>
      <c r="E43">
        <v>28</v>
      </c>
      <c r="F43">
        <v>1</v>
      </c>
      <c r="G43">
        <v>0</v>
      </c>
      <c r="H43">
        <v>0</v>
      </c>
      <c r="I43">
        <v>3</v>
      </c>
      <c r="J43">
        <v>4</v>
      </c>
      <c r="K43">
        <v>10</v>
      </c>
      <c r="L43">
        <v>10</v>
      </c>
    </row>
    <row r="44" spans="1:12" x14ac:dyDescent="0.25">
      <c r="A44" t="s">
        <v>192</v>
      </c>
      <c r="B44" t="s">
        <v>233</v>
      </c>
      <c r="C44" t="s">
        <v>344</v>
      </c>
      <c r="D44" t="s">
        <v>70</v>
      </c>
      <c r="E44">
        <v>13</v>
      </c>
      <c r="F44">
        <v>1</v>
      </c>
      <c r="G44">
        <v>0</v>
      </c>
      <c r="H44">
        <v>0</v>
      </c>
      <c r="I44">
        <v>0</v>
      </c>
      <c r="J44">
        <v>4</v>
      </c>
      <c r="K44">
        <v>7</v>
      </c>
      <c r="L44">
        <v>1</v>
      </c>
    </row>
    <row r="45" spans="1:12" x14ac:dyDescent="0.25">
      <c r="A45" t="s">
        <v>192</v>
      </c>
      <c r="B45" t="s">
        <v>233</v>
      </c>
      <c r="C45" t="s">
        <v>995</v>
      </c>
      <c r="D45" t="s">
        <v>50</v>
      </c>
      <c r="E45">
        <v>14</v>
      </c>
      <c r="F45">
        <v>1</v>
      </c>
      <c r="G45">
        <v>0</v>
      </c>
      <c r="H45">
        <v>1</v>
      </c>
      <c r="I45">
        <v>0</v>
      </c>
      <c r="J45">
        <v>2</v>
      </c>
      <c r="K45">
        <v>6</v>
      </c>
      <c r="L45">
        <v>4</v>
      </c>
    </row>
    <row r="46" spans="1:12" x14ac:dyDescent="0.25">
      <c r="A46" t="s">
        <v>192</v>
      </c>
      <c r="B46" t="s">
        <v>233</v>
      </c>
      <c r="C46" t="s">
        <v>345</v>
      </c>
      <c r="D46" t="s">
        <v>57</v>
      </c>
      <c r="E46">
        <v>10</v>
      </c>
      <c r="F46">
        <v>1</v>
      </c>
      <c r="G46">
        <v>0</v>
      </c>
      <c r="H46">
        <v>0</v>
      </c>
      <c r="I46">
        <v>0</v>
      </c>
      <c r="J46">
        <v>3</v>
      </c>
      <c r="K46">
        <v>4</v>
      </c>
      <c r="L46">
        <v>2</v>
      </c>
    </row>
    <row r="47" spans="1:12" x14ac:dyDescent="0.25">
      <c r="A47" t="s">
        <v>192</v>
      </c>
      <c r="B47" t="s">
        <v>233</v>
      </c>
      <c r="C47" t="s">
        <v>996</v>
      </c>
      <c r="D47" t="s">
        <v>985</v>
      </c>
      <c r="E47">
        <v>8</v>
      </c>
      <c r="F47">
        <v>1</v>
      </c>
      <c r="G47">
        <v>0</v>
      </c>
      <c r="H47">
        <v>0</v>
      </c>
      <c r="I47">
        <v>0</v>
      </c>
      <c r="J47">
        <v>3</v>
      </c>
      <c r="K47">
        <v>4</v>
      </c>
      <c r="L47">
        <v>0</v>
      </c>
    </row>
    <row r="48" spans="1:12" x14ac:dyDescent="0.25">
      <c r="A48" t="s">
        <v>192</v>
      </c>
      <c r="B48" t="s">
        <v>233</v>
      </c>
      <c r="C48" t="s">
        <v>346</v>
      </c>
      <c r="D48" t="s">
        <v>71</v>
      </c>
      <c r="E48">
        <v>9</v>
      </c>
      <c r="F48">
        <v>1</v>
      </c>
      <c r="G48">
        <v>0</v>
      </c>
      <c r="H48">
        <v>0</v>
      </c>
      <c r="I48">
        <v>0</v>
      </c>
      <c r="J48">
        <v>3</v>
      </c>
      <c r="K48">
        <v>5</v>
      </c>
      <c r="L48">
        <v>0</v>
      </c>
    </row>
    <row r="49" spans="1:12" x14ac:dyDescent="0.25">
      <c r="A49" t="s">
        <v>192</v>
      </c>
      <c r="B49" t="s">
        <v>233</v>
      </c>
      <c r="C49" t="s">
        <v>336</v>
      </c>
      <c r="D49" t="s">
        <v>65</v>
      </c>
      <c r="E49">
        <v>11</v>
      </c>
      <c r="F49">
        <v>1</v>
      </c>
      <c r="G49">
        <v>0</v>
      </c>
      <c r="H49">
        <v>0</v>
      </c>
      <c r="I49">
        <v>0</v>
      </c>
      <c r="J49">
        <v>3</v>
      </c>
      <c r="K49">
        <v>5</v>
      </c>
      <c r="L49">
        <v>2</v>
      </c>
    </row>
    <row r="50" spans="1:12" x14ac:dyDescent="0.25">
      <c r="A50" t="s">
        <v>192</v>
      </c>
      <c r="B50" t="s">
        <v>233</v>
      </c>
      <c r="C50" t="s">
        <v>993</v>
      </c>
      <c r="D50" t="s">
        <v>43</v>
      </c>
      <c r="E50">
        <v>21</v>
      </c>
      <c r="F50">
        <v>1</v>
      </c>
      <c r="G50">
        <v>0</v>
      </c>
      <c r="H50">
        <v>0</v>
      </c>
      <c r="I50">
        <v>0</v>
      </c>
      <c r="J50">
        <v>3</v>
      </c>
      <c r="K50">
        <v>6</v>
      </c>
      <c r="L50">
        <v>11</v>
      </c>
    </row>
    <row r="51" spans="1:12" x14ac:dyDescent="0.25">
      <c r="A51" t="s">
        <v>192</v>
      </c>
      <c r="B51" t="s">
        <v>234</v>
      </c>
      <c r="C51" t="s">
        <v>362</v>
      </c>
      <c r="D51" t="s">
        <v>163</v>
      </c>
      <c r="E51">
        <v>111</v>
      </c>
      <c r="F51">
        <v>3</v>
      </c>
      <c r="G51">
        <v>1</v>
      </c>
      <c r="H51">
        <v>8</v>
      </c>
      <c r="I51">
        <v>0</v>
      </c>
      <c r="J51">
        <v>12</v>
      </c>
      <c r="K51">
        <v>8</v>
      </c>
      <c r="L51">
        <v>79</v>
      </c>
    </row>
    <row r="52" spans="1:12" x14ac:dyDescent="0.25">
      <c r="A52" t="s">
        <v>192</v>
      </c>
      <c r="B52" t="s">
        <v>234</v>
      </c>
      <c r="C52" t="s">
        <v>361</v>
      </c>
      <c r="D52" t="s">
        <v>164</v>
      </c>
      <c r="E52">
        <v>80</v>
      </c>
      <c r="F52">
        <v>1</v>
      </c>
      <c r="G52">
        <v>1</v>
      </c>
      <c r="H52">
        <v>8</v>
      </c>
      <c r="I52">
        <v>3</v>
      </c>
      <c r="J52">
        <v>3</v>
      </c>
      <c r="K52">
        <v>15</v>
      </c>
      <c r="L52">
        <v>49</v>
      </c>
    </row>
    <row r="53" spans="1:12" x14ac:dyDescent="0.25">
      <c r="A53" t="s">
        <v>192</v>
      </c>
      <c r="B53" t="s">
        <v>234</v>
      </c>
      <c r="C53" t="s">
        <v>363</v>
      </c>
      <c r="D53" t="s">
        <v>162</v>
      </c>
      <c r="E53">
        <v>77</v>
      </c>
      <c r="F53">
        <v>2</v>
      </c>
      <c r="G53">
        <v>1</v>
      </c>
      <c r="H53">
        <v>24</v>
      </c>
      <c r="I53">
        <v>1</v>
      </c>
      <c r="J53">
        <v>9</v>
      </c>
      <c r="K53">
        <v>10</v>
      </c>
      <c r="L53">
        <v>30</v>
      </c>
    </row>
    <row r="54" spans="1:12" x14ac:dyDescent="0.25">
      <c r="A54" t="s">
        <v>192</v>
      </c>
      <c r="B54" t="s">
        <v>235</v>
      </c>
      <c r="C54" t="s">
        <v>347</v>
      </c>
      <c r="D54" t="s">
        <v>244</v>
      </c>
      <c r="E54">
        <v>56</v>
      </c>
      <c r="F54">
        <v>5</v>
      </c>
      <c r="G54">
        <v>6</v>
      </c>
      <c r="H54">
        <v>7</v>
      </c>
      <c r="I54">
        <v>0</v>
      </c>
      <c r="J54">
        <v>22</v>
      </c>
      <c r="K54">
        <v>5</v>
      </c>
      <c r="L54">
        <v>11</v>
      </c>
    </row>
    <row r="55" spans="1:12" x14ac:dyDescent="0.25">
      <c r="A55" t="s">
        <v>192</v>
      </c>
      <c r="B55" t="s">
        <v>26</v>
      </c>
      <c r="C55" t="s">
        <v>347</v>
      </c>
      <c r="D55" t="s">
        <v>244</v>
      </c>
      <c r="E55">
        <v>4000.76</v>
      </c>
      <c r="F55">
        <v>28</v>
      </c>
      <c r="G55">
        <v>9</v>
      </c>
      <c r="H55">
        <v>660</v>
      </c>
      <c r="I55">
        <v>2373.7600000000002</v>
      </c>
      <c r="J55">
        <v>115</v>
      </c>
      <c r="K55">
        <v>136</v>
      </c>
      <c r="L55">
        <v>679</v>
      </c>
    </row>
    <row r="56" spans="1:12" x14ac:dyDescent="0.25">
      <c r="A56" t="s">
        <v>191</v>
      </c>
      <c r="B56" t="s">
        <v>232</v>
      </c>
      <c r="C56" t="s">
        <v>266</v>
      </c>
      <c r="D56" t="s">
        <v>35</v>
      </c>
      <c r="E56">
        <v>37</v>
      </c>
      <c r="H56">
        <v>8</v>
      </c>
      <c r="I56">
        <v>25</v>
      </c>
      <c r="K56">
        <v>0</v>
      </c>
      <c r="L56">
        <v>4</v>
      </c>
    </row>
    <row r="57" spans="1:12" x14ac:dyDescent="0.25">
      <c r="A57" t="s">
        <v>191</v>
      </c>
      <c r="B57" t="s">
        <v>232</v>
      </c>
      <c r="C57" t="s">
        <v>267</v>
      </c>
      <c r="D57" t="s">
        <v>36</v>
      </c>
      <c r="E57">
        <v>69</v>
      </c>
      <c r="H57">
        <v>11</v>
      </c>
      <c r="I57">
        <v>52</v>
      </c>
      <c r="K57">
        <v>0</v>
      </c>
      <c r="L57">
        <v>6</v>
      </c>
    </row>
    <row r="58" spans="1:12" x14ac:dyDescent="0.25">
      <c r="A58" t="s">
        <v>191</v>
      </c>
      <c r="B58" t="s">
        <v>232</v>
      </c>
      <c r="C58" t="s">
        <v>268</v>
      </c>
      <c r="D58" t="s">
        <v>38</v>
      </c>
      <c r="E58">
        <v>56</v>
      </c>
      <c r="H58">
        <v>9</v>
      </c>
      <c r="I58">
        <v>39</v>
      </c>
      <c r="K58">
        <v>0</v>
      </c>
      <c r="L58">
        <v>8</v>
      </c>
    </row>
    <row r="59" spans="1:12" x14ac:dyDescent="0.25">
      <c r="A59" t="s">
        <v>191</v>
      </c>
      <c r="B59" t="s">
        <v>232</v>
      </c>
      <c r="C59" t="s">
        <v>269</v>
      </c>
      <c r="D59" t="s">
        <v>40</v>
      </c>
      <c r="E59">
        <v>28</v>
      </c>
      <c r="H59">
        <v>3</v>
      </c>
      <c r="I59">
        <v>21</v>
      </c>
      <c r="K59">
        <v>0</v>
      </c>
      <c r="L59">
        <v>4</v>
      </c>
    </row>
    <row r="60" spans="1:12" x14ac:dyDescent="0.25">
      <c r="A60" t="s">
        <v>191</v>
      </c>
      <c r="B60" t="s">
        <v>232</v>
      </c>
      <c r="C60" t="s">
        <v>270</v>
      </c>
      <c r="D60" t="s">
        <v>41</v>
      </c>
      <c r="E60">
        <v>57</v>
      </c>
      <c r="H60">
        <v>13</v>
      </c>
      <c r="I60">
        <v>35</v>
      </c>
      <c r="K60">
        <v>0</v>
      </c>
      <c r="L60">
        <v>9</v>
      </c>
    </row>
    <row r="61" spans="1:12" x14ac:dyDescent="0.25">
      <c r="A61" t="s">
        <v>191</v>
      </c>
      <c r="B61" t="s">
        <v>232</v>
      </c>
      <c r="C61" t="s">
        <v>271</v>
      </c>
      <c r="D61" t="s">
        <v>48</v>
      </c>
      <c r="E61">
        <v>0</v>
      </c>
      <c r="H61">
        <v>0</v>
      </c>
      <c r="I61">
        <v>0</v>
      </c>
      <c r="K61">
        <v>0</v>
      </c>
      <c r="L61">
        <v>0</v>
      </c>
    </row>
    <row r="62" spans="1:12" x14ac:dyDescent="0.25">
      <c r="A62" t="s">
        <v>191</v>
      </c>
      <c r="B62" t="s">
        <v>232</v>
      </c>
      <c r="C62" t="s">
        <v>272</v>
      </c>
      <c r="D62" t="s">
        <v>42</v>
      </c>
      <c r="E62">
        <v>94</v>
      </c>
      <c r="H62">
        <v>17</v>
      </c>
      <c r="I62">
        <v>60</v>
      </c>
      <c r="K62">
        <v>2</v>
      </c>
      <c r="L62">
        <v>15</v>
      </c>
    </row>
    <row r="63" spans="1:12" x14ac:dyDescent="0.25">
      <c r="A63" t="s">
        <v>191</v>
      </c>
      <c r="B63" t="s">
        <v>232</v>
      </c>
      <c r="C63" t="s">
        <v>273</v>
      </c>
      <c r="D63" t="s">
        <v>44</v>
      </c>
      <c r="E63">
        <v>81</v>
      </c>
      <c r="H63">
        <v>11</v>
      </c>
      <c r="I63">
        <v>57</v>
      </c>
      <c r="K63">
        <v>1</v>
      </c>
      <c r="L63">
        <v>12</v>
      </c>
    </row>
    <row r="64" spans="1:12" x14ac:dyDescent="0.25">
      <c r="A64" t="s">
        <v>191</v>
      </c>
      <c r="B64" t="s">
        <v>232</v>
      </c>
      <c r="C64" t="s">
        <v>274</v>
      </c>
      <c r="D64" t="s">
        <v>45</v>
      </c>
      <c r="E64">
        <v>77</v>
      </c>
      <c r="H64">
        <v>16</v>
      </c>
      <c r="I64">
        <v>49</v>
      </c>
      <c r="K64">
        <v>0</v>
      </c>
      <c r="L64">
        <v>12</v>
      </c>
    </row>
    <row r="65" spans="1:12" x14ac:dyDescent="0.25">
      <c r="A65" t="s">
        <v>191</v>
      </c>
      <c r="B65" t="s">
        <v>232</v>
      </c>
      <c r="C65" t="s">
        <v>275</v>
      </c>
      <c r="D65" t="s">
        <v>46</v>
      </c>
      <c r="E65">
        <v>35</v>
      </c>
      <c r="H65">
        <v>4</v>
      </c>
      <c r="I65">
        <v>26</v>
      </c>
      <c r="K65">
        <v>0</v>
      </c>
      <c r="L65">
        <v>5</v>
      </c>
    </row>
    <row r="66" spans="1:12" x14ac:dyDescent="0.25">
      <c r="A66" t="s">
        <v>191</v>
      </c>
      <c r="B66" t="s">
        <v>232</v>
      </c>
      <c r="C66" t="s">
        <v>276</v>
      </c>
      <c r="D66" t="s">
        <v>47</v>
      </c>
      <c r="E66">
        <v>21</v>
      </c>
      <c r="H66">
        <v>3</v>
      </c>
      <c r="I66">
        <v>14</v>
      </c>
      <c r="K66">
        <v>0</v>
      </c>
      <c r="L66">
        <v>4</v>
      </c>
    </row>
    <row r="67" spans="1:12" x14ac:dyDescent="0.25">
      <c r="A67" t="s">
        <v>191</v>
      </c>
      <c r="B67" t="s">
        <v>232</v>
      </c>
      <c r="C67" t="s">
        <v>277</v>
      </c>
      <c r="D67" t="s">
        <v>49</v>
      </c>
      <c r="E67">
        <v>78</v>
      </c>
      <c r="H67">
        <v>14</v>
      </c>
      <c r="I67">
        <v>50</v>
      </c>
      <c r="K67">
        <v>0</v>
      </c>
      <c r="L67">
        <v>14</v>
      </c>
    </row>
    <row r="68" spans="1:12" x14ac:dyDescent="0.25">
      <c r="A68" t="s">
        <v>191</v>
      </c>
      <c r="B68" t="s">
        <v>232</v>
      </c>
      <c r="C68" t="s">
        <v>278</v>
      </c>
      <c r="D68" t="s">
        <v>51</v>
      </c>
      <c r="E68">
        <v>0</v>
      </c>
      <c r="H68">
        <v>0</v>
      </c>
      <c r="I68">
        <v>0</v>
      </c>
      <c r="K68">
        <v>0</v>
      </c>
      <c r="L68">
        <v>0</v>
      </c>
    </row>
    <row r="69" spans="1:12" x14ac:dyDescent="0.25">
      <c r="A69" t="s">
        <v>191</v>
      </c>
      <c r="B69" t="s">
        <v>232</v>
      </c>
      <c r="C69" t="s">
        <v>279</v>
      </c>
      <c r="D69" t="s">
        <v>52</v>
      </c>
      <c r="E69">
        <v>86</v>
      </c>
      <c r="H69">
        <v>16</v>
      </c>
      <c r="I69">
        <v>58</v>
      </c>
      <c r="K69">
        <v>1</v>
      </c>
      <c r="L69">
        <v>11</v>
      </c>
    </row>
    <row r="70" spans="1:12" x14ac:dyDescent="0.25">
      <c r="A70" t="s">
        <v>191</v>
      </c>
      <c r="B70" t="s">
        <v>232</v>
      </c>
      <c r="C70" t="s">
        <v>280</v>
      </c>
      <c r="D70" t="s">
        <v>54</v>
      </c>
      <c r="E70">
        <v>73</v>
      </c>
      <c r="H70">
        <v>11</v>
      </c>
      <c r="I70">
        <v>51</v>
      </c>
      <c r="K70">
        <v>0</v>
      </c>
      <c r="L70">
        <v>11</v>
      </c>
    </row>
    <row r="71" spans="1:12" x14ac:dyDescent="0.25">
      <c r="A71" t="s">
        <v>191</v>
      </c>
      <c r="B71" t="s">
        <v>232</v>
      </c>
      <c r="C71" t="s">
        <v>281</v>
      </c>
      <c r="D71" t="s">
        <v>55</v>
      </c>
      <c r="E71">
        <v>0</v>
      </c>
      <c r="H71">
        <v>0</v>
      </c>
      <c r="I71">
        <v>0</v>
      </c>
      <c r="K71">
        <v>0</v>
      </c>
      <c r="L71">
        <v>0</v>
      </c>
    </row>
    <row r="72" spans="1:12" x14ac:dyDescent="0.25">
      <c r="A72" t="s">
        <v>191</v>
      </c>
      <c r="B72" t="s">
        <v>232</v>
      </c>
      <c r="C72" t="s">
        <v>282</v>
      </c>
      <c r="D72" t="s">
        <v>56</v>
      </c>
      <c r="E72">
        <v>60</v>
      </c>
      <c r="H72">
        <v>9</v>
      </c>
      <c r="I72">
        <v>43</v>
      </c>
      <c r="K72">
        <v>0</v>
      </c>
      <c r="L72">
        <v>8</v>
      </c>
    </row>
    <row r="73" spans="1:12" x14ac:dyDescent="0.25">
      <c r="A73" t="s">
        <v>191</v>
      </c>
      <c r="B73" t="s">
        <v>232</v>
      </c>
      <c r="C73" t="s">
        <v>283</v>
      </c>
      <c r="D73" t="s">
        <v>57</v>
      </c>
      <c r="E73">
        <v>187</v>
      </c>
      <c r="H73">
        <v>35</v>
      </c>
      <c r="I73">
        <v>126</v>
      </c>
      <c r="K73">
        <v>2</v>
      </c>
      <c r="L73">
        <v>24</v>
      </c>
    </row>
    <row r="74" spans="1:12" x14ac:dyDescent="0.25">
      <c r="A74" t="s">
        <v>191</v>
      </c>
      <c r="B74" t="s">
        <v>232</v>
      </c>
      <c r="C74" t="s">
        <v>284</v>
      </c>
      <c r="D74" t="s">
        <v>58</v>
      </c>
      <c r="E74">
        <v>55</v>
      </c>
      <c r="H74">
        <v>10</v>
      </c>
      <c r="I74">
        <v>37</v>
      </c>
      <c r="K74">
        <v>0</v>
      </c>
      <c r="L74">
        <v>8</v>
      </c>
    </row>
    <row r="75" spans="1:12" x14ac:dyDescent="0.25">
      <c r="A75" t="s">
        <v>191</v>
      </c>
      <c r="B75" t="s">
        <v>232</v>
      </c>
      <c r="C75" t="s">
        <v>285</v>
      </c>
      <c r="D75" t="s">
        <v>31</v>
      </c>
      <c r="E75">
        <v>173</v>
      </c>
      <c r="H75">
        <v>25</v>
      </c>
      <c r="I75">
        <v>122</v>
      </c>
      <c r="K75">
        <v>0</v>
      </c>
      <c r="L75">
        <v>26</v>
      </c>
    </row>
    <row r="76" spans="1:12" x14ac:dyDescent="0.25">
      <c r="A76" t="s">
        <v>191</v>
      </c>
      <c r="B76" t="s">
        <v>232</v>
      </c>
      <c r="C76" t="s">
        <v>286</v>
      </c>
      <c r="D76" t="s">
        <v>32</v>
      </c>
      <c r="E76">
        <v>23</v>
      </c>
      <c r="H76">
        <v>3</v>
      </c>
      <c r="I76">
        <v>18</v>
      </c>
      <c r="K76">
        <v>0</v>
      </c>
      <c r="L76">
        <v>2</v>
      </c>
    </row>
    <row r="77" spans="1:12" x14ac:dyDescent="0.25">
      <c r="A77" t="s">
        <v>191</v>
      </c>
      <c r="B77" t="s">
        <v>232</v>
      </c>
      <c r="C77" t="s">
        <v>287</v>
      </c>
      <c r="D77" t="s">
        <v>34</v>
      </c>
      <c r="E77">
        <v>54</v>
      </c>
      <c r="H77">
        <v>10</v>
      </c>
      <c r="I77">
        <v>27</v>
      </c>
      <c r="K77">
        <v>2</v>
      </c>
      <c r="L77">
        <v>15</v>
      </c>
    </row>
    <row r="78" spans="1:12" x14ac:dyDescent="0.25">
      <c r="A78" t="s">
        <v>191</v>
      </c>
      <c r="B78" t="s">
        <v>232</v>
      </c>
      <c r="C78" t="s">
        <v>288</v>
      </c>
      <c r="D78" t="s">
        <v>243</v>
      </c>
      <c r="E78">
        <v>348</v>
      </c>
      <c r="H78">
        <v>64</v>
      </c>
      <c r="I78">
        <v>257</v>
      </c>
      <c r="K78">
        <v>1</v>
      </c>
      <c r="L78">
        <v>26</v>
      </c>
    </row>
    <row r="79" spans="1:12" x14ac:dyDescent="0.25">
      <c r="A79" t="s">
        <v>191</v>
      </c>
      <c r="B79" t="s">
        <v>232</v>
      </c>
      <c r="C79" t="s">
        <v>289</v>
      </c>
      <c r="D79" t="s">
        <v>53</v>
      </c>
      <c r="E79">
        <v>115</v>
      </c>
      <c r="H79">
        <v>23</v>
      </c>
      <c r="I79">
        <v>72</v>
      </c>
      <c r="K79">
        <v>0</v>
      </c>
      <c r="L79">
        <v>20</v>
      </c>
    </row>
    <row r="80" spans="1:12" x14ac:dyDescent="0.25">
      <c r="A80" t="s">
        <v>191</v>
      </c>
      <c r="B80" t="s">
        <v>232</v>
      </c>
      <c r="C80" t="s">
        <v>290</v>
      </c>
      <c r="D80" t="s">
        <v>59</v>
      </c>
      <c r="E80">
        <v>74</v>
      </c>
      <c r="H80">
        <v>20</v>
      </c>
      <c r="I80">
        <v>45</v>
      </c>
      <c r="K80">
        <v>0</v>
      </c>
      <c r="L80">
        <v>9</v>
      </c>
    </row>
    <row r="81" spans="1:12" x14ac:dyDescent="0.25">
      <c r="A81" t="s">
        <v>191</v>
      </c>
      <c r="B81" t="s">
        <v>232</v>
      </c>
      <c r="C81" t="s">
        <v>291</v>
      </c>
      <c r="D81" t="s">
        <v>60</v>
      </c>
      <c r="E81">
        <v>79</v>
      </c>
      <c r="H81">
        <v>9</v>
      </c>
      <c r="I81">
        <v>59</v>
      </c>
      <c r="K81">
        <v>1</v>
      </c>
      <c r="L81">
        <v>10</v>
      </c>
    </row>
    <row r="82" spans="1:12" x14ac:dyDescent="0.25">
      <c r="A82" t="s">
        <v>191</v>
      </c>
      <c r="B82" t="s">
        <v>232</v>
      </c>
      <c r="C82" t="s">
        <v>292</v>
      </c>
      <c r="D82" t="s">
        <v>33</v>
      </c>
      <c r="E82">
        <v>27</v>
      </c>
      <c r="H82">
        <v>0</v>
      </c>
      <c r="I82">
        <v>22</v>
      </c>
      <c r="K82">
        <v>1</v>
      </c>
      <c r="L82">
        <v>4</v>
      </c>
    </row>
    <row r="83" spans="1:12" x14ac:dyDescent="0.25">
      <c r="A83" t="s">
        <v>191</v>
      </c>
      <c r="B83" t="s">
        <v>232</v>
      </c>
      <c r="C83" t="s">
        <v>293</v>
      </c>
      <c r="D83" t="s">
        <v>37</v>
      </c>
      <c r="E83">
        <v>207</v>
      </c>
      <c r="H83">
        <v>27</v>
      </c>
      <c r="I83">
        <v>158</v>
      </c>
      <c r="K83">
        <v>1</v>
      </c>
      <c r="L83">
        <v>21</v>
      </c>
    </row>
    <row r="84" spans="1:12" x14ac:dyDescent="0.25">
      <c r="A84" t="s">
        <v>191</v>
      </c>
      <c r="B84" t="s">
        <v>232</v>
      </c>
      <c r="C84" t="s">
        <v>294</v>
      </c>
      <c r="D84" t="s">
        <v>50</v>
      </c>
      <c r="E84">
        <v>187</v>
      </c>
      <c r="H84">
        <v>37</v>
      </c>
      <c r="I84">
        <v>125</v>
      </c>
      <c r="K84">
        <v>1</v>
      </c>
      <c r="L84">
        <v>24</v>
      </c>
    </row>
    <row r="85" spans="1:12" x14ac:dyDescent="0.25">
      <c r="A85" t="s">
        <v>191</v>
      </c>
      <c r="B85" t="s">
        <v>232</v>
      </c>
      <c r="C85" t="s">
        <v>295</v>
      </c>
      <c r="D85" t="s">
        <v>39</v>
      </c>
      <c r="E85">
        <v>72</v>
      </c>
      <c r="H85">
        <v>14</v>
      </c>
      <c r="I85">
        <v>44</v>
      </c>
      <c r="K85">
        <v>0</v>
      </c>
      <c r="L85">
        <v>14</v>
      </c>
    </row>
    <row r="86" spans="1:12" x14ac:dyDescent="0.25">
      <c r="A86" t="s">
        <v>191</v>
      </c>
      <c r="B86" t="s">
        <v>232</v>
      </c>
      <c r="C86" t="s">
        <v>296</v>
      </c>
      <c r="D86" t="s">
        <v>117</v>
      </c>
      <c r="E86">
        <v>544</v>
      </c>
      <c r="H86">
        <v>116</v>
      </c>
      <c r="I86">
        <v>362</v>
      </c>
      <c r="K86">
        <v>1</v>
      </c>
      <c r="L86">
        <v>65</v>
      </c>
    </row>
    <row r="87" spans="1:12" x14ac:dyDescent="0.25">
      <c r="A87" t="s">
        <v>191</v>
      </c>
      <c r="B87" t="s">
        <v>232</v>
      </c>
      <c r="C87" t="s">
        <v>297</v>
      </c>
      <c r="D87" t="s">
        <v>43</v>
      </c>
      <c r="E87">
        <v>288</v>
      </c>
      <c r="H87">
        <v>54</v>
      </c>
      <c r="I87">
        <v>209</v>
      </c>
      <c r="K87">
        <v>0</v>
      </c>
      <c r="L87">
        <v>25</v>
      </c>
    </row>
    <row r="88" spans="1:12" x14ac:dyDescent="0.25">
      <c r="A88" t="s">
        <v>191</v>
      </c>
      <c r="B88" t="s">
        <v>233</v>
      </c>
      <c r="C88" t="s">
        <v>334</v>
      </c>
      <c r="D88" t="s">
        <v>31</v>
      </c>
      <c r="E88">
        <v>18</v>
      </c>
      <c r="F88">
        <v>1</v>
      </c>
      <c r="H88">
        <v>0</v>
      </c>
      <c r="I88">
        <v>0</v>
      </c>
      <c r="J88">
        <v>3</v>
      </c>
      <c r="K88">
        <v>7</v>
      </c>
      <c r="L88">
        <v>7</v>
      </c>
    </row>
    <row r="89" spans="1:12" x14ac:dyDescent="0.25">
      <c r="A89" t="s">
        <v>191</v>
      </c>
      <c r="B89" t="s">
        <v>233</v>
      </c>
      <c r="C89" t="s">
        <v>335</v>
      </c>
      <c r="D89" t="s">
        <v>63</v>
      </c>
      <c r="E89">
        <v>18</v>
      </c>
      <c r="F89">
        <v>1</v>
      </c>
      <c r="H89">
        <v>0</v>
      </c>
      <c r="I89">
        <v>2</v>
      </c>
      <c r="J89">
        <v>1</v>
      </c>
      <c r="K89">
        <v>4</v>
      </c>
      <c r="L89">
        <v>10</v>
      </c>
    </row>
    <row r="90" spans="1:12" x14ac:dyDescent="0.25">
      <c r="A90" t="s">
        <v>191</v>
      </c>
      <c r="B90" t="s">
        <v>233</v>
      </c>
      <c r="C90" t="s">
        <v>337</v>
      </c>
      <c r="D90" t="s">
        <v>64</v>
      </c>
      <c r="E90">
        <v>21</v>
      </c>
      <c r="F90">
        <v>1</v>
      </c>
      <c r="H90">
        <v>0</v>
      </c>
      <c r="I90">
        <v>1</v>
      </c>
      <c r="J90">
        <v>7</v>
      </c>
      <c r="K90">
        <v>5</v>
      </c>
      <c r="L90">
        <v>7</v>
      </c>
    </row>
    <row r="91" spans="1:12" x14ac:dyDescent="0.25">
      <c r="A91" t="s">
        <v>191</v>
      </c>
      <c r="B91" t="s">
        <v>233</v>
      </c>
      <c r="C91" t="s">
        <v>338</v>
      </c>
      <c r="D91" t="s">
        <v>36</v>
      </c>
      <c r="E91">
        <v>18</v>
      </c>
      <c r="F91">
        <v>0</v>
      </c>
      <c r="H91">
        <v>0</v>
      </c>
      <c r="I91">
        <v>1</v>
      </c>
      <c r="J91">
        <v>2</v>
      </c>
      <c r="K91">
        <v>5</v>
      </c>
      <c r="L91">
        <v>10</v>
      </c>
    </row>
    <row r="92" spans="1:12" x14ac:dyDescent="0.25">
      <c r="A92" t="s">
        <v>191</v>
      </c>
      <c r="B92" t="s">
        <v>233</v>
      </c>
      <c r="C92" t="s">
        <v>339</v>
      </c>
      <c r="D92" t="s">
        <v>66</v>
      </c>
      <c r="E92">
        <v>20</v>
      </c>
      <c r="F92">
        <v>1</v>
      </c>
      <c r="H92">
        <v>0</v>
      </c>
      <c r="I92">
        <v>0</v>
      </c>
      <c r="J92">
        <v>7</v>
      </c>
      <c r="K92">
        <v>7</v>
      </c>
      <c r="L92">
        <v>5</v>
      </c>
    </row>
    <row r="93" spans="1:12" x14ac:dyDescent="0.25">
      <c r="A93" t="s">
        <v>191</v>
      </c>
      <c r="B93" t="s">
        <v>233</v>
      </c>
      <c r="C93" t="s">
        <v>340</v>
      </c>
      <c r="D93" t="s">
        <v>67</v>
      </c>
      <c r="E93">
        <v>17</v>
      </c>
      <c r="F93">
        <v>1</v>
      </c>
      <c r="H93">
        <v>0</v>
      </c>
      <c r="I93">
        <v>4</v>
      </c>
      <c r="J93">
        <v>5</v>
      </c>
      <c r="K93">
        <v>1</v>
      </c>
      <c r="L93">
        <v>6</v>
      </c>
    </row>
    <row r="94" spans="1:12" x14ac:dyDescent="0.25">
      <c r="A94" t="s">
        <v>191</v>
      </c>
      <c r="B94" t="s">
        <v>233</v>
      </c>
      <c r="C94" t="s">
        <v>341</v>
      </c>
      <c r="D94" t="s">
        <v>68</v>
      </c>
      <c r="E94">
        <v>12</v>
      </c>
      <c r="F94">
        <v>1</v>
      </c>
      <c r="H94">
        <v>0</v>
      </c>
      <c r="I94">
        <v>0</v>
      </c>
      <c r="J94">
        <v>3</v>
      </c>
      <c r="K94">
        <v>5</v>
      </c>
      <c r="L94">
        <v>3</v>
      </c>
    </row>
    <row r="95" spans="1:12" x14ac:dyDescent="0.25">
      <c r="A95" t="s">
        <v>191</v>
      </c>
      <c r="B95" t="s">
        <v>233</v>
      </c>
      <c r="C95" t="s">
        <v>342</v>
      </c>
      <c r="D95" t="s">
        <v>165</v>
      </c>
      <c r="E95">
        <v>24</v>
      </c>
      <c r="F95">
        <v>2</v>
      </c>
      <c r="H95">
        <v>2</v>
      </c>
      <c r="I95">
        <v>2</v>
      </c>
      <c r="J95">
        <v>8</v>
      </c>
      <c r="K95">
        <v>4</v>
      </c>
      <c r="L95">
        <v>6</v>
      </c>
    </row>
    <row r="96" spans="1:12" x14ac:dyDescent="0.25">
      <c r="A96" t="s">
        <v>191</v>
      </c>
      <c r="B96" t="s">
        <v>233</v>
      </c>
      <c r="C96" t="s">
        <v>343</v>
      </c>
      <c r="D96" t="s">
        <v>69</v>
      </c>
      <c r="E96">
        <v>13</v>
      </c>
      <c r="F96">
        <v>1</v>
      </c>
      <c r="H96">
        <v>0</v>
      </c>
      <c r="I96">
        <v>1</v>
      </c>
      <c r="J96">
        <v>3</v>
      </c>
      <c r="K96">
        <v>3</v>
      </c>
      <c r="L96">
        <v>5</v>
      </c>
    </row>
    <row r="97" spans="1:12" x14ac:dyDescent="0.25">
      <c r="A97" t="s">
        <v>191</v>
      </c>
      <c r="B97" t="s">
        <v>233</v>
      </c>
      <c r="C97" t="s">
        <v>994</v>
      </c>
      <c r="D97" t="s">
        <v>117</v>
      </c>
      <c r="E97">
        <v>25</v>
      </c>
      <c r="F97">
        <v>1</v>
      </c>
      <c r="H97">
        <v>1</v>
      </c>
      <c r="I97">
        <v>2</v>
      </c>
      <c r="J97">
        <v>4</v>
      </c>
      <c r="K97">
        <v>8</v>
      </c>
      <c r="L97">
        <v>9</v>
      </c>
    </row>
    <row r="98" spans="1:12" x14ac:dyDescent="0.25">
      <c r="A98" t="s">
        <v>191</v>
      </c>
      <c r="B98" t="s">
        <v>233</v>
      </c>
      <c r="C98" t="s">
        <v>344</v>
      </c>
      <c r="D98" t="s">
        <v>70</v>
      </c>
      <c r="E98">
        <v>13</v>
      </c>
      <c r="F98">
        <v>1</v>
      </c>
      <c r="H98">
        <v>0</v>
      </c>
      <c r="I98">
        <v>0</v>
      </c>
      <c r="J98">
        <v>6</v>
      </c>
      <c r="K98">
        <v>5</v>
      </c>
      <c r="L98">
        <v>1</v>
      </c>
    </row>
    <row r="99" spans="1:12" x14ac:dyDescent="0.25">
      <c r="A99" t="s">
        <v>191</v>
      </c>
      <c r="B99" t="s">
        <v>233</v>
      </c>
      <c r="C99" t="s">
        <v>995</v>
      </c>
      <c r="D99" t="s">
        <v>50</v>
      </c>
      <c r="E99">
        <v>16</v>
      </c>
      <c r="F99">
        <v>2</v>
      </c>
      <c r="H99">
        <v>1</v>
      </c>
      <c r="I99">
        <v>1</v>
      </c>
      <c r="J99">
        <v>3</v>
      </c>
      <c r="K99">
        <v>5</v>
      </c>
      <c r="L99">
        <v>4</v>
      </c>
    </row>
    <row r="100" spans="1:12" x14ac:dyDescent="0.25">
      <c r="A100" t="s">
        <v>191</v>
      </c>
      <c r="B100" t="s">
        <v>233</v>
      </c>
      <c r="C100" t="s">
        <v>345</v>
      </c>
      <c r="D100" t="s">
        <v>57</v>
      </c>
      <c r="E100">
        <v>10</v>
      </c>
      <c r="F100">
        <v>1</v>
      </c>
      <c r="H100">
        <v>0</v>
      </c>
      <c r="I100">
        <v>0</v>
      </c>
      <c r="J100">
        <v>4</v>
      </c>
      <c r="K100">
        <v>2</v>
      </c>
      <c r="L100">
        <v>3</v>
      </c>
    </row>
    <row r="101" spans="1:12" x14ac:dyDescent="0.25">
      <c r="A101" t="s">
        <v>191</v>
      </c>
      <c r="B101" t="s">
        <v>233</v>
      </c>
      <c r="C101" t="s">
        <v>996</v>
      </c>
      <c r="D101" t="s">
        <v>985</v>
      </c>
      <c r="E101">
        <v>5</v>
      </c>
      <c r="F101">
        <v>0</v>
      </c>
      <c r="H101">
        <v>0</v>
      </c>
      <c r="I101">
        <v>0</v>
      </c>
      <c r="J101">
        <v>1</v>
      </c>
      <c r="K101">
        <v>4</v>
      </c>
      <c r="L101">
        <v>0</v>
      </c>
    </row>
    <row r="102" spans="1:12" x14ac:dyDescent="0.25">
      <c r="A102" t="s">
        <v>191</v>
      </c>
      <c r="B102" t="s">
        <v>233</v>
      </c>
      <c r="C102" t="s">
        <v>346</v>
      </c>
      <c r="D102" t="s">
        <v>71</v>
      </c>
      <c r="E102">
        <v>7</v>
      </c>
      <c r="F102">
        <v>1</v>
      </c>
      <c r="H102">
        <v>0</v>
      </c>
      <c r="I102">
        <v>0</v>
      </c>
      <c r="J102">
        <v>3</v>
      </c>
      <c r="K102">
        <v>3</v>
      </c>
      <c r="L102">
        <v>0</v>
      </c>
    </row>
    <row r="103" spans="1:12" x14ac:dyDescent="0.25">
      <c r="A103" t="s">
        <v>191</v>
      </c>
      <c r="B103" t="s">
        <v>233</v>
      </c>
      <c r="C103" t="s">
        <v>336</v>
      </c>
      <c r="D103" t="s">
        <v>65</v>
      </c>
      <c r="E103">
        <v>12</v>
      </c>
      <c r="F103">
        <v>1</v>
      </c>
      <c r="H103">
        <v>0</v>
      </c>
      <c r="I103">
        <v>0</v>
      </c>
      <c r="J103">
        <v>3</v>
      </c>
      <c r="K103">
        <v>5</v>
      </c>
      <c r="L103">
        <v>3</v>
      </c>
    </row>
    <row r="104" spans="1:12" x14ac:dyDescent="0.25">
      <c r="A104" t="s">
        <v>191</v>
      </c>
      <c r="B104" t="s">
        <v>233</v>
      </c>
      <c r="C104" t="s">
        <v>993</v>
      </c>
      <c r="D104" t="s">
        <v>43</v>
      </c>
      <c r="E104">
        <v>21</v>
      </c>
      <c r="F104">
        <v>2</v>
      </c>
      <c r="H104">
        <v>0</v>
      </c>
      <c r="I104">
        <v>0</v>
      </c>
      <c r="J104">
        <v>2</v>
      </c>
      <c r="K104">
        <v>6</v>
      </c>
      <c r="L104">
        <v>11</v>
      </c>
    </row>
    <row r="105" spans="1:12" x14ac:dyDescent="0.25">
      <c r="A105" t="s">
        <v>191</v>
      </c>
      <c r="B105" t="s">
        <v>234</v>
      </c>
      <c r="C105" t="s">
        <v>362</v>
      </c>
      <c r="D105" t="s">
        <v>163</v>
      </c>
      <c r="E105">
        <v>105</v>
      </c>
      <c r="F105">
        <v>2</v>
      </c>
      <c r="H105">
        <v>9</v>
      </c>
      <c r="I105">
        <v>0</v>
      </c>
      <c r="J105">
        <v>15</v>
      </c>
      <c r="K105">
        <v>4</v>
      </c>
      <c r="L105">
        <v>75</v>
      </c>
    </row>
    <row r="106" spans="1:12" x14ac:dyDescent="0.25">
      <c r="A106" t="s">
        <v>191</v>
      </c>
      <c r="B106" t="s">
        <v>234</v>
      </c>
      <c r="C106" t="s">
        <v>361</v>
      </c>
      <c r="D106" t="s">
        <v>164</v>
      </c>
      <c r="E106">
        <v>78</v>
      </c>
      <c r="F106">
        <v>1</v>
      </c>
      <c r="H106">
        <v>4</v>
      </c>
      <c r="I106">
        <v>6</v>
      </c>
      <c r="J106">
        <v>4</v>
      </c>
      <c r="K106">
        <v>17</v>
      </c>
      <c r="L106">
        <v>46</v>
      </c>
    </row>
    <row r="107" spans="1:12" x14ac:dyDescent="0.25">
      <c r="A107" t="s">
        <v>191</v>
      </c>
      <c r="B107" t="s">
        <v>234</v>
      </c>
      <c r="C107" t="s">
        <v>363</v>
      </c>
      <c r="D107" t="s">
        <v>162</v>
      </c>
      <c r="E107">
        <v>66</v>
      </c>
      <c r="F107">
        <v>1</v>
      </c>
      <c r="H107">
        <v>21</v>
      </c>
      <c r="I107">
        <v>1</v>
      </c>
      <c r="J107">
        <v>7</v>
      </c>
      <c r="K107">
        <v>10</v>
      </c>
      <c r="L107">
        <v>26</v>
      </c>
    </row>
    <row r="108" spans="1:12" x14ac:dyDescent="0.25">
      <c r="A108" t="s">
        <v>191</v>
      </c>
      <c r="B108" t="s">
        <v>235</v>
      </c>
      <c r="C108" t="s">
        <v>347</v>
      </c>
      <c r="D108" t="s">
        <v>244</v>
      </c>
      <c r="E108">
        <v>52</v>
      </c>
      <c r="F108">
        <v>11</v>
      </c>
      <c r="G108">
        <v>7</v>
      </c>
      <c r="H108">
        <v>4</v>
      </c>
      <c r="I108">
        <v>1</v>
      </c>
      <c r="J108">
        <v>12</v>
      </c>
      <c r="K108">
        <v>6</v>
      </c>
      <c r="L108">
        <v>11</v>
      </c>
    </row>
    <row r="109" spans="1:12" x14ac:dyDescent="0.25">
      <c r="A109" t="s">
        <v>191</v>
      </c>
      <c r="B109" t="s">
        <v>26</v>
      </c>
      <c r="C109" t="s">
        <v>347</v>
      </c>
      <c r="D109" t="s">
        <v>244</v>
      </c>
      <c r="E109">
        <v>3856</v>
      </c>
      <c r="F109">
        <v>33</v>
      </c>
      <c r="G109">
        <v>7</v>
      </c>
      <c r="H109">
        <v>634</v>
      </c>
      <c r="I109">
        <v>2285</v>
      </c>
      <c r="J109">
        <v>103</v>
      </c>
      <c r="K109">
        <v>130</v>
      </c>
      <c r="L109">
        <v>664</v>
      </c>
    </row>
    <row r="110" spans="1:12" x14ac:dyDescent="0.25">
      <c r="A110" t="s">
        <v>190</v>
      </c>
      <c r="B110" t="s">
        <v>232</v>
      </c>
      <c r="C110" t="s">
        <v>266</v>
      </c>
      <c r="D110" t="s">
        <v>35</v>
      </c>
      <c r="E110">
        <v>26</v>
      </c>
      <c r="H110">
        <v>5</v>
      </c>
      <c r="I110">
        <v>17</v>
      </c>
      <c r="K110">
        <v>0</v>
      </c>
      <c r="L110">
        <v>4</v>
      </c>
    </row>
    <row r="111" spans="1:12" x14ac:dyDescent="0.25">
      <c r="A111" t="s">
        <v>190</v>
      </c>
      <c r="B111" t="s">
        <v>232</v>
      </c>
      <c r="C111" t="s">
        <v>267</v>
      </c>
      <c r="D111" t="s">
        <v>36</v>
      </c>
      <c r="E111">
        <v>65</v>
      </c>
      <c r="H111">
        <v>14</v>
      </c>
      <c r="I111">
        <v>48</v>
      </c>
      <c r="K111">
        <v>0</v>
      </c>
      <c r="L111">
        <v>3</v>
      </c>
    </row>
    <row r="112" spans="1:12" x14ac:dyDescent="0.25">
      <c r="A112" t="s">
        <v>190</v>
      </c>
      <c r="B112" t="s">
        <v>232</v>
      </c>
      <c r="C112" t="s">
        <v>268</v>
      </c>
      <c r="D112" t="s">
        <v>38</v>
      </c>
      <c r="E112">
        <v>53</v>
      </c>
      <c r="H112">
        <v>7</v>
      </c>
      <c r="I112">
        <v>41</v>
      </c>
      <c r="K112">
        <v>0</v>
      </c>
      <c r="L112">
        <v>5</v>
      </c>
    </row>
    <row r="113" spans="1:12" x14ac:dyDescent="0.25">
      <c r="A113" t="s">
        <v>190</v>
      </c>
      <c r="B113" t="s">
        <v>232</v>
      </c>
      <c r="C113" t="s">
        <v>269</v>
      </c>
      <c r="D113" t="s">
        <v>40</v>
      </c>
      <c r="E113">
        <v>27</v>
      </c>
      <c r="H113">
        <v>4</v>
      </c>
      <c r="I113">
        <v>19</v>
      </c>
      <c r="K113">
        <v>0</v>
      </c>
      <c r="L113">
        <v>4</v>
      </c>
    </row>
    <row r="114" spans="1:12" x14ac:dyDescent="0.25">
      <c r="A114" t="s">
        <v>190</v>
      </c>
      <c r="B114" t="s">
        <v>232</v>
      </c>
      <c r="C114" t="s">
        <v>270</v>
      </c>
      <c r="D114" t="s">
        <v>41</v>
      </c>
      <c r="E114">
        <v>53</v>
      </c>
      <c r="H114">
        <v>10</v>
      </c>
      <c r="I114">
        <v>34</v>
      </c>
      <c r="K114">
        <v>0</v>
      </c>
      <c r="L114">
        <v>9</v>
      </c>
    </row>
    <row r="115" spans="1:12" x14ac:dyDescent="0.25">
      <c r="A115" t="s">
        <v>190</v>
      </c>
      <c r="B115" t="s">
        <v>232</v>
      </c>
      <c r="C115" t="s">
        <v>271</v>
      </c>
      <c r="D115" t="s">
        <v>48</v>
      </c>
      <c r="E115">
        <v>95</v>
      </c>
      <c r="H115">
        <v>17</v>
      </c>
      <c r="I115">
        <v>66</v>
      </c>
      <c r="K115">
        <v>0</v>
      </c>
      <c r="L115">
        <v>12</v>
      </c>
    </row>
    <row r="116" spans="1:12" x14ac:dyDescent="0.25">
      <c r="A116" t="s">
        <v>190</v>
      </c>
      <c r="B116" t="s">
        <v>232</v>
      </c>
      <c r="C116" t="s">
        <v>272</v>
      </c>
      <c r="D116" t="s">
        <v>42</v>
      </c>
      <c r="E116">
        <v>277.07499999999999</v>
      </c>
      <c r="H116">
        <v>47</v>
      </c>
      <c r="I116">
        <v>210.07499999999999</v>
      </c>
      <c r="K116">
        <v>0</v>
      </c>
      <c r="L116">
        <v>20</v>
      </c>
    </row>
    <row r="117" spans="1:12" x14ac:dyDescent="0.25">
      <c r="A117" t="s">
        <v>190</v>
      </c>
      <c r="B117" t="s">
        <v>232</v>
      </c>
      <c r="C117" t="s">
        <v>273</v>
      </c>
      <c r="D117" t="s">
        <v>44</v>
      </c>
      <c r="E117">
        <v>70</v>
      </c>
      <c r="H117">
        <v>12</v>
      </c>
      <c r="I117">
        <v>48</v>
      </c>
      <c r="K117">
        <v>1</v>
      </c>
      <c r="L117">
        <v>9</v>
      </c>
    </row>
    <row r="118" spans="1:12" x14ac:dyDescent="0.25">
      <c r="A118" t="s">
        <v>190</v>
      </c>
      <c r="B118" t="s">
        <v>232</v>
      </c>
      <c r="C118" t="s">
        <v>274</v>
      </c>
      <c r="D118" t="s">
        <v>45</v>
      </c>
      <c r="E118">
        <v>23</v>
      </c>
      <c r="H118">
        <v>4</v>
      </c>
      <c r="I118">
        <v>16</v>
      </c>
      <c r="K118">
        <v>0</v>
      </c>
      <c r="L118">
        <v>3</v>
      </c>
    </row>
    <row r="119" spans="1:12" x14ac:dyDescent="0.25">
      <c r="A119" t="s">
        <v>190</v>
      </c>
      <c r="B119" t="s">
        <v>232</v>
      </c>
      <c r="C119" t="s">
        <v>275</v>
      </c>
      <c r="D119" t="s">
        <v>46</v>
      </c>
      <c r="E119">
        <v>31</v>
      </c>
      <c r="H119">
        <v>5</v>
      </c>
      <c r="I119">
        <v>21</v>
      </c>
      <c r="K119">
        <v>0</v>
      </c>
      <c r="L119">
        <v>5</v>
      </c>
    </row>
    <row r="120" spans="1:12" x14ac:dyDescent="0.25">
      <c r="A120" t="s">
        <v>190</v>
      </c>
      <c r="B120" t="s">
        <v>232</v>
      </c>
      <c r="C120" t="s">
        <v>276</v>
      </c>
      <c r="D120" t="s">
        <v>47</v>
      </c>
      <c r="E120">
        <v>0</v>
      </c>
      <c r="H120">
        <v>0</v>
      </c>
      <c r="I120">
        <v>0</v>
      </c>
      <c r="K120">
        <v>0</v>
      </c>
      <c r="L120">
        <v>0</v>
      </c>
    </row>
    <row r="121" spans="1:12" x14ac:dyDescent="0.25">
      <c r="A121" t="s">
        <v>190</v>
      </c>
      <c r="B121" t="s">
        <v>232</v>
      </c>
      <c r="C121" t="s">
        <v>277</v>
      </c>
      <c r="D121" t="s">
        <v>49</v>
      </c>
      <c r="E121">
        <v>75.095238095238102</v>
      </c>
      <c r="H121">
        <v>13.095238095238095</v>
      </c>
      <c r="I121">
        <v>50</v>
      </c>
      <c r="K121">
        <v>0</v>
      </c>
      <c r="L121">
        <v>12</v>
      </c>
    </row>
    <row r="122" spans="1:12" x14ac:dyDescent="0.25">
      <c r="A122" t="s">
        <v>190</v>
      </c>
      <c r="B122" t="s">
        <v>232</v>
      </c>
      <c r="C122" t="s">
        <v>278</v>
      </c>
      <c r="D122" t="s">
        <v>51</v>
      </c>
      <c r="E122">
        <v>0</v>
      </c>
      <c r="H122">
        <v>0</v>
      </c>
      <c r="I122">
        <v>0</v>
      </c>
      <c r="K122">
        <v>0</v>
      </c>
      <c r="L122">
        <v>0</v>
      </c>
    </row>
    <row r="123" spans="1:12" x14ac:dyDescent="0.25">
      <c r="A123" t="s">
        <v>190</v>
      </c>
      <c r="B123" t="s">
        <v>232</v>
      </c>
      <c r="C123" t="s">
        <v>279</v>
      </c>
      <c r="D123" t="s">
        <v>52</v>
      </c>
      <c r="E123">
        <v>72.75</v>
      </c>
      <c r="H123">
        <v>13</v>
      </c>
      <c r="I123">
        <v>55.75</v>
      </c>
      <c r="K123">
        <v>0</v>
      </c>
      <c r="L123">
        <v>4</v>
      </c>
    </row>
    <row r="124" spans="1:12" x14ac:dyDescent="0.25">
      <c r="A124" t="s">
        <v>190</v>
      </c>
      <c r="B124" t="s">
        <v>232</v>
      </c>
      <c r="C124" t="s">
        <v>280</v>
      </c>
      <c r="D124" t="s">
        <v>54</v>
      </c>
      <c r="E124">
        <v>69.075000000000003</v>
      </c>
      <c r="H124">
        <v>12</v>
      </c>
      <c r="I124">
        <v>48.075000000000003</v>
      </c>
      <c r="K124">
        <v>0</v>
      </c>
      <c r="L124">
        <v>9</v>
      </c>
    </row>
    <row r="125" spans="1:12" x14ac:dyDescent="0.25">
      <c r="A125" t="s">
        <v>190</v>
      </c>
      <c r="B125" t="s">
        <v>232</v>
      </c>
      <c r="C125" t="s">
        <v>281</v>
      </c>
      <c r="D125" t="s">
        <v>55</v>
      </c>
      <c r="E125">
        <v>0</v>
      </c>
      <c r="H125">
        <v>0</v>
      </c>
      <c r="I125">
        <v>0</v>
      </c>
      <c r="K125">
        <v>0</v>
      </c>
      <c r="L125">
        <v>0</v>
      </c>
    </row>
    <row r="126" spans="1:12" x14ac:dyDescent="0.25">
      <c r="A126" t="s">
        <v>190</v>
      </c>
      <c r="B126" t="s">
        <v>232</v>
      </c>
      <c r="C126" t="s">
        <v>282</v>
      </c>
      <c r="D126" t="s">
        <v>56</v>
      </c>
      <c r="E126">
        <v>55</v>
      </c>
      <c r="H126">
        <v>10</v>
      </c>
      <c r="I126">
        <v>40</v>
      </c>
      <c r="K126">
        <v>0</v>
      </c>
      <c r="L126">
        <v>5</v>
      </c>
    </row>
    <row r="127" spans="1:12" x14ac:dyDescent="0.25">
      <c r="A127" t="s">
        <v>190</v>
      </c>
      <c r="B127" t="s">
        <v>232</v>
      </c>
      <c r="C127" t="s">
        <v>283</v>
      </c>
      <c r="D127" t="s">
        <v>57</v>
      </c>
      <c r="E127">
        <v>178</v>
      </c>
      <c r="H127">
        <v>28</v>
      </c>
      <c r="I127">
        <v>132</v>
      </c>
      <c r="K127">
        <v>0</v>
      </c>
      <c r="L127">
        <v>18</v>
      </c>
    </row>
    <row r="128" spans="1:12" x14ac:dyDescent="0.25">
      <c r="A128" t="s">
        <v>190</v>
      </c>
      <c r="B128" t="s">
        <v>232</v>
      </c>
      <c r="C128" t="s">
        <v>284</v>
      </c>
      <c r="D128" t="s">
        <v>58</v>
      </c>
      <c r="E128">
        <v>51</v>
      </c>
      <c r="H128">
        <v>9</v>
      </c>
      <c r="I128">
        <v>40</v>
      </c>
      <c r="K128">
        <v>0</v>
      </c>
      <c r="L128">
        <v>2</v>
      </c>
    </row>
    <row r="129" spans="1:12" x14ac:dyDescent="0.25">
      <c r="A129" t="s">
        <v>190</v>
      </c>
      <c r="B129" t="s">
        <v>232</v>
      </c>
      <c r="C129" t="s">
        <v>285</v>
      </c>
      <c r="D129" t="s">
        <v>31</v>
      </c>
      <c r="E129">
        <v>142</v>
      </c>
      <c r="H129">
        <v>22</v>
      </c>
      <c r="I129">
        <v>107</v>
      </c>
      <c r="K129">
        <v>0</v>
      </c>
      <c r="L129">
        <v>13</v>
      </c>
    </row>
    <row r="130" spans="1:12" x14ac:dyDescent="0.25">
      <c r="A130" t="s">
        <v>190</v>
      </c>
      <c r="B130" t="s">
        <v>232</v>
      </c>
      <c r="C130" t="s">
        <v>286</v>
      </c>
      <c r="D130" t="s">
        <v>32</v>
      </c>
      <c r="E130">
        <v>32</v>
      </c>
      <c r="H130">
        <v>6</v>
      </c>
      <c r="I130">
        <v>22</v>
      </c>
      <c r="K130">
        <v>0</v>
      </c>
      <c r="L130">
        <v>4</v>
      </c>
    </row>
    <row r="131" spans="1:12" x14ac:dyDescent="0.25">
      <c r="A131" t="s">
        <v>190</v>
      </c>
      <c r="B131" t="s">
        <v>232</v>
      </c>
      <c r="C131" t="s">
        <v>287</v>
      </c>
      <c r="D131" t="s">
        <v>34</v>
      </c>
      <c r="E131">
        <v>55</v>
      </c>
      <c r="H131">
        <v>8</v>
      </c>
      <c r="I131">
        <v>37</v>
      </c>
      <c r="K131">
        <v>0</v>
      </c>
      <c r="L131">
        <v>10</v>
      </c>
    </row>
    <row r="132" spans="1:12" x14ac:dyDescent="0.25">
      <c r="A132" t="s">
        <v>190</v>
      </c>
      <c r="B132" t="s">
        <v>232</v>
      </c>
      <c r="C132" t="s">
        <v>288</v>
      </c>
      <c r="D132" t="s">
        <v>243</v>
      </c>
      <c r="E132">
        <v>315</v>
      </c>
      <c r="H132">
        <v>48</v>
      </c>
      <c r="I132">
        <v>248</v>
      </c>
      <c r="K132">
        <v>0</v>
      </c>
      <c r="L132">
        <v>19</v>
      </c>
    </row>
    <row r="133" spans="1:12" x14ac:dyDescent="0.25">
      <c r="A133" t="s">
        <v>190</v>
      </c>
      <c r="B133" t="s">
        <v>232</v>
      </c>
      <c r="C133" t="s">
        <v>289</v>
      </c>
      <c r="D133" t="s">
        <v>53</v>
      </c>
      <c r="E133">
        <v>92</v>
      </c>
      <c r="H133">
        <v>15</v>
      </c>
      <c r="I133">
        <v>62</v>
      </c>
      <c r="K133">
        <v>0</v>
      </c>
      <c r="L133">
        <v>15</v>
      </c>
    </row>
    <row r="134" spans="1:12" x14ac:dyDescent="0.25">
      <c r="A134" t="s">
        <v>190</v>
      </c>
      <c r="B134" t="s">
        <v>232</v>
      </c>
      <c r="C134" t="s">
        <v>290</v>
      </c>
      <c r="D134" t="s">
        <v>59</v>
      </c>
      <c r="E134">
        <v>70</v>
      </c>
      <c r="H134">
        <v>11</v>
      </c>
      <c r="I134">
        <v>49</v>
      </c>
      <c r="K134">
        <v>0</v>
      </c>
      <c r="L134">
        <v>10</v>
      </c>
    </row>
    <row r="135" spans="1:12" x14ac:dyDescent="0.25">
      <c r="A135" t="s">
        <v>190</v>
      </c>
      <c r="B135" t="s">
        <v>232</v>
      </c>
      <c r="C135" t="s">
        <v>291</v>
      </c>
      <c r="D135" t="s">
        <v>60</v>
      </c>
      <c r="E135">
        <v>61</v>
      </c>
      <c r="H135">
        <v>9</v>
      </c>
      <c r="I135">
        <v>44</v>
      </c>
      <c r="K135">
        <v>0</v>
      </c>
      <c r="L135">
        <v>8</v>
      </c>
    </row>
    <row r="136" spans="1:12" x14ac:dyDescent="0.25">
      <c r="A136" t="s">
        <v>190</v>
      </c>
      <c r="B136" t="s">
        <v>232</v>
      </c>
      <c r="C136" t="s">
        <v>292</v>
      </c>
      <c r="D136" t="s">
        <v>33</v>
      </c>
      <c r="E136">
        <v>36</v>
      </c>
      <c r="H136">
        <v>8</v>
      </c>
      <c r="I136">
        <v>25</v>
      </c>
      <c r="K136">
        <v>0</v>
      </c>
      <c r="L136">
        <v>3</v>
      </c>
    </row>
    <row r="137" spans="1:12" x14ac:dyDescent="0.25">
      <c r="A137" t="s">
        <v>190</v>
      </c>
      <c r="B137" t="s">
        <v>232</v>
      </c>
      <c r="C137" t="s">
        <v>293</v>
      </c>
      <c r="D137" t="s">
        <v>37</v>
      </c>
      <c r="E137">
        <v>176</v>
      </c>
      <c r="H137">
        <v>26</v>
      </c>
      <c r="I137">
        <v>135</v>
      </c>
      <c r="K137">
        <v>1</v>
      </c>
      <c r="L137">
        <v>14</v>
      </c>
    </row>
    <row r="138" spans="1:12" x14ac:dyDescent="0.25">
      <c r="A138" t="s">
        <v>190</v>
      </c>
      <c r="B138" t="s">
        <v>232</v>
      </c>
      <c r="C138" t="s">
        <v>294</v>
      </c>
      <c r="D138" t="s">
        <v>50</v>
      </c>
      <c r="E138">
        <v>179.75</v>
      </c>
      <c r="H138">
        <v>27.75</v>
      </c>
      <c r="I138">
        <v>136</v>
      </c>
      <c r="K138">
        <v>0</v>
      </c>
      <c r="L138">
        <v>16</v>
      </c>
    </row>
    <row r="139" spans="1:12" x14ac:dyDescent="0.25">
      <c r="A139" t="s">
        <v>190</v>
      </c>
      <c r="B139" t="s">
        <v>232</v>
      </c>
      <c r="C139" t="s">
        <v>295</v>
      </c>
      <c r="D139" t="s">
        <v>39</v>
      </c>
      <c r="E139">
        <v>70</v>
      </c>
      <c r="H139">
        <v>9</v>
      </c>
      <c r="I139">
        <v>46</v>
      </c>
      <c r="K139">
        <v>0</v>
      </c>
      <c r="L139">
        <v>15</v>
      </c>
    </row>
    <row r="140" spans="1:12" x14ac:dyDescent="0.25">
      <c r="A140" t="s">
        <v>190</v>
      </c>
      <c r="B140" t="s">
        <v>232</v>
      </c>
      <c r="C140" t="s">
        <v>296</v>
      </c>
      <c r="D140" t="s">
        <v>117</v>
      </c>
      <c r="E140">
        <v>68</v>
      </c>
      <c r="H140">
        <v>11</v>
      </c>
      <c r="I140">
        <v>53</v>
      </c>
      <c r="K140">
        <v>0</v>
      </c>
      <c r="L140">
        <v>4</v>
      </c>
    </row>
    <row r="141" spans="1:12" x14ac:dyDescent="0.25">
      <c r="A141" t="s">
        <v>190</v>
      </c>
      <c r="B141" t="s">
        <v>232</v>
      </c>
      <c r="C141" t="s">
        <v>297</v>
      </c>
      <c r="D141" t="s">
        <v>43</v>
      </c>
      <c r="E141">
        <v>498.15952380952382</v>
      </c>
      <c r="H141">
        <v>98.5</v>
      </c>
      <c r="I141">
        <v>350</v>
      </c>
      <c r="K141">
        <v>0</v>
      </c>
      <c r="L141">
        <v>49.659523809523812</v>
      </c>
    </row>
    <row r="142" spans="1:12" x14ac:dyDescent="0.25">
      <c r="A142" t="s">
        <v>190</v>
      </c>
      <c r="B142" t="s">
        <v>233</v>
      </c>
      <c r="C142" t="s">
        <v>334</v>
      </c>
      <c r="D142" t="s">
        <v>31</v>
      </c>
      <c r="E142">
        <v>16</v>
      </c>
      <c r="F142">
        <v>1</v>
      </c>
      <c r="H142">
        <v>0</v>
      </c>
      <c r="I142">
        <v>3</v>
      </c>
      <c r="J142">
        <v>3</v>
      </c>
      <c r="K142">
        <v>2</v>
      </c>
      <c r="L142">
        <v>7</v>
      </c>
    </row>
    <row r="143" spans="1:12" x14ac:dyDescent="0.25">
      <c r="A143" t="s">
        <v>190</v>
      </c>
      <c r="B143" t="s">
        <v>233</v>
      </c>
      <c r="C143" t="s">
        <v>335</v>
      </c>
      <c r="D143" t="s">
        <v>63</v>
      </c>
      <c r="E143">
        <v>27</v>
      </c>
      <c r="F143">
        <v>1</v>
      </c>
      <c r="H143">
        <v>7</v>
      </c>
      <c r="I143">
        <v>1</v>
      </c>
      <c r="J143">
        <v>2</v>
      </c>
      <c r="K143">
        <v>6</v>
      </c>
      <c r="L143">
        <v>10</v>
      </c>
    </row>
    <row r="144" spans="1:12" x14ac:dyDescent="0.25">
      <c r="A144" t="s">
        <v>190</v>
      </c>
      <c r="B144" t="s">
        <v>233</v>
      </c>
      <c r="C144" t="s">
        <v>337</v>
      </c>
      <c r="D144" t="s">
        <v>64</v>
      </c>
      <c r="E144">
        <v>25</v>
      </c>
      <c r="F144">
        <v>1</v>
      </c>
      <c r="H144">
        <v>2</v>
      </c>
      <c r="I144">
        <v>4</v>
      </c>
      <c r="J144">
        <v>5</v>
      </c>
      <c r="K144">
        <v>7</v>
      </c>
      <c r="L144">
        <v>6</v>
      </c>
    </row>
    <row r="145" spans="1:12" x14ac:dyDescent="0.25">
      <c r="A145" t="s">
        <v>190</v>
      </c>
      <c r="B145" t="s">
        <v>233</v>
      </c>
      <c r="C145" t="s">
        <v>338</v>
      </c>
      <c r="D145" t="s">
        <v>36</v>
      </c>
      <c r="E145">
        <v>19</v>
      </c>
      <c r="F145">
        <v>0</v>
      </c>
      <c r="H145">
        <v>0</v>
      </c>
      <c r="I145">
        <v>2</v>
      </c>
      <c r="J145">
        <v>2</v>
      </c>
      <c r="K145">
        <v>5</v>
      </c>
      <c r="L145">
        <v>10</v>
      </c>
    </row>
    <row r="146" spans="1:12" x14ac:dyDescent="0.25">
      <c r="A146" t="s">
        <v>190</v>
      </c>
      <c r="B146" t="s">
        <v>233</v>
      </c>
      <c r="C146" t="s">
        <v>339</v>
      </c>
      <c r="D146" t="s">
        <v>66</v>
      </c>
      <c r="E146">
        <v>28.885714285714286</v>
      </c>
      <c r="F146">
        <v>1</v>
      </c>
      <c r="H146">
        <v>4</v>
      </c>
      <c r="I146">
        <v>1.8857142857142857</v>
      </c>
      <c r="J146">
        <v>6</v>
      </c>
      <c r="K146">
        <v>7</v>
      </c>
      <c r="L146">
        <v>9</v>
      </c>
    </row>
    <row r="147" spans="1:12" x14ac:dyDescent="0.25">
      <c r="A147" t="s">
        <v>190</v>
      </c>
      <c r="B147" t="s">
        <v>233</v>
      </c>
      <c r="C147" t="s">
        <v>340</v>
      </c>
      <c r="D147" t="s">
        <v>67</v>
      </c>
      <c r="E147">
        <v>38</v>
      </c>
      <c r="F147">
        <v>1</v>
      </c>
      <c r="H147">
        <v>10</v>
      </c>
      <c r="I147">
        <v>5</v>
      </c>
      <c r="J147">
        <v>5</v>
      </c>
      <c r="K147">
        <v>6</v>
      </c>
      <c r="L147">
        <v>11</v>
      </c>
    </row>
    <row r="148" spans="1:12" x14ac:dyDescent="0.25">
      <c r="A148" t="s">
        <v>190</v>
      </c>
      <c r="B148" t="s">
        <v>233</v>
      </c>
      <c r="C148" t="s">
        <v>341</v>
      </c>
      <c r="D148" t="s">
        <v>68</v>
      </c>
      <c r="E148">
        <v>17</v>
      </c>
      <c r="F148">
        <v>1</v>
      </c>
      <c r="H148">
        <v>1</v>
      </c>
      <c r="I148">
        <v>3</v>
      </c>
      <c r="J148">
        <v>2</v>
      </c>
      <c r="K148">
        <v>3</v>
      </c>
      <c r="L148">
        <v>7</v>
      </c>
    </row>
    <row r="149" spans="1:12" x14ac:dyDescent="0.25">
      <c r="A149" t="s">
        <v>190</v>
      </c>
      <c r="B149" t="s">
        <v>233</v>
      </c>
      <c r="C149" t="s">
        <v>342</v>
      </c>
      <c r="D149" t="s">
        <v>165</v>
      </c>
      <c r="E149">
        <v>27</v>
      </c>
      <c r="F149">
        <v>0</v>
      </c>
      <c r="H149">
        <v>5</v>
      </c>
      <c r="I149">
        <v>4</v>
      </c>
      <c r="J149">
        <v>7</v>
      </c>
      <c r="K149">
        <v>2</v>
      </c>
      <c r="L149">
        <v>9</v>
      </c>
    </row>
    <row r="150" spans="1:12" x14ac:dyDescent="0.25">
      <c r="A150" t="s">
        <v>190</v>
      </c>
      <c r="B150" t="s">
        <v>233</v>
      </c>
      <c r="C150" t="s">
        <v>343</v>
      </c>
      <c r="D150" t="s">
        <v>69</v>
      </c>
      <c r="E150">
        <v>25</v>
      </c>
      <c r="F150">
        <v>1</v>
      </c>
      <c r="H150">
        <v>1</v>
      </c>
      <c r="I150">
        <v>2</v>
      </c>
      <c r="J150">
        <v>2</v>
      </c>
      <c r="K150">
        <v>3</v>
      </c>
      <c r="L150">
        <v>16</v>
      </c>
    </row>
    <row r="151" spans="1:12" x14ac:dyDescent="0.25">
      <c r="A151" t="s">
        <v>190</v>
      </c>
      <c r="B151" t="s">
        <v>233</v>
      </c>
      <c r="C151" t="s">
        <v>994</v>
      </c>
      <c r="D151" t="s">
        <v>117</v>
      </c>
      <c r="E151">
        <v>31.659523809523812</v>
      </c>
      <c r="F151">
        <v>1</v>
      </c>
      <c r="H151">
        <v>1</v>
      </c>
      <c r="I151">
        <v>2</v>
      </c>
      <c r="J151">
        <v>5</v>
      </c>
      <c r="K151">
        <v>8</v>
      </c>
      <c r="L151">
        <v>14.65952380952381</v>
      </c>
    </row>
    <row r="152" spans="1:12" x14ac:dyDescent="0.25">
      <c r="A152" t="s">
        <v>190</v>
      </c>
      <c r="B152" t="s">
        <v>233</v>
      </c>
      <c r="C152" t="s">
        <v>344</v>
      </c>
      <c r="D152" t="s">
        <v>70</v>
      </c>
      <c r="E152">
        <v>29</v>
      </c>
      <c r="F152">
        <v>1</v>
      </c>
      <c r="H152">
        <v>7</v>
      </c>
      <c r="I152">
        <v>0</v>
      </c>
      <c r="J152">
        <v>6</v>
      </c>
      <c r="K152">
        <v>8</v>
      </c>
      <c r="L152">
        <v>7</v>
      </c>
    </row>
    <row r="153" spans="1:12" x14ac:dyDescent="0.25">
      <c r="A153" t="s">
        <v>190</v>
      </c>
      <c r="B153" t="s">
        <v>233</v>
      </c>
      <c r="C153" t="s">
        <v>995</v>
      </c>
      <c r="D153" t="s">
        <v>50</v>
      </c>
      <c r="E153">
        <v>20</v>
      </c>
      <c r="F153">
        <v>1</v>
      </c>
      <c r="H153">
        <v>3</v>
      </c>
      <c r="I153">
        <v>0</v>
      </c>
      <c r="J153">
        <v>3</v>
      </c>
      <c r="K153">
        <v>4</v>
      </c>
      <c r="L153">
        <v>9</v>
      </c>
    </row>
    <row r="154" spans="1:12" x14ac:dyDescent="0.25">
      <c r="A154" t="s">
        <v>190</v>
      </c>
      <c r="B154" t="s">
        <v>233</v>
      </c>
      <c r="C154" t="s">
        <v>345</v>
      </c>
      <c r="D154" t="s">
        <v>57</v>
      </c>
      <c r="E154">
        <v>16</v>
      </c>
      <c r="F154">
        <v>1</v>
      </c>
      <c r="H154">
        <v>3</v>
      </c>
      <c r="I154">
        <v>1</v>
      </c>
      <c r="J154">
        <v>3</v>
      </c>
      <c r="K154">
        <v>5</v>
      </c>
      <c r="L154">
        <v>3</v>
      </c>
    </row>
    <row r="155" spans="1:12" x14ac:dyDescent="0.25">
      <c r="A155" t="s">
        <v>190</v>
      </c>
      <c r="B155" t="s">
        <v>233</v>
      </c>
      <c r="C155" t="s">
        <v>996</v>
      </c>
      <c r="D155" t="s">
        <v>985</v>
      </c>
      <c r="E155">
        <v>13</v>
      </c>
      <c r="F155">
        <v>0</v>
      </c>
      <c r="H155">
        <v>2</v>
      </c>
      <c r="I155">
        <v>1</v>
      </c>
      <c r="J155">
        <v>2</v>
      </c>
      <c r="K155">
        <v>5</v>
      </c>
      <c r="L155">
        <v>3</v>
      </c>
    </row>
    <row r="156" spans="1:12" x14ac:dyDescent="0.25">
      <c r="A156" t="s">
        <v>190</v>
      </c>
      <c r="B156" t="s">
        <v>233</v>
      </c>
      <c r="C156" t="s">
        <v>346</v>
      </c>
      <c r="D156" t="s">
        <v>71</v>
      </c>
      <c r="E156">
        <v>11</v>
      </c>
      <c r="F156">
        <v>1</v>
      </c>
      <c r="H156">
        <v>1</v>
      </c>
      <c r="I156">
        <v>0</v>
      </c>
      <c r="J156">
        <v>3</v>
      </c>
      <c r="K156">
        <v>5</v>
      </c>
      <c r="L156">
        <v>1</v>
      </c>
    </row>
    <row r="157" spans="1:12" x14ac:dyDescent="0.25">
      <c r="A157" t="s">
        <v>190</v>
      </c>
      <c r="B157" t="s">
        <v>233</v>
      </c>
      <c r="C157" t="s">
        <v>336</v>
      </c>
      <c r="D157" t="s">
        <v>65</v>
      </c>
      <c r="E157">
        <v>24</v>
      </c>
      <c r="F157">
        <v>1</v>
      </c>
      <c r="H157">
        <v>0</v>
      </c>
      <c r="I157">
        <v>1</v>
      </c>
      <c r="J157">
        <v>4</v>
      </c>
      <c r="K157">
        <v>10</v>
      </c>
      <c r="L157">
        <v>8</v>
      </c>
    </row>
    <row r="158" spans="1:12" x14ac:dyDescent="0.25">
      <c r="A158" t="s">
        <v>190</v>
      </c>
      <c r="B158" t="s">
        <v>233</v>
      </c>
      <c r="C158" t="s">
        <v>993</v>
      </c>
      <c r="D158" t="s">
        <v>43</v>
      </c>
      <c r="E158">
        <v>26</v>
      </c>
      <c r="F158">
        <v>1</v>
      </c>
      <c r="H158">
        <v>3</v>
      </c>
      <c r="I158">
        <v>4</v>
      </c>
      <c r="J158">
        <v>2</v>
      </c>
      <c r="K158">
        <v>5</v>
      </c>
      <c r="L158">
        <v>11</v>
      </c>
    </row>
    <row r="159" spans="1:12" x14ac:dyDescent="0.25">
      <c r="A159" t="s">
        <v>190</v>
      </c>
      <c r="B159" t="s">
        <v>234</v>
      </c>
      <c r="C159" t="s">
        <v>362</v>
      </c>
      <c r="D159" t="s">
        <v>163</v>
      </c>
      <c r="E159">
        <v>16</v>
      </c>
      <c r="F159">
        <v>1</v>
      </c>
      <c r="H159">
        <v>3</v>
      </c>
      <c r="I159">
        <v>0</v>
      </c>
      <c r="J159">
        <v>5</v>
      </c>
      <c r="K159">
        <v>3</v>
      </c>
      <c r="L159">
        <v>4</v>
      </c>
    </row>
    <row r="160" spans="1:12" x14ac:dyDescent="0.25">
      <c r="A160" t="s">
        <v>190</v>
      </c>
      <c r="B160" t="s">
        <v>234</v>
      </c>
      <c r="C160" t="s">
        <v>361</v>
      </c>
      <c r="D160" t="s">
        <v>164</v>
      </c>
      <c r="E160">
        <v>25</v>
      </c>
      <c r="F160">
        <v>1</v>
      </c>
      <c r="H160">
        <v>2</v>
      </c>
      <c r="I160">
        <v>0</v>
      </c>
      <c r="J160">
        <v>2</v>
      </c>
      <c r="K160">
        <v>3</v>
      </c>
      <c r="L160">
        <v>17</v>
      </c>
    </row>
    <row r="161" spans="1:12" x14ac:dyDescent="0.25">
      <c r="A161" t="s">
        <v>190</v>
      </c>
      <c r="B161" t="s">
        <v>234</v>
      </c>
      <c r="C161" t="s">
        <v>363</v>
      </c>
      <c r="D161" t="s">
        <v>162</v>
      </c>
      <c r="E161">
        <v>44</v>
      </c>
      <c r="F161">
        <v>1</v>
      </c>
      <c r="H161">
        <v>8</v>
      </c>
      <c r="I161">
        <v>0</v>
      </c>
      <c r="J161">
        <v>2</v>
      </c>
      <c r="K161">
        <v>8</v>
      </c>
      <c r="L161">
        <v>25</v>
      </c>
    </row>
    <row r="162" spans="1:12" x14ac:dyDescent="0.25">
      <c r="A162" t="s">
        <v>190</v>
      </c>
      <c r="B162" t="s">
        <v>235</v>
      </c>
      <c r="C162" t="s">
        <v>347</v>
      </c>
      <c r="D162" t="s">
        <v>244</v>
      </c>
      <c r="E162">
        <v>195</v>
      </c>
      <c r="F162">
        <v>18</v>
      </c>
      <c r="G162">
        <v>10</v>
      </c>
      <c r="H162">
        <v>26</v>
      </c>
      <c r="I162">
        <v>16</v>
      </c>
      <c r="J162">
        <v>19</v>
      </c>
      <c r="K162">
        <v>19</v>
      </c>
      <c r="L162">
        <v>93</v>
      </c>
    </row>
    <row r="163" spans="1:12" x14ac:dyDescent="0.25">
      <c r="A163" t="s">
        <v>190</v>
      </c>
      <c r="B163" t="s">
        <v>26</v>
      </c>
      <c r="C163" t="s">
        <v>347</v>
      </c>
      <c r="D163" t="s">
        <v>244</v>
      </c>
      <c r="E163">
        <v>3690</v>
      </c>
      <c r="F163">
        <v>35</v>
      </c>
      <c r="G163">
        <v>4</v>
      </c>
      <c r="H163">
        <v>598.34523809523807</v>
      </c>
      <c r="I163">
        <v>2250.7857142857142</v>
      </c>
      <c r="J163">
        <v>90</v>
      </c>
      <c r="K163">
        <v>126</v>
      </c>
      <c r="L163">
        <v>585.31904761904764</v>
      </c>
    </row>
    <row r="164" spans="1:12" x14ac:dyDescent="0.25">
      <c r="A164" t="s">
        <v>257</v>
      </c>
      <c r="B164" t="s">
        <v>232</v>
      </c>
      <c r="C164" t="s">
        <v>266</v>
      </c>
      <c r="D164" t="s">
        <v>35</v>
      </c>
      <c r="E164">
        <v>22</v>
      </c>
      <c r="F164">
        <v>0</v>
      </c>
      <c r="G164">
        <v>0</v>
      </c>
      <c r="H164">
        <v>4</v>
      </c>
      <c r="I164">
        <v>14</v>
      </c>
      <c r="J164">
        <v>0</v>
      </c>
      <c r="K164">
        <v>0</v>
      </c>
      <c r="L164">
        <v>4</v>
      </c>
    </row>
    <row r="165" spans="1:12" x14ac:dyDescent="0.25">
      <c r="A165" t="s">
        <v>257</v>
      </c>
      <c r="B165" t="s">
        <v>232</v>
      </c>
      <c r="C165" t="s">
        <v>267</v>
      </c>
      <c r="D165" t="s">
        <v>36</v>
      </c>
      <c r="E165">
        <v>63</v>
      </c>
      <c r="F165">
        <v>0</v>
      </c>
      <c r="G165">
        <v>0</v>
      </c>
      <c r="H165">
        <v>11</v>
      </c>
      <c r="I165">
        <v>48</v>
      </c>
      <c r="J165">
        <v>0</v>
      </c>
      <c r="K165">
        <v>0</v>
      </c>
      <c r="L165">
        <v>4</v>
      </c>
    </row>
    <row r="166" spans="1:12" x14ac:dyDescent="0.25">
      <c r="A166" t="s">
        <v>257</v>
      </c>
      <c r="B166" t="s">
        <v>232</v>
      </c>
      <c r="C166" t="s">
        <v>268</v>
      </c>
      <c r="D166" t="s">
        <v>38</v>
      </c>
      <c r="E166">
        <v>46</v>
      </c>
      <c r="F166">
        <v>0</v>
      </c>
      <c r="G166">
        <v>0</v>
      </c>
      <c r="H166">
        <v>9</v>
      </c>
      <c r="I166">
        <v>32</v>
      </c>
      <c r="J166">
        <v>0</v>
      </c>
      <c r="K166">
        <v>0</v>
      </c>
      <c r="L166">
        <v>5</v>
      </c>
    </row>
    <row r="167" spans="1:12" x14ac:dyDescent="0.25">
      <c r="A167" t="s">
        <v>257</v>
      </c>
      <c r="B167" t="s">
        <v>232</v>
      </c>
      <c r="C167" t="s">
        <v>269</v>
      </c>
      <c r="D167" t="s">
        <v>40</v>
      </c>
      <c r="E167">
        <v>27</v>
      </c>
      <c r="F167">
        <v>0</v>
      </c>
      <c r="G167">
        <v>0</v>
      </c>
      <c r="H167">
        <v>4</v>
      </c>
      <c r="I167">
        <v>19</v>
      </c>
      <c r="J167">
        <v>0</v>
      </c>
      <c r="K167">
        <v>0</v>
      </c>
      <c r="L167">
        <v>4</v>
      </c>
    </row>
    <row r="168" spans="1:12" x14ac:dyDescent="0.25">
      <c r="A168" t="s">
        <v>257</v>
      </c>
      <c r="B168" t="s">
        <v>232</v>
      </c>
      <c r="C168" t="s">
        <v>270</v>
      </c>
      <c r="D168" t="s">
        <v>41</v>
      </c>
      <c r="E168">
        <v>50</v>
      </c>
      <c r="F168">
        <v>0</v>
      </c>
      <c r="G168">
        <v>0</v>
      </c>
      <c r="H168">
        <v>10</v>
      </c>
      <c r="I168">
        <v>30</v>
      </c>
      <c r="J168">
        <v>0</v>
      </c>
      <c r="K168">
        <v>0</v>
      </c>
      <c r="L168">
        <v>10</v>
      </c>
    </row>
    <row r="169" spans="1:12" x14ac:dyDescent="0.25">
      <c r="A169" t="s">
        <v>257</v>
      </c>
      <c r="B169" t="s">
        <v>232</v>
      </c>
      <c r="C169" t="s">
        <v>271</v>
      </c>
      <c r="D169" t="s">
        <v>48</v>
      </c>
      <c r="E169">
        <v>0</v>
      </c>
      <c r="F169">
        <v>0</v>
      </c>
      <c r="G169">
        <v>0</v>
      </c>
      <c r="H169">
        <v>0</v>
      </c>
      <c r="I169">
        <v>0</v>
      </c>
      <c r="J169">
        <v>0</v>
      </c>
      <c r="K169">
        <v>0</v>
      </c>
      <c r="L169">
        <v>0</v>
      </c>
    </row>
    <row r="170" spans="1:12" x14ac:dyDescent="0.25">
      <c r="A170" t="s">
        <v>257</v>
      </c>
      <c r="B170" t="s">
        <v>232</v>
      </c>
      <c r="C170" t="s">
        <v>272</v>
      </c>
      <c r="D170" t="s">
        <v>42</v>
      </c>
      <c r="E170">
        <v>86</v>
      </c>
      <c r="F170">
        <v>0</v>
      </c>
      <c r="G170">
        <v>0</v>
      </c>
      <c r="H170">
        <v>16</v>
      </c>
      <c r="I170">
        <v>57</v>
      </c>
      <c r="J170">
        <v>0</v>
      </c>
      <c r="K170">
        <v>0</v>
      </c>
      <c r="L170">
        <v>13</v>
      </c>
    </row>
    <row r="171" spans="1:12" x14ac:dyDescent="0.25">
      <c r="A171" t="s">
        <v>257</v>
      </c>
      <c r="B171" t="s">
        <v>232</v>
      </c>
      <c r="C171" t="s">
        <v>273</v>
      </c>
      <c r="D171" t="s">
        <v>44</v>
      </c>
      <c r="E171">
        <v>67</v>
      </c>
      <c r="F171">
        <v>0</v>
      </c>
      <c r="G171">
        <v>0</v>
      </c>
      <c r="H171">
        <v>11</v>
      </c>
      <c r="I171">
        <v>52</v>
      </c>
      <c r="J171">
        <v>0</v>
      </c>
      <c r="K171">
        <v>0</v>
      </c>
      <c r="L171">
        <v>4</v>
      </c>
    </row>
    <row r="172" spans="1:12" x14ac:dyDescent="0.25">
      <c r="A172" t="s">
        <v>257</v>
      </c>
      <c r="B172" t="s">
        <v>232</v>
      </c>
      <c r="C172" t="s">
        <v>274</v>
      </c>
      <c r="D172" t="s">
        <v>45</v>
      </c>
      <c r="E172">
        <v>68</v>
      </c>
      <c r="F172">
        <v>0</v>
      </c>
      <c r="G172">
        <v>0</v>
      </c>
      <c r="H172">
        <v>13</v>
      </c>
      <c r="I172">
        <v>43</v>
      </c>
      <c r="J172">
        <v>0</v>
      </c>
      <c r="K172">
        <v>1</v>
      </c>
      <c r="L172">
        <v>11</v>
      </c>
    </row>
    <row r="173" spans="1:12" x14ac:dyDescent="0.25">
      <c r="A173" t="s">
        <v>257</v>
      </c>
      <c r="B173" t="s">
        <v>232</v>
      </c>
      <c r="C173" t="s">
        <v>275</v>
      </c>
      <c r="D173" t="s">
        <v>46</v>
      </c>
      <c r="E173">
        <v>22</v>
      </c>
      <c r="F173">
        <v>0</v>
      </c>
      <c r="G173">
        <v>0</v>
      </c>
      <c r="H173">
        <v>4</v>
      </c>
      <c r="I173">
        <v>14</v>
      </c>
      <c r="J173">
        <v>0</v>
      </c>
      <c r="K173">
        <v>0</v>
      </c>
      <c r="L173">
        <v>4</v>
      </c>
    </row>
    <row r="174" spans="1:12" x14ac:dyDescent="0.25">
      <c r="A174" t="s">
        <v>257</v>
      </c>
      <c r="B174" t="s">
        <v>232</v>
      </c>
      <c r="C174" t="s">
        <v>276</v>
      </c>
      <c r="D174" t="s">
        <v>47</v>
      </c>
      <c r="E174">
        <v>27</v>
      </c>
      <c r="F174">
        <v>0</v>
      </c>
      <c r="G174">
        <v>0</v>
      </c>
      <c r="H174">
        <v>4</v>
      </c>
      <c r="I174">
        <v>19</v>
      </c>
      <c r="J174">
        <v>0</v>
      </c>
      <c r="K174">
        <v>0</v>
      </c>
      <c r="L174">
        <v>4</v>
      </c>
    </row>
    <row r="175" spans="1:12" x14ac:dyDescent="0.25">
      <c r="A175" t="s">
        <v>257</v>
      </c>
      <c r="B175" t="s">
        <v>232</v>
      </c>
      <c r="C175" t="s">
        <v>277</v>
      </c>
      <c r="D175" t="s">
        <v>49</v>
      </c>
      <c r="E175">
        <v>78</v>
      </c>
      <c r="F175">
        <v>0</v>
      </c>
      <c r="G175">
        <v>0</v>
      </c>
      <c r="H175">
        <v>17</v>
      </c>
      <c r="I175">
        <v>46</v>
      </c>
      <c r="J175">
        <v>0</v>
      </c>
      <c r="K175">
        <v>0</v>
      </c>
      <c r="L175">
        <v>15</v>
      </c>
    </row>
    <row r="176" spans="1:12" x14ac:dyDescent="0.25">
      <c r="A176" t="s">
        <v>257</v>
      </c>
      <c r="B176" t="s">
        <v>232</v>
      </c>
      <c r="C176" t="s">
        <v>278</v>
      </c>
      <c r="D176" t="s">
        <v>51</v>
      </c>
      <c r="E176">
        <v>0</v>
      </c>
      <c r="F176">
        <v>0</v>
      </c>
      <c r="G176">
        <v>0</v>
      </c>
      <c r="H176">
        <v>0</v>
      </c>
      <c r="I176">
        <v>0</v>
      </c>
      <c r="J176">
        <v>0</v>
      </c>
      <c r="K176">
        <v>0</v>
      </c>
      <c r="L176">
        <v>0</v>
      </c>
    </row>
    <row r="177" spans="1:12" x14ac:dyDescent="0.25">
      <c r="A177" t="s">
        <v>257</v>
      </c>
      <c r="B177" t="s">
        <v>232</v>
      </c>
      <c r="C177" t="s">
        <v>279</v>
      </c>
      <c r="D177" t="s">
        <v>52</v>
      </c>
      <c r="E177">
        <v>68</v>
      </c>
      <c r="F177">
        <v>0</v>
      </c>
      <c r="G177">
        <v>0</v>
      </c>
      <c r="H177">
        <v>12</v>
      </c>
      <c r="I177">
        <v>52</v>
      </c>
      <c r="J177">
        <v>0</v>
      </c>
      <c r="K177">
        <v>0</v>
      </c>
      <c r="L177">
        <v>4</v>
      </c>
    </row>
    <row r="178" spans="1:12" x14ac:dyDescent="0.25">
      <c r="A178" t="s">
        <v>257</v>
      </c>
      <c r="B178" t="s">
        <v>232</v>
      </c>
      <c r="C178" t="s">
        <v>280</v>
      </c>
      <c r="D178" t="s">
        <v>54</v>
      </c>
      <c r="E178">
        <v>56</v>
      </c>
      <c r="F178">
        <v>0</v>
      </c>
      <c r="G178">
        <v>0</v>
      </c>
      <c r="H178">
        <v>8</v>
      </c>
      <c r="I178">
        <v>40</v>
      </c>
      <c r="J178">
        <v>0</v>
      </c>
      <c r="K178">
        <v>0</v>
      </c>
      <c r="L178">
        <v>8</v>
      </c>
    </row>
    <row r="179" spans="1:12" x14ac:dyDescent="0.25">
      <c r="A179" t="s">
        <v>257</v>
      </c>
      <c r="B179" t="s">
        <v>232</v>
      </c>
      <c r="C179" t="s">
        <v>281</v>
      </c>
      <c r="D179" t="s">
        <v>55</v>
      </c>
      <c r="E179">
        <v>0</v>
      </c>
      <c r="F179">
        <v>0</v>
      </c>
      <c r="G179">
        <v>0</v>
      </c>
      <c r="H179">
        <v>0</v>
      </c>
      <c r="I179">
        <v>0</v>
      </c>
      <c r="J179">
        <v>0</v>
      </c>
      <c r="K179">
        <v>0</v>
      </c>
      <c r="L179">
        <v>0</v>
      </c>
    </row>
    <row r="180" spans="1:12" x14ac:dyDescent="0.25">
      <c r="A180" t="s">
        <v>257</v>
      </c>
      <c r="B180" t="s">
        <v>232</v>
      </c>
      <c r="C180" t="s">
        <v>282</v>
      </c>
      <c r="D180" t="s">
        <v>56</v>
      </c>
      <c r="E180">
        <v>54</v>
      </c>
      <c r="F180">
        <v>0</v>
      </c>
      <c r="G180">
        <v>0</v>
      </c>
      <c r="H180">
        <v>10</v>
      </c>
      <c r="I180">
        <v>39</v>
      </c>
      <c r="J180">
        <v>0</v>
      </c>
      <c r="K180">
        <v>0</v>
      </c>
      <c r="L180">
        <v>5</v>
      </c>
    </row>
    <row r="181" spans="1:12" x14ac:dyDescent="0.25">
      <c r="A181" t="s">
        <v>257</v>
      </c>
      <c r="B181" t="s">
        <v>232</v>
      </c>
      <c r="C181" t="s">
        <v>283</v>
      </c>
      <c r="D181" t="s">
        <v>57</v>
      </c>
      <c r="E181">
        <v>171</v>
      </c>
      <c r="F181">
        <v>0</v>
      </c>
      <c r="G181">
        <v>0</v>
      </c>
      <c r="H181">
        <v>34</v>
      </c>
      <c r="I181">
        <v>117</v>
      </c>
      <c r="J181">
        <v>0</v>
      </c>
      <c r="K181">
        <v>0</v>
      </c>
      <c r="L181">
        <v>20</v>
      </c>
    </row>
    <row r="182" spans="1:12" x14ac:dyDescent="0.25">
      <c r="A182" t="s">
        <v>257</v>
      </c>
      <c r="B182" t="s">
        <v>232</v>
      </c>
      <c r="C182" t="s">
        <v>284</v>
      </c>
      <c r="D182" t="s">
        <v>58</v>
      </c>
      <c r="E182">
        <v>53</v>
      </c>
      <c r="F182">
        <v>0</v>
      </c>
      <c r="G182">
        <v>0</v>
      </c>
      <c r="H182">
        <v>9</v>
      </c>
      <c r="I182">
        <v>40</v>
      </c>
      <c r="J182">
        <v>0</v>
      </c>
      <c r="K182">
        <v>0</v>
      </c>
      <c r="L182">
        <v>4</v>
      </c>
    </row>
    <row r="183" spans="1:12" x14ac:dyDescent="0.25">
      <c r="A183" t="s">
        <v>257</v>
      </c>
      <c r="B183" t="s">
        <v>232</v>
      </c>
      <c r="C183" t="s">
        <v>285</v>
      </c>
      <c r="D183" t="s">
        <v>31</v>
      </c>
      <c r="E183">
        <v>155</v>
      </c>
      <c r="F183">
        <v>0</v>
      </c>
      <c r="G183">
        <v>0</v>
      </c>
      <c r="H183">
        <v>26</v>
      </c>
      <c r="I183">
        <v>113</v>
      </c>
      <c r="J183">
        <v>0</v>
      </c>
      <c r="K183">
        <v>0</v>
      </c>
      <c r="L183">
        <v>16</v>
      </c>
    </row>
    <row r="184" spans="1:12" x14ac:dyDescent="0.25">
      <c r="A184" t="s">
        <v>257</v>
      </c>
      <c r="B184" t="s">
        <v>232</v>
      </c>
      <c r="C184" t="s">
        <v>286</v>
      </c>
      <c r="D184" t="s">
        <v>32</v>
      </c>
      <c r="E184">
        <v>25</v>
      </c>
      <c r="F184">
        <v>0</v>
      </c>
      <c r="G184">
        <v>0</v>
      </c>
      <c r="H184">
        <v>4</v>
      </c>
      <c r="I184">
        <v>17</v>
      </c>
      <c r="J184">
        <v>0</v>
      </c>
      <c r="K184">
        <v>0</v>
      </c>
      <c r="L184">
        <v>4</v>
      </c>
    </row>
    <row r="185" spans="1:12" x14ac:dyDescent="0.25">
      <c r="A185" t="s">
        <v>257</v>
      </c>
      <c r="B185" t="s">
        <v>232</v>
      </c>
      <c r="C185" t="s">
        <v>287</v>
      </c>
      <c r="D185" t="s">
        <v>34</v>
      </c>
      <c r="E185">
        <v>43</v>
      </c>
      <c r="F185">
        <v>0</v>
      </c>
      <c r="G185">
        <v>0</v>
      </c>
      <c r="H185">
        <v>9</v>
      </c>
      <c r="I185">
        <v>24</v>
      </c>
      <c r="J185">
        <v>0</v>
      </c>
      <c r="K185">
        <v>0</v>
      </c>
      <c r="L185">
        <v>10</v>
      </c>
    </row>
    <row r="186" spans="1:12" x14ac:dyDescent="0.25">
      <c r="A186" t="s">
        <v>257</v>
      </c>
      <c r="B186" t="s">
        <v>232</v>
      </c>
      <c r="C186" t="s">
        <v>288</v>
      </c>
      <c r="D186" t="s">
        <v>243</v>
      </c>
      <c r="E186">
        <v>313</v>
      </c>
      <c r="F186">
        <v>0</v>
      </c>
      <c r="G186">
        <v>0</v>
      </c>
      <c r="H186">
        <v>60</v>
      </c>
      <c r="I186">
        <v>227</v>
      </c>
      <c r="J186">
        <v>0</v>
      </c>
      <c r="K186">
        <v>0</v>
      </c>
      <c r="L186">
        <v>26</v>
      </c>
    </row>
    <row r="187" spans="1:12" x14ac:dyDescent="0.25">
      <c r="A187" t="s">
        <v>257</v>
      </c>
      <c r="B187" t="s">
        <v>232</v>
      </c>
      <c r="C187" t="s">
        <v>289</v>
      </c>
      <c r="D187" t="s">
        <v>53</v>
      </c>
      <c r="E187">
        <v>97</v>
      </c>
      <c r="F187">
        <v>0</v>
      </c>
      <c r="G187">
        <v>0</v>
      </c>
      <c r="H187">
        <v>21</v>
      </c>
      <c r="I187">
        <v>60</v>
      </c>
      <c r="J187">
        <v>0</v>
      </c>
      <c r="K187">
        <v>0</v>
      </c>
      <c r="L187">
        <v>16</v>
      </c>
    </row>
    <row r="188" spans="1:12" x14ac:dyDescent="0.25">
      <c r="A188" t="s">
        <v>257</v>
      </c>
      <c r="B188" t="s">
        <v>232</v>
      </c>
      <c r="C188" t="s">
        <v>290</v>
      </c>
      <c r="D188" t="s">
        <v>59</v>
      </c>
      <c r="E188">
        <v>69</v>
      </c>
      <c r="F188">
        <v>0</v>
      </c>
      <c r="G188">
        <v>0</v>
      </c>
      <c r="H188">
        <v>15</v>
      </c>
      <c r="I188">
        <v>44</v>
      </c>
      <c r="J188">
        <v>0</v>
      </c>
      <c r="K188">
        <v>0</v>
      </c>
      <c r="L188">
        <v>10</v>
      </c>
    </row>
    <row r="189" spans="1:12" x14ac:dyDescent="0.25">
      <c r="A189" t="s">
        <v>257</v>
      </c>
      <c r="B189" t="s">
        <v>232</v>
      </c>
      <c r="C189" t="s">
        <v>291</v>
      </c>
      <c r="D189" t="s">
        <v>60</v>
      </c>
      <c r="E189">
        <v>60</v>
      </c>
      <c r="F189">
        <v>0</v>
      </c>
      <c r="G189">
        <v>0</v>
      </c>
      <c r="H189">
        <v>10</v>
      </c>
      <c r="I189">
        <v>42</v>
      </c>
      <c r="J189">
        <v>0</v>
      </c>
      <c r="K189">
        <v>0</v>
      </c>
      <c r="L189">
        <v>8</v>
      </c>
    </row>
    <row r="190" spans="1:12" x14ac:dyDescent="0.25">
      <c r="A190" t="s">
        <v>257</v>
      </c>
      <c r="B190" t="s">
        <v>232</v>
      </c>
      <c r="C190" t="s">
        <v>292</v>
      </c>
      <c r="D190" t="s">
        <v>33</v>
      </c>
      <c r="E190">
        <v>25</v>
      </c>
      <c r="F190">
        <v>0</v>
      </c>
      <c r="G190">
        <v>0</v>
      </c>
      <c r="H190">
        <v>4</v>
      </c>
      <c r="I190">
        <v>18</v>
      </c>
      <c r="J190">
        <v>0</v>
      </c>
      <c r="K190">
        <v>0</v>
      </c>
      <c r="L190">
        <v>3</v>
      </c>
    </row>
    <row r="191" spans="1:12" x14ac:dyDescent="0.25">
      <c r="A191" t="s">
        <v>257</v>
      </c>
      <c r="B191" t="s">
        <v>232</v>
      </c>
      <c r="C191" t="s">
        <v>293</v>
      </c>
      <c r="D191" t="s">
        <v>37</v>
      </c>
      <c r="E191">
        <v>192</v>
      </c>
      <c r="F191">
        <v>0</v>
      </c>
      <c r="G191">
        <v>0</v>
      </c>
      <c r="H191">
        <v>30</v>
      </c>
      <c r="I191">
        <v>144</v>
      </c>
      <c r="J191">
        <v>0</v>
      </c>
      <c r="K191">
        <v>0</v>
      </c>
      <c r="L191">
        <v>18</v>
      </c>
    </row>
    <row r="192" spans="1:12" x14ac:dyDescent="0.25">
      <c r="A192" t="s">
        <v>257</v>
      </c>
      <c r="B192" t="s">
        <v>232</v>
      </c>
      <c r="C192" t="s">
        <v>294</v>
      </c>
      <c r="D192" t="s">
        <v>50</v>
      </c>
      <c r="E192">
        <v>173</v>
      </c>
      <c r="F192">
        <v>0</v>
      </c>
      <c r="G192">
        <v>0</v>
      </c>
      <c r="H192">
        <v>30</v>
      </c>
      <c r="I192">
        <v>123</v>
      </c>
      <c r="J192">
        <v>0</v>
      </c>
      <c r="K192">
        <v>0</v>
      </c>
      <c r="L192">
        <v>20</v>
      </c>
    </row>
    <row r="193" spans="1:12" x14ac:dyDescent="0.25">
      <c r="A193" t="s">
        <v>257</v>
      </c>
      <c r="B193" t="s">
        <v>232</v>
      </c>
      <c r="C193" t="s">
        <v>295</v>
      </c>
      <c r="D193" t="s">
        <v>39</v>
      </c>
      <c r="E193">
        <v>68</v>
      </c>
      <c r="F193">
        <v>0</v>
      </c>
      <c r="G193">
        <v>0</v>
      </c>
      <c r="H193">
        <v>14</v>
      </c>
      <c r="I193">
        <v>39</v>
      </c>
      <c r="J193">
        <v>0</v>
      </c>
      <c r="K193">
        <v>0</v>
      </c>
      <c r="L193">
        <v>15</v>
      </c>
    </row>
    <row r="194" spans="1:12" x14ac:dyDescent="0.25">
      <c r="A194" t="s">
        <v>257</v>
      </c>
      <c r="B194" t="s">
        <v>232</v>
      </c>
      <c r="C194" t="s">
        <v>296</v>
      </c>
      <c r="D194" t="s">
        <v>117</v>
      </c>
      <c r="E194">
        <v>475</v>
      </c>
      <c r="F194">
        <v>0</v>
      </c>
      <c r="G194">
        <v>0</v>
      </c>
      <c r="H194">
        <v>105</v>
      </c>
      <c r="I194">
        <v>313</v>
      </c>
      <c r="J194">
        <v>0</v>
      </c>
      <c r="K194">
        <v>0</v>
      </c>
      <c r="L194">
        <v>57</v>
      </c>
    </row>
    <row r="195" spans="1:12" x14ac:dyDescent="0.25">
      <c r="A195" t="s">
        <v>257</v>
      </c>
      <c r="B195" t="s">
        <v>232</v>
      </c>
      <c r="C195" t="s">
        <v>297</v>
      </c>
      <c r="D195" t="s">
        <v>43</v>
      </c>
      <c r="E195">
        <v>270</v>
      </c>
      <c r="F195">
        <v>0</v>
      </c>
      <c r="G195">
        <v>0</v>
      </c>
      <c r="H195">
        <v>48</v>
      </c>
      <c r="I195">
        <v>201</v>
      </c>
      <c r="J195">
        <v>0</v>
      </c>
      <c r="K195">
        <v>0</v>
      </c>
      <c r="L195">
        <v>21</v>
      </c>
    </row>
    <row r="196" spans="1:12" x14ac:dyDescent="0.25">
      <c r="A196" t="s">
        <v>257</v>
      </c>
      <c r="B196" t="s">
        <v>233</v>
      </c>
      <c r="C196" t="s">
        <v>334</v>
      </c>
      <c r="D196" t="s">
        <v>31</v>
      </c>
      <c r="E196">
        <v>14</v>
      </c>
      <c r="F196">
        <v>1</v>
      </c>
      <c r="G196">
        <v>0</v>
      </c>
      <c r="H196">
        <v>2</v>
      </c>
      <c r="I196">
        <v>2</v>
      </c>
      <c r="J196">
        <v>1</v>
      </c>
      <c r="K196">
        <v>3</v>
      </c>
      <c r="L196">
        <v>5</v>
      </c>
    </row>
    <row r="197" spans="1:12" x14ac:dyDescent="0.25">
      <c r="A197" t="s">
        <v>257</v>
      </c>
      <c r="B197" t="s">
        <v>233</v>
      </c>
      <c r="C197" t="s">
        <v>335</v>
      </c>
      <c r="D197" t="s">
        <v>63</v>
      </c>
      <c r="E197">
        <v>25</v>
      </c>
      <c r="F197">
        <v>1</v>
      </c>
      <c r="G197">
        <v>0</v>
      </c>
      <c r="H197">
        <v>5</v>
      </c>
      <c r="I197">
        <v>0</v>
      </c>
      <c r="J197">
        <v>2</v>
      </c>
      <c r="K197">
        <v>8</v>
      </c>
      <c r="L197">
        <v>9</v>
      </c>
    </row>
    <row r="198" spans="1:12" x14ac:dyDescent="0.25">
      <c r="A198" t="s">
        <v>257</v>
      </c>
      <c r="B198" t="s">
        <v>233</v>
      </c>
      <c r="C198" t="s">
        <v>337</v>
      </c>
      <c r="D198" t="s">
        <v>64</v>
      </c>
      <c r="E198">
        <v>26</v>
      </c>
      <c r="F198">
        <v>1</v>
      </c>
      <c r="G198">
        <v>0</v>
      </c>
      <c r="H198">
        <v>4</v>
      </c>
      <c r="I198">
        <v>2</v>
      </c>
      <c r="J198">
        <v>3</v>
      </c>
      <c r="K198">
        <v>9</v>
      </c>
      <c r="L198">
        <v>7</v>
      </c>
    </row>
    <row r="199" spans="1:12" x14ac:dyDescent="0.25">
      <c r="A199" t="s">
        <v>257</v>
      </c>
      <c r="B199" t="s">
        <v>233</v>
      </c>
      <c r="C199" t="s">
        <v>338</v>
      </c>
      <c r="D199" t="s">
        <v>36</v>
      </c>
      <c r="E199">
        <v>21</v>
      </c>
      <c r="F199">
        <v>1</v>
      </c>
      <c r="G199">
        <v>0</v>
      </c>
      <c r="H199">
        <v>3</v>
      </c>
      <c r="I199">
        <v>0</v>
      </c>
      <c r="J199">
        <v>2</v>
      </c>
      <c r="K199">
        <v>6</v>
      </c>
      <c r="L199">
        <v>9</v>
      </c>
    </row>
    <row r="200" spans="1:12" x14ac:dyDescent="0.25">
      <c r="A200" t="s">
        <v>257</v>
      </c>
      <c r="B200" t="s">
        <v>233</v>
      </c>
      <c r="C200" t="s">
        <v>339</v>
      </c>
      <c r="D200" t="s">
        <v>66</v>
      </c>
      <c r="E200">
        <v>29</v>
      </c>
      <c r="F200">
        <v>1</v>
      </c>
      <c r="G200">
        <v>0</v>
      </c>
      <c r="H200">
        <v>5</v>
      </c>
      <c r="I200">
        <v>1</v>
      </c>
      <c r="J200">
        <v>4</v>
      </c>
      <c r="K200">
        <v>9</v>
      </c>
      <c r="L200">
        <v>9</v>
      </c>
    </row>
    <row r="201" spans="1:12" x14ac:dyDescent="0.25">
      <c r="A201" t="s">
        <v>257</v>
      </c>
      <c r="B201" t="s">
        <v>233</v>
      </c>
      <c r="C201" t="s">
        <v>340</v>
      </c>
      <c r="D201" t="s">
        <v>67</v>
      </c>
      <c r="E201">
        <v>31</v>
      </c>
      <c r="F201">
        <v>1</v>
      </c>
      <c r="G201">
        <v>0</v>
      </c>
      <c r="H201">
        <v>5</v>
      </c>
      <c r="I201">
        <v>5</v>
      </c>
      <c r="J201">
        <v>4</v>
      </c>
      <c r="K201">
        <v>8</v>
      </c>
      <c r="L201">
        <v>8</v>
      </c>
    </row>
    <row r="202" spans="1:12" x14ac:dyDescent="0.25">
      <c r="A202" t="s">
        <v>257</v>
      </c>
      <c r="B202" t="s">
        <v>233</v>
      </c>
      <c r="C202" t="s">
        <v>341</v>
      </c>
      <c r="D202" t="s">
        <v>68</v>
      </c>
      <c r="E202">
        <v>18</v>
      </c>
      <c r="F202">
        <v>1</v>
      </c>
      <c r="G202">
        <v>0</v>
      </c>
      <c r="H202">
        <v>2</v>
      </c>
      <c r="I202">
        <v>1</v>
      </c>
      <c r="J202">
        <v>3</v>
      </c>
      <c r="K202">
        <v>4</v>
      </c>
      <c r="L202">
        <v>7</v>
      </c>
    </row>
    <row r="203" spans="1:12" x14ac:dyDescent="0.25">
      <c r="A203" t="s">
        <v>257</v>
      </c>
      <c r="B203" t="s">
        <v>233</v>
      </c>
      <c r="C203" t="s">
        <v>342</v>
      </c>
      <c r="D203" t="s">
        <v>165</v>
      </c>
      <c r="E203">
        <v>27</v>
      </c>
      <c r="F203">
        <v>1</v>
      </c>
      <c r="G203">
        <v>0</v>
      </c>
      <c r="H203">
        <v>2</v>
      </c>
      <c r="I203">
        <v>4</v>
      </c>
      <c r="J203">
        <v>3</v>
      </c>
      <c r="K203">
        <v>6</v>
      </c>
      <c r="L203">
        <v>11</v>
      </c>
    </row>
    <row r="204" spans="1:12" x14ac:dyDescent="0.25">
      <c r="A204" t="s">
        <v>257</v>
      </c>
      <c r="B204" t="s">
        <v>233</v>
      </c>
      <c r="C204" t="s">
        <v>343</v>
      </c>
      <c r="D204" t="s">
        <v>69</v>
      </c>
      <c r="E204">
        <v>21</v>
      </c>
      <c r="F204">
        <v>1</v>
      </c>
      <c r="G204">
        <v>0</v>
      </c>
      <c r="H204">
        <v>3</v>
      </c>
      <c r="I204">
        <v>2</v>
      </c>
      <c r="J204">
        <v>2</v>
      </c>
      <c r="K204">
        <v>6</v>
      </c>
      <c r="L204">
        <v>7</v>
      </c>
    </row>
    <row r="205" spans="1:12" x14ac:dyDescent="0.25">
      <c r="A205" t="s">
        <v>257</v>
      </c>
      <c r="B205" t="s">
        <v>233</v>
      </c>
      <c r="C205" t="s">
        <v>994</v>
      </c>
      <c r="D205" t="s">
        <v>117</v>
      </c>
      <c r="E205">
        <v>25</v>
      </c>
      <c r="F205">
        <v>1</v>
      </c>
      <c r="G205">
        <v>0</v>
      </c>
      <c r="H205">
        <v>3</v>
      </c>
      <c r="I205">
        <v>2</v>
      </c>
      <c r="J205">
        <v>4</v>
      </c>
      <c r="K205">
        <v>9</v>
      </c>
      <c r="L205">
        <v>6</v>
      </c>
    </row>
    <row r="206" spans="1:12" x14ac:dyDescent="0.25">
      <c r="A206" t="s">
        <v>257</v>
      </c>
      <c r="B206" t="s">
        <v>233</v>
      </c>
      <c r="C206" t="s">
        <v>344</v>
      </c>
      <c r="D206" t="s">
        <v>70</v>
      </c>
      <c r="E206">
        <v>36</v>
      </c>
      <c r="F206">
        <v>1</v>
      </c>
      <c r="G206">
        <v>0</v>
      </c>
      <c r="H206">
        <v>10</v>
      </c>
      <c r="I206">
        <v>0</v>
      </c>
      <c r="J206">
        <v>4</v>
      </c>
      <c r="K206">
        <v>13</v>
      </c>
      <c r="L206">
        <v>8</v>
      </c>
    </row>
    <row r="207" spans="1:12" x14ac:dyDescent="0.25">
      <c r="A207" t="s">
        <v>257</v>
      </c>
      <c r="B207" t="s">
        <v>233</v>
      </c>
      <c r="C207" t="s">
        <v>995</v>
      </c>
      <c r="D207" t="s">
        <v>50</v>
      </c>
      <c r="E207">
        <v>15</v>
      </c>
      <c r="F207">
        <v>1</v>
      </c>
      <c r="G207">
        <v>0</v>
      </c>
      <c r="H207">
        <v>1</v>
      </c>
      <c r="I207">
        <v>1</v>
      </c>
      <c r="J207">
        <v>2</v>
      </c>
      <c r="K207">
        <v>5</v>
      </c>
      <c r="L207">
        <v>5</v>
      </c>
    </row>
    <row r="208" spans="1:12" x14ac:dyDescent="0.25">
      <c r="A208" t="s">
        <v>257</v>
      </c>
      <c r="B208" t="s">
        <v>233</v>
      </c>
      <c r="C208" t="s">
        <v>345</v>
      </c>
      <c r="D208" t="s">
        <v>57</v>
      </c>
      <c r="E208">
        <v>15</v>
      </c>
      <c r="F208">
        <v>1</v>
      </c>
      <c r="G208">
        <v>0</v>
      </c>
      <c r="H208">
        <v>2</v>
      </c>
      <c r="I208">
        <v>1</v>
      </c>
      <c r="J208">
        <v>2</v>
      </c>
      <c r="K208">
        <v>5</v>
      </c>
      <c r="L208">
        <v>4</v>
      </c>
    </row>
    <row r="209" spans="1:12" x14ac:dyDescent="0.25">
      <c r="A209" t="s">
        <v>257</v>
      </c>
      <c r="B209" t="s">
        <v>233</v>
      </c>
      <c r="C209" t="s">
        <v>996</v>
      </c>
      <c r="D209" t="s">
        <v>985</v>
      </c>
      <c r="E209">
        <v>15</v>
      </c>
      <c r="F209">
        <v>0</v>
      </c>
      <c r="G209">
        <v>0</v>
      </c>
      <c r="H209">
        <v>3</v>
      </c>
      <c r="I209">
        <v>1</v>
      </c>
      <c r="J209">
        <v>2</v>
      </c>
      <c r="K209">
        <v>4</v>
      </c>
      <c r="L209">
        <v>5</v>
      </c>
    </row>
    <row r="210" spans="1:12" x14ac:dyDescent="0.25">
      <c r="A210" t="s">
        <v>257</v>
      </c>
      <c r="B210" t="s">
        <v>233</v>
      </c>
      <c r="C210" t="s">
        <v>346</v>
      </c>
      <c r="D210" t="s">
        <v>71</v>
      </c>
      <c r="E210">
        <v>16</v>
      </c>
      <c r="F210">
        <v>1</v>
      </c>
      <c r="G210">
        <v>0</v>
      </c>
      <c r="H210">
        <v>6</v>
      </c>
      <c r="I210">
        <v>0</v>
      </c>
      <c r="J210">
        <v>3</v>
      </c>
      <c r="K210">
        <v>5</v>
      </c>
      <c r="L210">
        <v>1</v>
      </c>
    </row>
    <row r="211" spans="1:12" x14ac:dyDescent="0.25">
      <c r="A211" t="s">
        <v>257</v>
      </c>
      <c r="B211" t="s">
        <v>233</v>
      </c>
      <c r="C211" t="s">
        <v>336</v>
      </c>
      <c r="D211" t="s">
        <v>65</v>
      </c>
      <c r="E211">
        <v>28</v>
      </c>
      <c r="F211">
        <v>1</v>
      </c>
      <c r="G211">
        <v>0</v>
      </c>
      <c r="H211">
        <v>2</v>
      </c>
      <c r="I211">
        <v>2</v>
      </c>
      <c r="J211">
        <v>4</v>
      </c>
      <c r="K211">
        <v>9</v>
      </c>
      <c r="L211">
        <v>10</v>
      </c>
    </row>
    <row r="212" spans="1:12" x14ac:dyDescent="0.25">
      <c r="A212" t="s">
        <v>257</v>
      </c>
      <c r="B212" t="s">
        <v>233</v>
      </c>
      <c r="C212" t="s">
        <v>993</v>
      </c>
      <c r="D212" t="s">
        <v>43</v>
      </c>
      <c r="E212">
        <v>24</v>
      </c>
      <c r="F212">
        <v>1</v>
      </c>
      <c r="G212">
        <v>0</v>
      </c>
      <c r="H212">
        <v>3</v>
      </c>
      <c r="I212">
        <v>3</v>
      </c>
      <c r="J212">
        <v>2</v>
      </c>
      <c r="K212">
        <v>7</v>
      </c>
      <c r="L212">
        <v>8</v>
      </c>
    </row>
    <row r="213" spans="1:12" x14ac:dyDescent="0.25">
      <c r="A213" t="s">
        <v>257</v>
      </c>
      <c r="B213" t="s">
        <v>234</v>
      </c>
      <c r="C213" t="s">
        <v>362</v>
      </c>
      <c r="D213" t="s">
        <v>163</v>
      </c>
      <c r="E213">
        <v>68</v>
      </c>
      <c r="F213">
        <v>1</v>
      </c>
      <c r="G213">
        <v>0</v>
      </c>
      <c r="H213">
        <v>10</v>
      </c>
      <c r="I213">
        <v>1</v>
      </c>
      <c r="J213">
        <v>3</v>
      </c>
      <c r="K213">
        <v>11</v>
      </c>
      <c r="L213">
        <v>42</v>
      </c>
    </row>
    <row r="214" spans="1:12" x14ac:dyDescent="0.25">
      <c r="A214" t="s">
        <v>257</v>
      </c>
      <c r="B214" t="s">
        <v>234</v>
      </c>
      <c r="C214" t="s">
        <v>361</v>
      </c>
      <c r="D214" t="s">
        <v>164</v>
      </c>
      <c r="E214">
        <v>38</v>
      </c>
      <c r="F214">
        <v>1</v>
      </c>
      <c r="G214">
        <v>0</v>
      </c>
      <c r="H214">
        <v>6</v>
      </c>
      <c r="I214">
        <v>1</v>
      </c>
      <c r="J214">
        <v>5</v>
      </c>
      <c r="K214">
        <v>5</v>
      </c>
      <c r="L214">
        <v>20</v>
      </c>
    </row>
    <row r="215" spans="1:12" x14ac:dyDescent="0.25">
      <c r="A215" t="s">
        <v>257</v>
      </c>
      <c r="B215" t="s">
        <v>234</v>
      </c>
      <c r="C215" t="s">
        <v>363</v>
      </c>
      <c r="D215" t="s">
        <v>162</v>
      </c>
      <c r="E215">
        <v>45</v>
      </c>
      <c r="F215">
        <v>1</v>
      </c>
      <c r="G215">
        <v>0</v>
      </c>
      <c r="H215">
        <v>6</v>
      </c>
      <c r="I215">
        <v>1</v>
      </c>
      <c r="J215">
        <v>4</v>
      </c>
      <c r="K215">
        <v>9</v>
      </c>
      <c r="L215">
        <v>24</v>
      </c>
    </row>
    <row r="216" spans="1:12" x14ac:dyDescent="0.25">
      <c r="A216" t="s">
        <v>257</v>
      </c>
      <c r="B216" t="s">
        <v>235</v>
      </c>
      <c r="C216" t="s">
        <v>347</v>
      </c>
      <c r="D216" t="s">
        <v>244</v>
      </c>
      <c r="E216">
        <v>182</v>
      </c>
      <c r="F216">
        <v>15</v>
      </c>
      <c r="G216">
        <v>4</v>
      </c>
      <c r="H216">
        <v>0</v>
      </c>
      <c r="I216">
        <v>101</v>
      </c>
      <c r="J216">
        <v>11</v>
      </c>
      <c r="K216">
        <v>9</v>
      </c>
      <c r="L216">
        <v>42</v>
      </c>
    </row>
    <row r="217" spans="1:12" x14ac:dyDescent="0.25">
      <c r="A217" t="s">
        <v>257</v>
      </c>
      <c r="B217" t="s">
        <v>26</v>
      </c>
      <c r="C217" t="s">
        <v>347</v>
      </c>
      <c r="D217" t="s">
        <v>244</v>
      </c>
      <c r="E217">
        <v>3644</v>
      </c>
      <c r="F217">
        <v>34</v>
      </c>
      <c r="G217">
        <v>4</v>
      </c>
      <c r="H217">
        <v>635</v>
      </c>
      <c r="I217">
        <v>2158</v>
      </c>
      <c r="J217">
        <v>70</v>
      </c>
      <c r="K217">
        <v>151</v>
      </c>
      <c r="L217">
        <v>590</v>
      </c>
    </row>
    <row r="218" spans="1:12" x14ac:dyDescent="0.25">
      <c r="A218" t="s">
        <v>240</v>
      </c>
      <c r="B218" t="s">
        <v>232</v>
      </c>
      <c r="C218" t="s">
        <v>266</v>
      </c>
      <c r="D218" t="s">
        <v>35</v>
      </c>
      <c r="E218">
        <v>25</v>
      </c>
      <c r="H218">
        <v>5</v>
      </c>
      <c r="I218">
        <v>15</v>
      </c>
      <c r="L218">
        <v>5</v>
      </c>
    </row>
    <row r="219" spans="1:12" x14ac:dyDescent="0.25">
      <c r="A219" t="s">
        <v>240</v>
      </c>
      <c r="B219" t="s">
        <v>232</v>
      </c>
      <c r="C219" t="s">
        <v>267</v>
      </c>
      <c r="D219" t="s">
        <v>36</v>
      </c>
      <c r="E219">
        <v>54</v>
      </c>
      <c r="H219">
        <v>11</v>
      </c>
      <c r="I219">
        <v>38</v>
      </c>
      <c r="L219">
        <v>5</v>
      </c>
    </row>
    <row r="220" spans="1:12" x14ac:dyDescent="0.25">
      <c r="A220" t="s">
        <v>240</v>
      </c>
      <c r="B220" t="s">
        <v>232</v>
      </c>
      <c r="C220" t="s">
        <v>268</v>
      </c>
      <c r="D220" t="s">
        <v>38</v>
      </c>
      <c r="E220">
        <v>49</v>
      </c>
      <c r="H220">
        <v>10</v>
      </c>
      <c r="I220">
        <v>34</v>
      </c>
      <c r="L220">
        <v>5</v>
      </c>
    </row>
    <row r="221" spans="1:12" x14ac:dyDescent="0.25">
      <c r="A221" t="s">
        <v>240</v>
      </c>
      <c r="B221" t="s">
        <v>232</v>
      </c>
      <c r="C221" t="s">
        <v>269</v>
      </c>
      <c r="D221" t="s">
        <v>40</v>
      </c>
      <c r="E221">
        <v>23</v>
      </c>
      <c r="H221">
        <v>5</v>
      </c>
      <c r="I221">
        <v>13</v>
      </c>
      <c r="L221">
        <v>5</v>
      </c>
    </row>
    <row r="222" spans="1:12" x14ac:dyDescent="0.25">
      <c r="A222" t="s">
        <v>240</v>
      </c>
      <c r="B222" t="s">
        <v>232</v>
      </c>
      <c r="C222" t="s">
        <v>270</v>
      </c>
      <c r="D222" t="s">
        <v>41</v>
      </c>
      <c r="E222">
        <v>51</v>
      </c>
      <c r="H222">
        <v>10</v>
      </c>
      <c r="I222">
        <v>30</v>
      </c>
      <c r="L222">
        <v>11</v>
      </c>
    </row>
    <row r="223" spans="1:12" x14ac:dyDescent="0.25">
      <c r="A223" t="s">
        <v>240</v>
      </c>
      <c r="B223" t="s">
        <v>232</v>
      </c>
      <c r="C223" t="s">
        <v>272</v>
      </c>
      <c r="D223" t="s">
        <v>42</v>
      </c>
      <c r="E223">
        <v>87</v>
      </c>
      <c r="H223">
        <v>22</v>
      </c>
      <c r="I223">
        <v>49</v>
      </c>
      <c r="L223">
        <v>16</v>
      </c>
    </row>
    <row r="224" spans="1:12" x14ac:dyDescent="0.25">
      <c r="A224" t="s">
        <v>240</v>
      </c>
      <c r="B224" t="s">
        <v>232</v>
      </c>
      <c r="C224" t="s">
        <v>273</v>
      </c>
      <c r="D224" t="s">
        <v>44</v>
      </c>
      <c r="E224">
        <v>68</v>
      </c>
      <c r="H224">
        <v>15</v>
      </c>
      <c r="I224">
        <v>49</v>
      </c>
      <c r="L224">
        <v>4</v>
      </c>
    </row>
    <row r="225" spans="1:12" x14ac:dyDescent="0.25">
      <c r="A225" t="s">
        <v>240</v>
      </c>
      <c r="B225" t="s">
        <v>232</v>
      </c>
      <c r="C225" t="s">
        <v>274</v>
      </c>
      <c r="D225" t="s">
        <v>45</v>
      </c>
      <c r="E225">
        <v>72</v>
      </c>
      <c r="H225">
        <v>15</v>
      </c>
      <c r="I225">
        <v>44</v>
      </c>
      <c r="L225">
        <v>13</v>
      </c>
    </row>
    <row r="226" spans="1:12" x14ac:dyDescent="0.25">
      <c r="A226" t="s">
        <v>240</v>
      </c>
      <c r="B226" t="s">
        <v>232</v>
      </c>
      <c r="C226" t="s">
        <v>275</v>
      </c>
      <c r="D226" t="s">
        <v>46</v>
      </c>
      <c r="E226">
        <v>28</v>
      </c>
      <c r="H226">
        <v>5</v>
      </c>
      <c r="I226">
        <v>18</v>
      </c>
      <c r="L226">
        <v>5</v>
      </c>
    </row>
    <row r="227" spans="1:12" x14ac:dyDescent="0.25">
      <c r="A227" t="s">
        <v>240</v>
      </c>
      <c r="B227" t="s">
        <v>232</v>
      </c>
      <c r="C227" t="s">
        <v>276</v>
      </c>
      <c r="D227" t="s">
        <v>47</v>
      </c>
      <c r="E227">
        <v>29</v>
      </c>
      <c r="H227">
        <v>5</v>
      </c>
      <c r="I227">
        <v>19</v>
      </c>
      <c r="L227">
        <v>5</v>
      </c>
    </row>
    <row r="228" spans="1:12" x14ac:dyDescent="0.25">
      <c r="A228" t="s">
        <v>240</v>
      </c>
      <c r="B228" t="s">
        <v>232</v>
      </c>
      <c r="C228" t="s">
        <v>277</v>
      </c>
      <c r="D228" t="s">
        <v>49</v>
      </c>
      <c r="E228">
        <v>76</v>
      </c>
      <c r="H228">
        <v>16</v>
      </c>
      <c r="I228">
        <v>45</v>
      </c>
      <c r="L228">
        <v>15</v>
      </c>
    </row>
    <row r="229" spans="1:12" x14ac:dyDescent="0.25">
      <c r="A229" t="s">
        <v>240</v>
      </c>
      <c r="B229" t="s">
        <v>232</v>
      </c>
      <c r="C229" t="s">
        <v>279</v>
      </c>
      <c r="D229" t="s">
        <v>52</v>
      </c>
      <c r="E229">
        <v>69</v>
      </c>
      <c r="H229">
        <v>10</v>
      </c>
      <c r="I229">
        <v>54</v>
      </c>
      <c r="L229">
        <v>5</v>
      </c>
    </row>
    <row r="230" spans="1:12" x14ac:dyDescent="0.25">
      <c r="A230" t="s">
        <v>240</v>
      </c>
      <c r="B230" t="s">
        <v>232</v>
      </c>
      <c r="C230" t="s">
        <v>280</v>
      </c>
      <c r="D230" t="s">
        <v>54</v>
      </c>
      <c r="E230">
        <v>51</v>
      </c>
      <c r="H230">
        <v>9</v>
      </c>
      <c r="I230">
        <v>32</v>
      </c>
      <c r="L230">
        <v>10</v>
      </c>
    </row>
    <row r="231" spans="1:12" x14ac:dyDescent="0.25">
      <c r="A231" t="s">
        <v>240</v>
      </c>
      <c r="B231" t="s">
        <v>232</v>
      </c>
      <c r="C231" t="s">
        <v>282</v>
      </c>
      <c r="D231" t="s">
        <v>56</v>
      </c>
      <c r="E231">
        <v>50</v>
      </c>
      <c r="H231">
        <v>10</v>
      </c>
      <c r="I231">
        <v>35</v>
      </c>
      <c r="L231">
        <v>5</v>
      </c>
    </row>
    <row r="232" spans="1:12" x14ac:dyDescent="0.25">
      <c r="A232" t="s">
        <v>240</v>
      </c>
      <c r="B232" t="s">
        <v>232</v>
      </c>
      <c r="C232" t="s">
        <v>283</v>
      </c>
      <c r="D232" t="s">
        <v>57</v>
      </c>
      <c r="E232">
        <v>166</v>
      </c>
      <c r="H232">
        <v>35</v>
      </c>
      <c r="I232">
        <v>111</v>
      </c>
      <c r="L232">
        <v>20</v>
      </c>
    </row>
    <row r="233" spans="1:12" x14ac:dyDescent="0.25">
      <c r="A233" t="s">
        <v>240</v>
      </c>
      <c r="B233" t="s">
        <v>232</v>
      </c>
      <c r="C233" t="s">
        <v>284</v>
      </c>
      <c r="D233" t="s">
        <v>58</v>
      </c>
      <c r="E233">
        <v>48</v>
      </c>
      <c r="H233">
        <v>9</v>
      </c>
      <c r="I233">
        <v>34</v>
      </c>
      <c r="L233">
        <v>5</v>
      </c>
    </row>
    <row r="234" spans="1:12" x14ac:dyDescent="0.25">
      <c r="A234" t="s">
        <v>240</v>
      </c>
      <c r="B234" t="s">
        <v>232</v>
      </c>
      <c r="C234" t="s">
        <v>285</v>
      </c>
      <c r="D234" t="s">
        <v>31</v>
      </c>
      <c r="E234">
        <v>145</v>
      </c>
      <c r="H234">
        <v>33</v>
      </c>
      <c r="I234">
        <v>97</v>
      </c>
      <c r="L234">
        <v>15</v>
      </c>
    </row>
    <row r="235" spans="1:12" x14ac:dyDescent="0.25">
      <c r="A235" t="s">
        <v>240</v>
      </c>
      <c r="B235" t="s">
        <v>232</v>
      </c>
      <c r="C235" t="s">
        <v>286</v>
      </c>
      <c r="D235" t="s">
        <v>32</v>
      </c>
      <c r="E235">
        <v>24</v>
      </c>
      <c r="H235">
        <v>5</v>
      </c>
      <c r="I235">
        <v>14</v>
      </c>
      <c r="L235">
        <v>5</v>
      </c>
    </row>
    <row r="236" spans="1:12" x14ac:dyDescent="0.25">
      <c r="A236" t="s">
        <v>240</v>
      </c>
      <c r="B236" t="s">
        <v>232</v>
      </c>
      <c r="C236" t="s">
        <v>287</v>
      </c>
      <c r="D236" t="s">
        <v>34</v>
      </c>
      <c r="E236">
        <v>50</v>
      </c>
      <c r="H236">
        <v>10</v>
      </c>
      <c r="I236">
        <v>30</v>
      </c>
      <c r="L236">
        <v>10</v>
      </c>
    </row>
    <row r="237" spans="1:12" x14ac:dyDescent="0.25">
      <c r="A237" t="s">
        <v>240</v>
      </c>
      <c r="B237" t="s">
        <v>232</v>
      </c>
      <c r="C237" t="s">
        <v>288</v>
      </c>
      <c r="D237" t="s">
        <v>243</v>
      </c>
      <c r="E237">
        <v>293</v>
      </c>
      <c r="H237">
        <v>54</v>
      </c>
      <c r="I237">
        <v>204</v>
      </c>
      <c r="L237">
        <v>35</v>
      </c>
    </row>
    <row r="238" spans="1:12" x14ac:dyDescent="0.25">
      <c r="A238" t="s">
        <v>240</v>
      </c>
      <c r="B238" t="s">
        <v>232</v>
      </c>
      <c r="C238" t="s">
        <v>289</v>
      </c>
      <c r="D238" t="s">
        <v>53</v>
      </c>
      <c r="E238">
        <v>94</v>
      </c>
      <c r="H238">
        <v>20</v>
      </c>
      <c r="I238">
        <v>59</v>
      </c>
      <c r="L238">
        <v>15</v>
      </c>
    </row>
    <row r="239" spans="1:12" x14ac:dyDescent="0.25">
      <c r="A239" t="s">
        <v>240</v>
      </c>
      <c r="B239" t="s">
        <v>232</v>
      </c>
      <c r="C239" t="s">
        <v>290</v>
      </c>
      <c r="D239" t="s">
        <v>59</v>
      </c>
      <c r="E239">
        <v>68</v>
      </c>
      <c r="H239">
        <v>15</v>
      </c>
      <c r="I239">
        <v>43</v>
      </c>
      <c r="L239">
        <v>10</v>
      </c>
    </row>
    <row r="240" spans="1:12" x14ac:dyDescent="0.25">
      <c r="A240" t="s">
        <v>240</v>
      </c>
      <c r="B240" t="s">
        <v>232</v>
      </c>
      <c r="C240" t="s">
        <v>291</v>
      </c>
      <c r="D240" t="s">
        <v>60</v>
      </c>
      <c r="E240">
        <v>58</v>
      </c>
      <c r="H240">
        <v>11</v>
      </c>
      <c r="I240">
        <v>37</v>
      </c>
      <c r="L240">
        <v>10</v>
      </c>
    </row>
    <row r="241" spans="1:12" x14ac:dyDescent="0.25">
      <c r="A241" t="s">
        <v>240</v>
      </c>
      <c r="B241" t="s">
        <v>232</v>
      </c>
      <c r="C241" t="s">
        <v>292</v>
      </c>
      <c r="D241" t="s">
        <v>33</v>
      </c>
      <c r="E241">
        <v>28</v>
      </c>
      <c r="H241">
        <v>5</v>
      </c>
      <c r="I241">
        <v>18</v>
      </c>
      <c r="L241">
        <v>5</v>
      </c>
    </row>
    <row r="242" spans="1:12" x14ac:dyDescent="0.25">
      <c r="A242" t="s">
        <v>240</v>
      </c>
      <c r="B242" t="s">
        <v>232</v>
      </c>
      <c r="C242" t="s">
        <v>293</v>
      </c>
      <c r="D242" t="s">
        <v>37</v>
      </c>
      <c r="E242">
        <v>178</v>
      </c>
      <c r="H242">
        <v>35</v>
      </c>
      <c r="I242">
        <v>122</v>
      </c>
      <c r="L242">
        <v>21</v>
      </c>
    </row>
    <row r="243" spans="1:12" x14ac:dyDescent="0.25">
      <c r="A243" t="s">
        <v>240</v>
      </c>
      <c r="B243" t="s">
        <v>232</v>
      </c>
      <c r="C243" t="s">
        <v>294</v>
      </c>
      <c r="D243" t="s">
        <v>50</v>
      </c>
      <c r="E243">
        <v>163</v>
      </c>
      <c r="H243">
        <v>31</v>
      </c>
      <c r="I243">
        <v>113</v>
      </c>
      <c r="L243">
        <v>19</v>
      </c>
    </row>
    <row r="244" spans="1:12" x14ac:dyDescent="0.25">
      <c r="A244" t="s">
        <v>240</v>
      </c>
      <c r="B244" t="s">
        <v>232</v>
      </c>
      <c r="C244" t="s">
        <v>295</v>
      </c>
      <c r="D244" t="s">
        <v>39</v>
      </c>
      <c r="E244">
        <v>78</v>
      </c>
      <c r="H244">
        <v>15</v>
      </c>
      <c r="I244">
        <v>48</v>
      </c>
      <c r="L244">
        <v>15</v>
      </c>
    </row>
    <row r="245" spans="1:12" x14ac:dyDescent="0.25">
      <c r="A245" t="s">
        <v>240</v>
      </c>
      <c r="B245" t="s">
        <v>232</v>
      </c>
      <c r="C245" t="s">
        <v>296</v>
      </c>
      <c r="D245" t="s">
        <v>117</v>
      </c>
      <c r="E245">
        <v>489</v>
      </c>
      <c r="H245">
        <v>113</v>
      </c>
      <c r="I245">
        <v>319</v>
      </c>
      <c r="L245">
        <v>57</v>
      </c>
    </row>
    <row r="246" spans="1:12" x14ac:dyDescent="0.25">
      <c r="A246" t="s">
        <v>240</v>
      </c>
      <c r="B246" t="s">
        <v>232</v>
      </c>
      <c r="C246" t="s">
        <v>297</v>
      </c>
      <c r="D246" t="s">
        <v>43</v>
      </c>
      <c r="E246">
        <v>254</v>
      </c>
      <c r="H246">
        <v>49</v>
      </c>
      <c r="I246">
        <v>181</v>
      </c>
      <c r="L246">
        <v>24</v>
      </c>
    </row>
    <row r="247" spans="1:12" x14ac:dyDescent="0.25">
      <c r="A247" t="s">
        <v>240</v>
      </c>
      <c r="B247" t="s">
        <v>233</v>
      </c>
      <c r="C247" t="s">
        <v>334</v>
      </c>
      <c r="D247" t="s">
        <v>31</v>
      </c>
      <c r="E247">
        <v>15</v>
      </c>
      <c r="F247">
        <v>1</v>
      </c>
      <c r="H247">
        <v>2</v>
      </c>
      <c r="I247">
        <v>2</v>
      </c>
      <c r="J247">
        <v>2</v>
      </c>
      <c r="K247">
        <v>3</v>
      </c>
      <c r="L247">
        <v>5</v>
      </c>
    </row>
    <row r="248" spans="1:12" x14ac:dyDescent="0.25">
      <c r="A248" t="s">
        <v>240</v>
      </c>
      <c r="B248" t="s">
        <v>233</v>
      </c>
      <c r="C248" t="s">
        <v>335</v>
      </c>
      <c r="D248" t="s">
        <v>63</v>
      </c>
      <c r="E248">
        <v>25</v>
      </c>
      <c r="F248">
        <v>1</v>
      </c>
      <c r="H248">
        <v>7</v>
      </c>
      <c r="J248">
        <v>2</v>
      </c>
      <c r="K248">
        <v>7</v>
      </c>
      <c r="L248">
        <v>8</v>
      </c>
    </row>
    <row r="249" spans="1:12" x14ac:dyDescent="0.25">
      <c r="A249" t="s">
        <v>240</v>
      </c>
      <c r="B249" t="s">
        <v>233</v>
      </c>
      <c r="C249" t="s">
        <v>337</v>
      </c>
      <c r="D249" t="s">
        <v>64</v>
      </c>
      <c r="E249">
        <v>26</v>
      </c>
      <c r="F249">
        <v>1</v>
      </c>
      <c r="H249">
        <v>6</v>
      </c>
      <c r="I249">
        <v>1</v>
      </c>
      <c r="J249">
        <v>3</v>
      </c>
      <c r="K249">
        <v>9</v>
      </c>
      <c r="L249">
        <v>6</v>
      </c>
    </row>
    <row r="250" spans="1:12" x14ac:dyDescent="0.25">
      <c r="A250" t="s">
        <v>240</v>
      </c>
      <c r="B250" t="s">
        <v>233</v>
      </c>
      <c r="C250" t="s">
        <v>338</v>
      </c>
      <c r="D250" t="s">
        <v>36</v>
      </c>
      <c r="E250">
        <v>22</v>
      </c>
      <c r="F250">
        <v>1</v>
      </c>
      <c r="H250">
        <v>4</v>
      </c>
      <c r="I250">
        <v>2</v>
      </c>
      <c r="J250">
        <v>2</v>
      </c>
      <c r="K250">
        <v>6</v>
      </c>
      <c r="L250">
        <v>7</v>
      </c>
    </row>
    <row r="251" spans="1:12" x14ac:dyDescent="0.25">
      <c r="A251" t="s">
        <v>240</v>
      </c>
      <c r="B251" t="s">
        <v>233</v>
      </c>
      <c r="C251" t="s">
        <v>339</v>
      </c>
      <c r="D251" t="s">
        <v>66</v>
      </c>
      <c r="E251">
        <v>27</v>
      </c>
      <c r="F251">
        <v>1</v>
      </c>
      <c r="H251">
        <v>5</v>
      </c>
      <c r="I251">
        <v>1</v>
      </c>
      <c r="J251">
        <v>3</v>
      </c>
      <c r="K251">
        <v>9</v>
      </c>
      <c r="L251">
        <v>8</v>
      </c>
    </row>
    <row r="252" spans="1:12" x14ac:dyDescent="0.25">
      <c r="A252" t="s">
        <v>240</v>
      </c>
      <c r="B252" t="s">
        <v>233</v>
      </c>
      <c r="C252" t="s">
        <v>340</v>
      </c>
      <c r="D252" t="s">
        <v>67</v>
      </c>
      <c r="E252">
        <v>27</v>
      </c>
      <c r="F252">
        <v>1</v>
      </c>
      <c r="H252">
        <v>3</v>
      </c>
      <c r="I252">
        <v>5</v>
      </c>
      <c r="J252">
        <v>3</v>
      </c>
      <c r="K252">
        <v>7</v>
      </c>
      <c r="L252">
        <v>8</v>
      </c>
    </row>
    <row r="253" spans="1:12" x14ac:dyDescent="0.25">
      <c r="A253" t="s">
        <v>240</v>
      </c>
      <c r="B253" t="s">
        <v>233</v>
      </c>
      <c r="C253" t="s">
        <v>341</v>
      </c>
      <c r="D253" t="s">
        <v>68</v>
      </c>
      <c r="E253">
        <v>16</v>
      </c>
      <c r="F253">
        <v>1</v>
      </c>
      <c r="H253">
        <v>2</v>
      </c>
      <c r="I253">
        <v>2</v>
      </c>
      <c r="J253">
        <v>3</v>
      </c>
      <c r="K253">
        <v>4</v>
      </c>
      <c r="L253">
        <v>4</v>
      </c>
    </row>
    <row r="254" spans="1:12" x14ac:dyDescent="0.25">
      <c r="A254" t="s">
        <v>240</v>
      </c>
      <c r="B254" t="s">
        <v>233</v>
      </c>
      <c r="C254" t="s">
        <v>342</v>
      </c>
      <c r="D254" t="s">
        <v>165</v>
      </c>
      <c r="E254">
        <v>31</v>
      </c>
      <c r="F254">
        <v>1</v>
      </c>
      <c r="H254">
        <v>6</v>
      </c>
      <c r="I254">
        <v>3</v>
      </c>
      <c r="J254">
        <v>3</v>
      </c>
      <c r="K254">
        <v>7</v>
      </c>
      <c r="L254">
        <v>11</v>
      </c>
    </row>
    <row r="255" spans="1:12" x14ac:dyDescent="0.25">
      <c r="A255" t="s">
        <v>240</v>
      </c>
      <c r="B255" t="s">
        <v>233</v>
      </c>
      <c r="C255" t="s">
        <v>343</v>
      </c>
      <c r="D255" t="s">
        <v>69</v>
      </c>
      <c r="E255">
        <v>19</v>
      </c>
      <c r="F255">
        <v>1</v>
      </c>
      <c r="H255">
        <v>3</v>
      </c>
      <c r="I255">
        <v>2</v>
      </c>
      <c r="J255">
        <v>2</v>
      </c>
      <c r="K255">
        <v>5</v>
      </c>
      <c r="L255">
        <v>6</v>
      </c>
    </row>
    <row r="256" spans="1:12" x14ac:dyDescent="0.25">
      <c r="A256" t="s">
        <v>240</v>
      </c>
      <c r="B256" t="s">
        <v>233</v>
      </c>
      <c r="C256" t="s">
        <v>994</v>
      </c>
      <c r="D256" t="s">
        <v>117</v>
      </c>
      <c r="E256">
        <v>22</v>
      </c>
      <c r="F256">
        <v>1</v>
      </c>
      <c r="H256">
        <v>2</v>
      </c>
      <c r="I256">
        <v>1</v>
      </c>
      <c r="J256">
        <v>4</v>
      </c>
      <c r="K256">
        <v>8</v>
      </c>
      <c r="L256">
        <v>6</v>
      </c>
    </row>
    <row r="257" spans="1:12" x14ac:dyDescent="0.25">
      <c r="A257" t="s">
        <v>240</v>
      </c>
      <c r="B257" t="s">
        <v>233</v>
      </c>
      <c r="C257" t="s">
        <v>344</v>
      </c>
      <c r="D257" t="s">
        <v>70</v>
      </c>
      <c r="E257">
        <v>32</v>
      </c>
      <c r="F257">
        <v>1</v>
      </c>
      <c r="H257">
        <v>7</v>
      </c>
      <c r="I257">
        <v>1</v>
      </c>
      <c r="J257">
        <v>4</v>
      </c>
      <c r="K257">
        <v>12</v>
      </c>
      <c r="L257">
        <v>7</v>
      </c>
    </row>
    <row r="258" spans="1:12" x14ac:dyDescent="0.25">
      <c r="A258" t="s">
        <v>240</v>
      </c>
      <c r="B258" t="s">
        <v>233</v>
      </c>
      <c r="C258" t="s">
        <v>995</v>
      </c>
      <c r="D258" t="s">
        <v>50</v>
      </c>
      <c r="E258">
        <v>17</v>
      </c>
      <c r="F258">
        <v>1</v>
      </c>
      <c r="H258">
        <v>2</v>
      </c>
      <c r="I258">
        <v>1</v>
      </c>
      <c r="J258">
        <v>2</v>
      </c>
      <c r="K258">
        <v>6</v>
      </c>
      <c r="L258">
        <v>5</v>
      </c>
    </row>
    <row r="259" spans="1:12" x14ac:dyDescent="0.25">
      <c r="A259" t="s">
        <v>240</v>
      </c>
      <c r="B259" t="s">
        <v>233</v>
      </c>
      <c r="C259" t="s">
        <v>345</v>
      </c>
      <c r="D259" t="s">
        <v>57</v>
      </c>
      <c r="E259">
        <v>16</v>
      </c>
      <c r="F259">
        <v>1</v>
      </c>
      <c r="H259">
        <v>2</v>
      </c>
      <c r="I259">
        <v>1</v>
      </c>
      <c r="J259">
        <v>2</v>
      </c>
      <c r="K259">
        <v>6</v>
      </c>
      <c r="L259">
        <v>4</v>
      </c>
    </row>
    <row r="260" spans="1:12" x14ac:dyDescent="0.25">
      <c r="A260" t="s">
        <v>240</v>
      </c>
      <c r="B260" t="s">
        <v>233</v>
      </c>
      <c r="C260" t="s">
        <v>996</v>
      </c>
      <c r="D260" t="s">
        <v>985</v>
      </c>
      <c r="E260">
        <v>18</v>
      </c>
      <c r="F260">
        <v>1</v>
      </c>
      <c r="H260">
        <v>3</v>
      </c>
      <c r="I260">
        <v>1</v>
      </c>
      <c r="J260">
        <v>3</v>
      </c>
      <c r="K260">
        <v>5</v>
      </c>
      <c r="L260">
        <v>5</v>
      </c>
    </row>
    <row r="261" spans="1:12" x14ac:dyDescent="0.25">
      <c r="A261" t="s">
        <v>240</v>
      </c>
      <c r="B261" t="s">
        <v>233</v>
      </c>
      <c r="C261" t="s">
        <v>346</v>
      </c>
      <c r="D261" t="s">
        <v>71</v>
      </c>
      <c r="E261">
        <v>18</v>
      </c>
      <c r="F261">
        <v>1</v>
      </c>
      <c r="H261">
        <v>5</v>
      </c>
      <c r="J261">
        <v>2</v>
      </c>
      <c r="K261">
        <v>6</v>
      </c>
      <c r="L261">
        <v>4</v>
      </c>
    </row>
    <row r="262" spans="1:12" x14ac:dyDescent="0.25">
      <c r="A262" t="s">
        <v>240</v>
      </c>
      <c r="B262" t="s">
        <v>233</v>
      </c>
      <c r="C262" t="s">
        <v>336</v>
      </c>
      <c r="D262" t="s">
        <v>65</v>
      </c>
      <c r="E262">
        <v>28</v>
      </c>
      <c r="F262">
        <v>1</v>
      </c>
      <c r="H262">
        <v>3</v>
      </c>
      <c r="I262">
        <v>2</v>
      </c>
      <c r="J262">
        <v>4</v>
      </c>
      <c r="K262">
        <v>9</v>
      </c>
      <c r="L262">
        <v>9</v>
      </c>
    </row>
    <row r="263" spans="1:12" x14ac:dyDescent="0.25">
      <c r="A263" t="s">
        <v>240</v>
      </c>
      <c r="B263" t="s">
        <v>233</v>
      </c>
      <c r="C263" t="s">
        <v>993</v>
      </c>
      <c r="D263" t="s">
        <v>43</v>
      </c>
      <c r="E263">
        <v>19</v>
      </c>
      <c r="H263">
        <v>1</v>
      </c>
      <c r="I263">
        <v>4</v>
      </c>
      <c r="J263">
        <v>2</v>
      </c>
      <c r="K263">
        <v>6</v>
      </c>
      <c r="L263">
        <v>6</v>
      </c>
    </row>
    <row r="264" spans="1:12" x14ac:dyDescent="0.25">
      <c r="A264" t="s">
        <v>240</v>
      </c>
      <c r="B264" t="s">
        <v>234</v>
      </c>
      <c r="C264" t="s">
        <v>362</v>
      </c>
      <c r="D264" t="s">
        <v>163</v>
      </c>
      <c r="E264">
        <v>73</v>
      </c>
      <c r="F264">
        <v>1</v>
      </c>
      <c r="H264">
        <v>18</v>
      </c>
      <c r="J264">
        <v>4</v>
      </c>
      <c r="K264">
        <v>13</v>
      </c>
      <c r="L264">
        <v>37</v>
      </c>
    </row>
    <row r="265" spans="1:12" x14ac:dyDescent="0.25">
      <c r="A265" t="s">
        <v>240</v>
      </c>
      <c r="B265" t="s">
        <v>234</v>
      </c>
      <c r="C265" t="s">
        <v>361</v>
      </c>
      <c r="D265" t="s">
        <v>164</v>
      </c>
      <c r="E265">
        <v>37</v>
      </c>
      <c r="F265">
        <v>1</v>
      </c>
      <c r="H265">
        <v>9</v>
      </c>
      <c r="J265">
        <v>5</v>
      </c>
      <c r="K265">
        <v>6</v>
      </c>
      <c r="L265">
        <v>16</v>
      </c>
    </row>
    <row r="266" spans="1:12" x14ac:dyDescent="0.25">
      <c r="A266" t="s">
        <v>240</v>
      </c>
      <c r="B266" t="s">
        <v>234</v>
      </c>
      <c r="C266" t="s">
        <v>363</v>
      </c>
      <c r="D266" t="s">
        <v>162</v>
      </c>
      <c r="E266">
        <v>46</v>
      </c>
      <c r="F266">
        <v>1</v>
      </c>
      <c r="H266">
        <v>11</v>
      </c>
      <c r="J266">
        <v>6</v>
      </c>
      <c r="K266">
        <v>10</v>
      </c>
      <c r="L266">
        <v>18</v>
      </c>
    </row>
    <row r="267" spans="1:12" x14ac:dyDescent="0.25">
      <c r="A267" t="s">
        <v>240</v>
      </c>
      <c r="B267" t="s">
        <v>235</v>
      </c>
      <c r="C267" t="s">
        <v>347</v>
      </c>
      <c r="D267" t="s">
        <v>244</v>
      </c>
      <c r="E267">
        <v>143</v>
      </c>
      <c r="F267">
        <v>15</v>
      </c>
      <c r="G267">
        <v>4</v>
      </c>
      <c r="I267">
        <v>55</v>
      </c>
      <c r="J267">
        <v>13</v>
      </c>
      <c r="K267">
        <v>9</v>
      </c>
      <c r="L267">
        <v>47</v>
      </c>
    </row>
    <row r="268" spans="1:12" x14ac:dyDescent="0.25">
      <c r="A268" t="s">
        <v>240</v>
      </c>
      <c r="B268" t="s">
        <v>26</v>
      </c>
      <c r="C268" t="s">
        <v>347</v>
      </c>
      <c r="D268" t="s">
        <v>244</v>
      </c>
      <c r="E268">
        <v>3544</v>
      </c>
      <c r="F268">
        <v>34</v>
      </c>
      <c r="G268">
        <v>4</v>
      </c>
      <c r="H268">
        <v>689</v>
      </c>
      <c r="I268">
        <v>1988</v>
      </c>
      <c r="J268">
        <v>74</v>
      </c>
      <c r="K268">
        <v>153</v>
      </c>
      <c r="L268">
        <v>602</v>
      </c>
    </row>
    <row r="269" spans="1:12" x14ac:dyDescent="0.25">
      <c r="A269" t="s">
        <v>239</v>
      </c>
      <c r="B269" t="s">
        <v>232</v>
      </c>
      <c r="C269" t="s">
        <v>266</v>
      </c>
      <c r="D269" t="s">
        <v>35</v>
      </c>
      <c r="H269">
        <v>5</v>
      </c>
      <c r="I269">
        <v>15</v>
      </c>
      <c r="L269">
        <v>5</v>
      </c>
    </row>
    <row r="270" spans="1:12" x14ac:dyDescent="0.25">
      <c r="A270" t="s">
        <v>239</v>
      </c>
      <c r="B270" t="s">
        <v>232</v>
      </c>
      <c r="C270" t="s">
        <v>267</v>
      </c>
      <c r="D270" t="s">
        <v>36</v>
      </c>
      <c r="H270">
        <v>10</v>
      </c>
      <c r="I270">
        <v>38</v>
      </c>
      <c r="L270">
        <v>5</v>
      </c>
    </row>
    <row r="271" spans="1:12" x14ac:dyDescent="0.25">
      <c r="A271" t="s">
        <v>239</v>
      </c>
      <c r="B271" t="s">
        <v>232</v>
      </c>
      <c r="C271" t="s">
        <v>268</v>
      </c>
      <c r="D271" t="s">
        <v>38</v>
      </c>
      <c r="H271">
        <v>10</v>
      </c>
      <c r="I271">
        <v>32</v>
      </c>
      <c r="L271">
        <v>5</v>
      </c>
    </row>
    <row r="272" spans="1:12" x14ac:dyDescent="0.25">
      <c r="A272" t="s">
        <v>239</v>
      </c>
      <c r="B272" t="s">
        <v>232</v>
      </c>
      <c r="C272" t="s">
        <v>269</v>
      </c>
      <c r="D272" t="s">
        <v>40</v>
      </c>
      <c r="H272">
        <v>5</v>
      </c>
      <c r="I272">
        <v>14</v>
      </c>
      <c r="L272">
        <v>5</v>
      </c>
    </row>
    <row r="273" spans="1:12" x14ac:dyDescent="0.25">
      <c r="A273" t="s">
        <v>239</v>
      </c>
      <c r="B273" t="s">
        <v>232</v>
      </c>
      <c r="C273" t="s">
        <v>270</v>
      </c>
      <c r="D273" t="s">
        <v>41</v>
      </c>
      <c r="H273">
        <v>10</v>
      </c>
      <c r="I273">
        <v>31</v>
      </c>
      <c r="L273">
        <v>11</v>
      </c>
    </row>
    <row r="274" spans="1:12" x14ac:dyDescent="0.25">
      <c r="A274" t="s">
        <v>239</v>
      </c>
      <c r="B274" t="s">
        <v>232</v>
      </c>
      <c r="C274" t="s">
        <v>272</v>
      </c>
      <c r="D274" t="s">
        <v>42</v>
      </c>
      <c r="H274">
        <v>20</v>
      </c>
      <c r="I274">
        <v>53</v>
      </c>
      <c r="L274">
        <v>15</v>
      </c>
    </row>
    <row r="275" spans="1:12" x14ac:dyDescent="0.25">
      <c r="A275" t="s">
        <v>239</v>
      </c>
      <c r="B275" t="s">
        <v>232</v>
      </c>
      <c r="C275" t="s">
        <v>273</v>
      </c>
      <c r="D275" t="s">
        <v>44</v>
      </c>
      <c r="H275">
        <v>15</v>
      </c>
      <c r="I275">
        <v>50</v>
      </c>
      <c r="L275">
        <v>5</v>
      </c>
    </row>
    <row r="276" spans="1:12" x14ac:dyDescent="0.25">
      <c r="A276" t="s">
        <v>239</v>
      </c>
      <c r="B276" t="s">
        <v>232</v>
      </c>
      <c r="C276" t="s">
        <v>274</v>
      </c>
      <c r="D276" t="s">
        <v>45</v>
      </c>
      <c r="H276">
        <v>15</v>
      </c>
      <c r="I276">
        <v>47</v>
      </c>
      <c r="L276">
        <v>10</v>
      </c>
    </row>
    <row r="277" spans="1:12" x14ac:dyDescent="0.25">
      <c r="A277" t="s">
        <v>239</v>
      </c>
      <c r="B277" t="s">
        <v>232</v>
      </c>
      <c r="C277" t="s">
        <v>275</v>
      </c>
      <c r="D277" t="s">
        <v>46</v>
      </c>
      <c r="H277">
        <v>4</v>
      </c>
      <c r="I277">
        <v>17</v>
      </c>
      <c r="L277">
        <v>5</v>
      </c>
    </row>
    <row r="278" spans="1:12" x14ac:dyDescent="0.25">
      <c r="A278" t="s">
        <v>239</v>
      </c>
      <c r="B278" t="s">
        <v>232</v>
      </c>
      <c r="C278" t="s">
        <v>276</v>
      </c>
      <c r="D278" t="s">
        <v>47</v>
      </c>
      <c r="H278">
        <v>5</v>
      </c>
      <c r="I278">
        <v>20</v>
      </c>
      <c r="L278">
        <v>5</v>
      </c>
    </row>
    <row r="279" spans="1:12" x14ac:dyDescent="0.25">
      <c r="A279" t="s">
        <v>239</v>
      </c>
      <c r="B279" t="s">
        <v>232</v>
      </c>
      <c r="C279" t="s">
        <v>277</v>
      </c>
      <c r="D279" t="s">
        <v>49</v>
      </c>
      <c r="H279">
        <v>15</v>
      </c>
      <c r="I279">
        <v>45</v>
      </c>
      <c r="L279">
        <v>16</v>
      </c>
    </row>
    <row r="280" spans="1:12" x14ac:dyDescent="0.25">
      <c r="A280" t="s">
        <v>239</v>
      </c>
      <c r="B280" t="s">
        <v>232</v>
      </c>
      <c r="C280" t="s">
        <v>280</v>
      </c>
      <c r="D280" t="s">
        <v>54</v>
      </c>
      <c r="H280">
        <v>10</v>
      </c>
      <c r="I280">
        <v>36</v>
      </c>
      <c r="L280">
        <v>10</v>
      </c>
    </row>
    <row r="281" spans="1:12" x14ac:dyDescent="0.25">
      <c r="A281" t="s">
        <v>239</v>
      </c>
      <c r="B281" t="s">
        <v>232</v>
      </c>
      <c r="C281" t="s">
        <v>282</v>
      </c>
      <c r="D281" t="s">
        <v>56</v>
      </c>
      <c r="H281">
        <v>11</v>
      </c>
      <c r="I281">
        <v>34</v>
      </c>
      <c r="L281">
        <v>5</v>
      </c>
    </row>
    <row r="282" spans="1:12" x14ac:dyDescent="0.25">
      <c r="A282" t="s">
        <v>239</v>
      </c>
      <c r="B282" t="s">
        <v>232</v>
      </c>
      <c r="C282" t="s">
        <v>283</v>
      </c>
      <c r="D282" t="s">
        <v>57</v>
      </c>
      <c r="H282">
        <v>36</v>
      </c>
      <c r="I282">
        <v>111</v>
      </c>
      <c r="L282">
        <v>20</v>
      </c>
    </row>
    <row r="283" spans="1:12" x14ac:dyDescent="0.25">
      <c r="A283" t="s">
        <v>239</v>
      </c>
      <c r="B283" t="s">
        <v>232</v>
      </c>
      <c r="C283" t="s">
        <v>284</v>
      </c>
      <c r="D283" t="s">
        <v>58</v>
      </c>
      <c r="H283">
        <v>10</v>
      </c>
      <c r="I283">
        <v>34</v>
      </c>
      <c r="L283">
        <v>5</v>
      </c>
    </row>
    <row r="284" spans="1:12" x14ac:dyDescent="0.25">
      <c r="A284" t="s">
        <v>239</v>
      </c>
      <c r="B284" t="s">
        <v>232</v>
      </c>
      <c r="C284" t="s">
        <v>285</v>
      </c>
      <c r="D284" t="s">
        <v>31</v>
      </c>
      <c r="H284">
        <v>35</v>
      </c>
      <c r="I284">
        <v>104</v>
      </c>
      <c r="L284">
        <v>15</v>
      </c>
    </row>
    <row r="285" spans="1:12" x14ac:dyDescent="0.25">
      <c r="A285" t="s">
        <v>239</v>
      </c>
      <c r="B285" t="s">
        <v>232</v>
      </c>
      <c r="C285" t="s">
        <v>286</v>
      </c>
      <c r="D285" t="s">
        <v>32</v>
      </c>
      <c r="H285">
        <v>5</v>
      </c>
      <c r="I285">
        <v>20</v>
      </c>
      <c r="L285">
        <v>5</v>
      </c>
    </row>
    <row r="286" spans="1:12" x14ac:dyDescent="0.25">
      <c r="A286" t="s">
        <v>239</v>
      </c>
      <c r="B286" t="s">
        <v>232</v>
      </c>
      <c r="C286" t="s">
        <v>287</v>
      </c>
      <c r="D286" t="s">
        <v>34</v>
      </c>
      <c r="H286">
        <v>11</v>
      </c>
      <c r="I286">
        <v>33</v>
      </c>
      <c r="L286">
        <v>10</v>
      </c>
    </row>
    <row r="287" spans="1:12" x14ac:dyDescent="0.25">
      <c r="A287" t="s">
        <v>239</v>
      </c>
      <c r="B287" t="s">
        <v>232</v>
      </c>
      <c r="C287" t="s">
        <v>288</v>
      </c>
      <c r="D287" t="s">
        <v>243</v>
      </c>
      <c r="H287">
        <v>59</v>
      </c>
      <c r="I287">
        <v>203</v>
      </c>
      <c r="L287">
        <v>35</v>
      </c>
    </row>
    <row r="288" spans="1:12" x14ac:dyDescent="0.25">
      <c r="A288" t="s">
        <v>239</v>
      </c>
      <c r="B288" t="s">
        <v>232</v>
      </c>
      <c r="C288" t="s">
        <v>289</v>
      </c>
      <c r="D288" t="s">
        <v>53</v>
      </c>
      <c r="H288">
        <v>18</v>
      </c>
      <c r="I288">
        <v>65</v>
      </c>
      <c r="L288">
        <v>16</v>
      </c>
    </row>
    <row r="289" spans="1:12" x14ac:dyDescent="0.25">
      <c r="A289" t="s">
        <v>239</v>
      </c>
      <c r="B289" t="s">
        <v>232</v>
      </c>
      <c r="C289" t="s">
        <v>290</v>
      </c>
      <c r="D289" t="s">
        <v>59</v>
      </c>
      <c r="H289">
        <v>15</v>
      </c>
      <c r="I289">
        <v>48</v>
      </c>
      <c r="L289">
        <v>10</v>
      </c>
    </row>
    <row r="290" spans="1:12" x14ac:dyDescent="0.25">
      <c r="A290" t="s">
        <v>239</v>
      </c>
      <c r="B290" t="s">
        <v>232</v>
      </c>
      <c r="C290" t="s">
        <v>291</v>
      </c>
      <c r="D290" t="s">
        <v>60</v>
      </c>
      <c r="H290">
        <v>10</v>
      </c>
      <c r="I290">
        <v>36</v>
      </c>
      <c r="L290">
        <v>10</v>
      </c>
    </row>
    <row r="291" spans="1:12" x14ac:dyDescent="0.25">
      <c r="A291" t="s">
        <v>239</v>
      </c>
      <c r="B291" t="s">
        <v>232</v>
      </c>
      <c r="C291" t="s">
        <v>292</v>
      </c>
      <c r="D291" t="s">
        <v>33</v>
      </c>
      <c r="H291">
        <v>5</v>
      </c>
      <c r="I291">
        <v>18</v>
      </c>
      <c r="L291">
        <v>5</v>
      </c>
    </row>
    <row r="292" spans="1:12" x14ac:dyDescent="0.25">
      <c r="A292" t="s">
        <v>239</v>
      </c>
      <c r="B292" t="s">
        <v>232</v>
      </c>
      <c r="C292" t="s">
        <v>293</v>
      </c>
      <c r="D292" t="s">
        <v>37</v>
      </c>
      <c r="H292">
        <v>35</v>
      </c>
      <c r="I292">
        <v>122</v>
      </c>
      <c r="L292">
        <v>20</v>
      </c>
    </row>
    <row r="293" spans="1:12" x14ac:dyDescent="0.25">
      <c r="A293" t="s">
        <v>239</v>
      </c>
      <c r="B293" t="s">
        <v>232</v>
      </c>
      <c r="C293" t="s">
        <v>294</v>
      </c>
      <c r="D293" t="s">
        <v>50</v>
      </c>
      <c r="H293">
        <v>35</v>
      </c>
      <c r="I293">
        <v>111</v>
      </c>
      <c r="L293">
        <v>20</v>
      </c>
    </row>
    <row r="294" spans="1:12" x14ac:dyDescent="0.25">
      <c r="A294" t="s">
        <v>239</v>
      </c>
      <c r="B294" t="s">
        <v>232</v>
      </c>
      <c r="C294" t="s">
        <v>295</v>
      </c>
      <c r="D294" t="s">
        <v>39</v>
      </c>
      <c r="H294">
        <v>15</v>
      </c>
      <c r="I294">
        <v>47</v>
      </c>
      <c r="L294">
        <v>16</v>
      </c>
    </row>
    <row r="295" spans="1:12" x14ac:dyDescent="0.25">
      <c r="A295" t="s">
        <v>239</v>
      </c>
      <c r="B295" t="s">
        <v>232</v>
      </c>
      <c r="C295" t="s">
        <v>296</v>
      </c>
      <c r="D295" t="s">
        <v>117</v>
      </c>
      <c r="H295">
        <v>110</v>
      </c>
      <c r="I295">
        <v>349</v>
      </c>
      <c r="L295">
        <v>56</v>
      </c>
    </row>
    <row r="296" spans="1:12" x14ac:dyDescent="0.25">
      <c r="A296" t="s">
        <v>239</v>
      </c>
      <c r="B296" t="s">
        <v>232</v>
      </c>
      <c r="C296" t="s">
        <v>297</v>
      </c>
      <c r="D296" t="s">
        <v>43</v>
      </c>
      <c r="H296">
        <v>48</v>
      </c>
      <c r="I296">
        <v>199</v>
      </c>
      <c r="L296">
        <v>27</v>
      </c>
    </row>
    <row r="297" spans="1:12" x14ac:dyDescent="0.25">
      <c r="A297" t="s">
        <v>239</v>
      </c>
      <c r="B297" t="s">
        <v>232</v>
      </c>
      <c r="C297" t="s">
        <v>945</v>
      </c>
      <c r="D297" t="s">
        <v>52</v>
      </c>
      <c r="H297">
        <v>10</v>
      </c>
      <c r="I297">
        <v>54</v>
      </c>
      <c r="L297">
        <v>5</v>
      </c>
    </row>
    <row r="298" spans="1:12" x14ac:dyDescent="0.25">
      <c r="A298" t="s">
        <v>239</v>
      </c>
      <c r="B298" t="s">
        <v>233</v>
      </c>
      <c r="C298" t="s">
        <v>334</v>
      </c>
      <c r="D298" t="s">
        <v>31</v>
      </c>
      <c r="F298">
        <v>1</v>
      </c>
      <c r="H298">
        <v>2</v>
      </c>
      <c r="I298">
        <v>1</v>
      </c>
      <c r="J298">
        <v>2</v>
      </c>
      <c r="K298">
        <v>4</v>
      </c>
      <c r="L298">
        <v>6</v>
      </c>
    </row>
    <row r="299" spans="1:12" x14ac:dyDescent="0.25">
      <c r="A299" t="s">
        <v>239</v>
      </c>
      <c r="B299" t="s">
        <v>233</v>
      </c>
      <c r="C299" t="s">
        <v>335</v>
      </c>
      <c r="D299" t="s">
        <v>63</v>
      </c>
      <c r="F299">
        <v>1</v>
      </c>
      <c r="H299">
        <v>6</v>
      </c>
      <c r="J299">
        <v>2</v>
      </c>
      <c r="K299">
        <v>8</v>
      </c>
      <c r="L299">
        <v>8</v>
      </c>
    </row>
    <row r="300" spans="1:12" x14ac:dyDescent="0.25">
      <c r="A300" t="s">
        <v>239</v>
      </c>
      <c r="B300" t="s">
        <v>233</v>
      </c>
      <c r="C300" t="s">
        <v>337</v>
      </c>
      <c r="D300" t="s">
        <v>64</v>
      </c>
      <c r="F300">
        <v>1</v>
      </c>
      <c r="H300">
        <v>6</v>
      </c>
      <c r="I300">
        <v>2</v>
      </c>
      <c r="J300">
        <v>3</v>
      </c>
      <c r="K300">
        <v>8</v>
      </c>
      <c r="L300">
        <v>6</v>
      </c>
    </row>
    <row r="301" spans="1:12" x14ac:dyDescent="0.25">
      <c r="A301" t="s">
        <v>239</v>
      </c>
      <c r="B301" t="s">
        <v>233</v>
      </c>
      <c r="C301" t="s">
        <v>338</v>
      </c>
      <c r="D301" t="s">
        <v>36</v>
      </c>
      <c r="F301">
        <v>1</v>
      </c>
      <c r="H301">
        <v>4</v>
      </c>
      <c r="I301">
        <v>1.83</v>
      </c>
      <c r="J301">
        <v>2</v>
      </c>
      <c r="K301">
        <v>6</v>
      </c>
      <c r="L301">
        <v>7</v>
      </c>
    </row>
    <row r="302" spans="1:12" x14ac:dyDescent="0.25">
      <c r="A302" t="s">
        <v>239</v>
      </c>
      <c r="B302" t="s">
        <v>233</v>
      </c>
      <c r="C302" t="s">
        <v>339</v>
      </c>
      <c r="D302" t="s">
        <v>66</v>
      </c>
      <c r="F302">
        <v>1</v>
      </c>
      <c r="H302">
        <v>2</v>
      </c>
      <c r="I302">
        <v>1.6</v>
      </c>
      <c r="J302">
        <v>3</v>
      </c>
      <c r="K302">
        <v>9</v>
      </c>
      <c r="L302">
        <v>8</v>
      </c>
    </row>
    <row r="303" spans="1:12" x14ac:dyDescent="0.25">
      <c r="A303" t="s">
        <v>239</v>
      </c>
      <c r="B303" t="s">
        <v>233</v>
      </c>
      <c r="C303" t="s">
        <v>340</v>
      </c>
      <c r="D303" t="s">
        <v>67</v>
      </c>
      <c r="F303">
        <v>1</v>
      </c>
      <c r="H303">
        <v>2</v>
      </c>
      <c r="I303">
        <v>3</v>
      </c>
      <c r="J303">
        <v>3</v>
      </c>
      <c r="K303">
        <v>7</v>
      </c>
      <c r="L303">
        <v>9</v>
      </c>
    </row>
    <row r="304" spans="1:12" x14ac:dyDescent="0.25">
      <c r="A304" t="s">
        <v>239</v>
      </c>
      <c r="B304" t="s">
        <v>233</v>
      </c>
      <c r="C304" t="s">
        <v>341</v>
      </c>
      <c r="D304" t="s">
        <v>68</v>
      </c>
      <c r="F304">
        <v>1</v>
      </c>
      <c r="I304">
        <v>2</v>
      </c>
      <c r="J304">
        <v>4</v>
      </c>
      <c r="K304">
        <v>4</v>
      </c>
      <c r="L304">
        <v>3</v>
      </c>
    </row>
    <row r="305" spans="1:12" x14ac:dyDescent="0.25">
      <c r="A305" t="s">
        <v>239</v>
      </c>
      <c r="B305" t="s">
        <v>233</v>
      </c>
      <c r="C305" t="s">
        <v>342</v>
      </c>
      <c r="D305" t="s">
        <v>165</v>
      </c>
      <c r="F305">
        <v>1</v>
      </c>
      <c r="H305">
        <v>5</v>
      </c>
      <c r="I305">
        <v>2.5</v>
      </c>
      <c r="J305">
        <v>5</v>
      </c>
      <c r="K305">
        <v>4</v>
      </c>
      <c r="L305">
        <v>12</v>
      </c>
    </row>
    <row r="306" spans="1:12" x14ac:dyDescent="0.25">
      <c r="A306" t="s">
        <v>239</v>
      </c>
      <c r="B306" t="s">
        <v>233</v>
      </c>
      <c r="C306" t="s">
        <v>343</v>
      </c>
      <c r="D306" t="s">
        <v>69</v>
      </c>
      <c r="F306">
        <v>1</v>
      </c>
      <c r="H306">
        <v>3</v>
      </c>
      <c r="I306">
        <v>2</v>
      </c>
      <c r="J306">
        <v>2</v>
      </c>
      <c r="K306">
        <v>6</v>
      </c>
      <c r="L306">
        <v>6</v>
      </c>
    </row>
    <row r="307" spans="1:12" x14ac:dyDescent="0.25">
      <c r="A307" t="s">
        <v>239</v>
      </c>
      <c r="B307" t="s">
        <v>233</v>
      </c>
      <c r="C307" t="s">
        <v>994</v>
      </c>
      <c r="D307" t="s">
        <v>117</v>
      </c>
      <c r="F307">
        <v>1</v>
      </c>
      <c r="H307">
        <v>2</v>
      </c>
      <c r="I307">
        <v>2</v>
      </c>
      <c r="J307">
        <v>4</v>
      </c>
      <c r="K307">
        <v>9</v>
      </c>
      <c r="L307">
        <v>7</v>
      </c>
    </row>
    <row r="308" spans="1:12" x14ac:dyDescent="0.25">
      <c r="A308" t="s">
        <v>239</v>
      </c>
      <c r="B308" t="s">
        <v>233</v>
      </c>
      <c r="C308" t="s">
        <v>344</v>
      </c>
      <c r="D308" t="s">
        <v>70</v>
      </c>
      <c r="F308">
        <v>1</v>
      </c>
      <c r="H308">
        <v>9</v>
      </c>
      <c r="I308">
        <v>1</v>
      </c>
      <c r="J308">
        <v>4</v>
      </c>
      <c r="K308">
        <v>14</v>
      </c>
      <c r="L308">
        <v>16</v>
      </c>
    </row>
    <row r="309" spans="1:12" x14ac:dyDescent="0.25">
      <c r="A309" t="s">
        <v>239</v>
      </c>
      <c r="B309" t="s">
        <v>233</v>
      </c>
      <c r="C309" t="s">
        <v>995</v>
      </c>
      <c r="D309" t="s">
        <v>50</v>
      </c>
      <c r="F309">
        <v>1</v>
      </c>
      <c r="H309">
        <v>2</v>
      </c>
      <c r="I309">
        <v>1</v>
      </c>
      <c r="J309">
        <v>2</v>
      </c>
      <c r="K309">
        <v>5</v>
      </c>
      <c r="L309">
        <v>6</v>
      </c>
    </row>
    <row r="310" spans="1:12" x14ac:dyDescent="0.25">
      <c r="A310" t="s">
        <v>239</v>
      </c>
      <c r="B310" t="s">
        <v>233</v>
      </c>
      <c r="C310" t="s">
        <v>345</v>
      </c>
      <c r="D310" t="s">
        <v>57</v>
      </c>
      <c r="F310">
        <v>1</v>
      </c>
      <c r="H310">
        <v>2</v>
      </c>
      <c r="I310">
        <v>1</v>
      </c>
      <c r="J310">
        <v>2</v>
      </c>
      <c r="K310">
        <v>6</v>
      </c>
      <c r="L310">
        <v>4</v>
      </c>
    </row>
    <row r="311" spans="1:12" x14ac:dyDescent="0.25">
      <c r="A311" t="s">
        <v>239</v>
      </c>
      <c r="B311" t="s">
        <v>233</v>
      </c>
      <c r="C311" t="s">
        <v>996</v>
      </c>
      <c r="D311" t="s">
        <v>985</v>
      </c>
      <c r="F311">
        <v>1</v>
      </c>
      <c r="H311">
        <v>3</v>
      </c>
      <c r="I311">
        <v>1</v>
      </c>
      <c r="J311">
        <v>2</v>
      </c>
      <c r="K311">
        <v>6</v>
      </c>
      <c r="L311">
        <v>5</v>
      </c>
    </row>
    <row r="312" spans="1:12" x14ac:dyDescent="0.25">
      <c r="A312" t="s">
        <v>239</v>
      </c>
      <c r="B312" t="s">
        <v>233</v>
      </c>
      <c r="C312" t="s">
        <v>346</v>
      </c>
      <c r="D312" t="s">
        <v>71</v>
      </c>
      <c r="F312">
        <v>1</v>
      </c>
      <c r="H312">
        <v>3</v>
      </c>
      <c r="J312">
        <v>3</v>
      </c>
      <c r="K312">
        <v>5</v>
      </c>
      <c r="L312">
        <v>4</v>
      </c>
    </row>
    <row r="313" spans="1:12" x14ac:dyDescent="0.25">
      <c r="A313" t="s">
        <v>239</v>
      </c>
      <c r="B313" t="s">
        <v>233</v>
      </c>
      <c r="C313" t="s">
        <v>336</v>
      </c>
      <c r="D313" t="s">
        <v>65</v>
      </c>
      <c r="F313">
        <v>1</v>
      </c>
      <c r="H313">
        <v>3</v>
      </c>
      <c r="I313">
        <v>2</v>
      </c>
      <c r="J313">
        <v>4</v>
      </c>
      <c r="K313">
        <v>8</v>
      </c>
      <c r="L313">
        <v>11</v>
      </c>
    </row>
    <row r="314" spans="1:12" x14ac:dyDescent="0.25">
      <c r="A314" t="s">
        <v>239</v>
      </c>
      <c r="B314" t="s">
        <v>233</v>
      </c>
      <c r="C314" t="s">
        <v>993</v>
      </c>
      <c r="D314" t="s">
        <v>43</v>
      </c>
      <c r="I314">
        <v>4</v>
      </c>
      <c r="J314">
        <v>2</v>
      </c>
      <c r="K314">
        <v>6</v>
      </c>
      <c r="L314">
        <v>6</v>
      </c>
    </row>
    <row r="315" spans="1:12" x14ac:dyDescent="0.25">
      <c r="A315" t="s">
        <v>239</v>
      </c>
      <c r="B315" t="s">
        <v>234</v>
      </c>
      <c r="C315" t="s">
        <v>362</v>
      </c>
      <c r="D315" t="s">
        <v>163</v>
      </c>
      <c r="F315">
        <v>1</v>
      </c>
      <c r="H315">
        <v>26</v>
      </c>
      <c r="J315">
        <v>5</v>
      </c>
      <c r="K315">
        <v>12</v>
      </c>
      <c r="L315">
        <v>35</v>
      </c>
    </row>
    <row r="316" spans="1:12" x14ac:dyDescent="0.25">
      <c r="A316" t="s">
        <v>239</v>
      </c>
      <c r="B316" t="s">
        <v>234</v>
      </c>
      <c r="C316" t="s">
        <v>361</v>
      </c>
      <c r="D316" t="s">
        <v>164</v>
      </c>
      <c r="F316">
        <v>1</v>
      </c>
      <c r="H316">
        <v>8</v>
      </c>
      <c r="J316">
        <v>5</v>
      </c>
      <c r="K316">
        <v>5</v>
      </c>
      <c r="L316">
        <v>18</v>
      </c>
    </row>
    <row r="317" spans="1:12" x14ac:dyDescent="0.25">
      <c r="A317" t="s">
        <v>239</v>
      </c>
      <c r="B317" t="s">
        <v>234</v>
      </c>
      <c r="C317" t="s">
        <v>363</v>
      </c>
      <c r="D317" t="s">
        <v>162</v>
      </c>
      <c r="F317">
        <v>1</v>
      </c>
      <c r="H317">
        <v>7</v>
      </c>
      <c r="J317">
        <v>4</v>
      </c>
      <c r="K317">
        <v>7</v>
      </c>
      <c r="L317">
        <v>11</v>
      </c>
    </row>
    <row r="318" spans="1:12" x14ac:dyDescent="0.25">
      <c r="A318" t="s">
        <v>239</v>
      </c>
      <c r="B318" t="s">
        <v>235</v>
      </c>
      <c r="C318" t="s">
        <v>347</v>
      </c>
      <c r="D318" t="s">
        <v>244</v>
      </c>
      <c r="F318">
        <v>14</v>
      </c>
      <c r="G318">
        <v>4</v>
      </c>
      <c r="I318">
        <v>60</v>
      </c>
      <c r="J318">
        <v>17</v>
      </c>
      <c r="K318">
        <v>8</v>
      </c>
      <c r="L318">
        <v>46</v>
      </c>
    </row>
    <row r="319" spans="1:12" x14ac:dyDescent="0.25">
      <c r="A319" t="s">
        <v>760</v>
      </c>
      <c r="B319" t="s">
        <v>232</v>
      </c>
      <c r="C319" t="s">
        <v>362</v>
      </c>
      <c r="D319" t="s">
        <v>34</v>
      </c>
      <c r="H319">
        <v>10</v>
      </c>
      <c r="I319">
        <v>33</v>
      </c>
      <c r="L319">
        <v>10</v>
      </c>
    </row>
    <row r="320" spans="1:12" x14ac:dyDescent="0.25">
      <c r="A320" t="s">
        <v>760</v>
      </c>
      <c r="B320" t="s">
        <v>232</v>
      </c>
      <c r="C320" t="s">
        <v>362</v>
      </c>
      <c r="D320" t="s">
        <v>36</v>
      </c>
      <c r="H320">
        <v>10</v>
      </c>
      <c r="I320">
        <v>37</v>
      </c>
      <c r="L320">
        <v>5</v>
      </c>
    </row>
    <row r="321" spans="1:12" x14ac:dyDescent="0.25">
      <c r="A321" t="s">
        <v>760</v>
      </c>
      <c r="B321" t="s">
        <v>232</v>
      </c>
      <c r="C321" t="s">
        <v>362</v>
      </c>
      <c r="D321" t="s">
        <v>38</v>
      </c>
      <c r="H321">
        <v>10</v>
      </c>
      <c r="I321">
        <v>34</v>
      </c>
      <c r="L321">
        <v>5</v>
      </c>
    </row>
    <row r="322" spans="1:12" x14ac:dyDescent="0.25">
      <c r="A322" t="s">
        <v>760</v>
      </c>
      <c r="B322" t="s">
        <v>232</v>
      </c>
      <c r="C322" t="s">
        <v>362</v>
      </c>
      <c r="D322" t="s">
        <v>39</v>
      </c>
      <c r="H322">
        <v>15</v>
      </c>
      <c r="I322">
        <v>49</v>
      </c>
      <c r="L322">
        <v>15</v>
      </c>
    </row>
    <row r="323" spans="1:12" x14ac:dyDescent="0.25">
      <c r="A323" t="s">
        <v>760</v>
      </c>
      <c r="B323" t="s">
        <v>232</v>
      </c>
      <c r="C323" t="s">
        <v>362</v>
      </c>
      <c r="D323" t="s">
        <v>41</v>
      </c>
      <c r="H323">
        <v>10</v>
      </c>
      <c r="I323">
        <v>30</v>
      </c>
      <c r="L323">
        <v>10</v>
      </c>
    </row>
    <row r="324" spans="1:12" x14ac:dyDescent="0.25">
      <c r="A324" t="s">
        <v>760</v>
      </c>
      <c r="B324" t="s">
        <v>232</v>
      </c>
      <c r="C324" t="s">
        <v>362</v>
      </c>
      <c r="D324" t="s">
        <v>117</v>
      </c>
      <c r="H324">
        <v>114</v>
      </c>
      <c r="I324">
        <v>346</v>
      </c>
      <c r="L324">
        <v>57</v>
      </c>
    </row>
    <row r="325" spans="1:12" x14ac:dyDescent="0.25">
      <c r="A325" t="s">
        <v>760</v>
      </c>
      <c r="B325" t="s">
        <v>232</v>
      </c>
      <c r="C325" t="s">
        <v>362</v>
      </c>
      <c r="D325" t="s">
        <v>45</v>
      </c>
      <c r="H325">
        <v>15</v>
      </c>
      <c r="I325">
        <v>45</v>
      </c>
      <c r="L325">
        <v>10</v>
      </c>
    </row>
    <row r="326" spans="1:12" x14ac:dyDescent="0.25">
      <c r="A326" t="s">
        <v>760</v>
      </c>
      <c r="B326" t="s">
        <v>232</v>
      </c>
      <c r="C326" t="s">
        <v>362</v>
      </c>
      <c r="D326" t="s">
        <v>49</v>
      </c>
      <c r="H326">
        <v>15</v>
      </c>
      <c r="I326">
        <v>45</v>
      </c>
      <c r="L326">
        <v>15</v>
      </c>
    </row>
    <row r="327" spans="1:12" x14ac:dyDescent="0.25">
      <c r="A327" t="s">
        <v>760</v>
      </c>
      <c r="B327" t="s">
        <v>232</v>
      </c>
      <c r="C327" t="s">
        <v>362</v>
      </c>
      <c r="D327" t="s">
        <v>50</v>
      </c>
      <c r="H327">
        <v>37</v>
      </c>
      <c r="I327">
        <v>105</v>
      </c>
      <c r="L327">
        <v>21</v>
      </c>
    </row>
    <row r="328" spans="1:12" x14ac:dyDescent="0.25">
      <c r="A328" t="s">
        <v>760</v>
      </c>
      <c r="B328" t="s">
        <v>232</v>
      </c>
      <c r="C328" t="s">
        <v>362</v>
      </c>
      <c r="D328" t="s">
        <v>53</v>
      </c>
      <c r="H328">
        <v>21</v>
      </c>
      <c r="I328">
        <v>66</v>
      </c>
      <c r="L328">
        <v>15</v>
      </c>
    </row>
    <row r="329" spans="1:12" x14ac:dyDescent="0.25">
      <c r="A329" t="s">
        <v>760</v>
      </c>
      <c r="B329" t="s">
        <v>232</v>
      </c>
      <c r="C329" t="s">
        <v>362</v>
      </c>
      <c r="D329" t="s">
        <v>56</v>
      </c>
      <c r="H329">
        <v>9</v>
      </c>
      <c r="I329">
        <v>36</v>
      </c>
      <c r="L329">
        <v>5</v>
      </c>
    </row>
    <row r="330" spans="1:12" x14ac:dyDescent="0.25">
      <c r="A330" t="s">
        <v>760</v>
      </c>
      <c r="B330" t="s">
        <v>232</v>
      </c>
      <c r="C330" t="s">
        <v>362</v>
      </c>
      <c r="D330" t="s">
        <v>57</v>
      </c>
      <c r="H330">
        <v>37</v>
      </c>
      <c r="I330">
        <v>111</v>
      </c>
      <c r="L330">
        <v>20</v>
      </c>
    </row>
    <row r="331" spans="1:12" x14ac:dyDescent="0.25">
      <c r="A331" t="s">
        <v>760</v>
      </c>
      <c r="B331" t="s">
        <v>232</v>
      </c>
      <c r="C331" t="s">
        <v>362</v>
      </c>
      <c r="D331" t="s">
        <v>59</v>
      </c>
      <c r="H331">
        <v>15</v>
      </c>
      <c r="I331">
        <v>48</v>
      </c>
      <c r="L331">
        <v>10</v>
      </c>
    </row>
    <row r="332" spans="1:12" x14ac:dyDescent="0.25">
      <c r="A332" t="s">
        <v>760</v>
      </c>
      <c r="B332" t="s">
        <v>232</v>
      </c>
      <c r="C332" t="s">
        <v>361</v>
      </c>
      <c r="D332" t="s">
        <v>243</v>
      </c>
      <c r="H332">
        <v>56</v>
      </c>
      <c r="I332">
        <v>214</v>
      </c>
      <c r="L332">
        <v>36</v>
      </c>
    </row>
    <row r="333" spans="1:12" x14ac:dyDescent="0.25">
      <c r="A333" t="s">
        <v>760</v>
      </c>
      <c r="B333" t="s">
        <v>232</v>
      </c>
      <c r="C333" t="s">
        <v>361</v>
      </c>
      <c r="D333" t="s">
        <v>35</v>
      </c>
      <c r="H333">
        <v>5</v>
      </c>
      <c r="I333">
        <v>15</v>
      </c>
      <c r="L333">
        <v>5</v>
      </c>
    </row>
    <row r="334" spans="1:12" x14ac:dyDescent="0.25">
      <c r="A334" t="s">
        <v>760</v>
      </c>
      <c r="B334" t="s">
        <v>232</v>
      </c>
      <c r="C334" t="s">
        <v>361</v>
      </c>
      <c r="D334" t="s">
        <v>40</v>
      </c>
      <c r="H334">
        <v>5</v>
      </c>
      <c r="I334">
        <v>15</v>
      </c>
      <c r="L334">
        <v>5</v>
      </c>
    </row>
    <row r="335" spans="1:12" x14ac:dyDescent="0.25">
      <c r="A335" t="s">
        <v>760</v>
      </c>
      <c r="B335" t="s">
        <v>232</v>
      </c>
      <c r="C335" t="s">
        <v>361</v>
      </c>
      <c r="D335" t="s">
        <v>42</v>
      </c>
      <c r="H335">
        <v>19</v>
      </c>
      <c r="I335">
        <v>54</v>
      </c>
      <c r="L335">
        <v>15</v>
      </c>
    </row>
    <row r="336" spans="1:12" x14ac:dyDescent="0.25">
      <c r="A336" t="s">
        <v>760</v>
      </c>
      <c r="B336" t="s">
        <v>232</v>
      </c>
      <c r="C336" t="s">
        <v>361</v>
      </c>
      <c r="D336" t="s">
        <v>43</v>
      </c>
      <c r="H336">
        <v>51</v>
      </c>
      <c r="I336">
        <v>192</v>
      </c>
      <c r="L336">
        <v>26</v>
      </c>
    </row>
    <row r="337" spans="1:12" x14ac:dyDescent="0.25">
      <c r="A337" t="s">
        <v>760</v>
      </c>
      <c r="B337" t="s">
        <v>232</v>
      </c>
      <c r="C337" t="s">
        <v>361</v>
      </c>
      <c r="D337" t="s">
        <v>46</v>
      </c>
      <c r="H337">
        <v>4</v>
      </c>
      <c r="I337">
        <v>17</v>
      </c>
      <c r="L337">
        <v>5</v>
      </c>
    </row>
    <row r="338" spans="1:12" x14ac:dyDescent="0.25">
      <c r="A338" t="s">
        <v>760</v>
      </c>
      <c r="B338" t="s">
        <v>232</v>
      </c>
      <c r="C338" t="s">
        <v>361</v>
      </c>
      <c r="D338" t="s">
        <v>54</v>
      </c>
      <c r="H338">
        <v>10</v>
      </c>
      <c r="I338">
        <v>33</v>
      </c>
      <c r="L338">
        <v>10</v>
      </c>
    </row>
    <row r="339" spans="1:12" x14ac:dyDescent="0.25">
      <c r="A339" t="s">
        <v>760</v>
      </c>
      <c r="B339" t="s">
        <v>232</v>
      </c>
      <c r="C339" t="s">
        <v>361</v>
      </c>
      <c r="D339" t="s">
        <v>58</v>
      </c>
      <c r="H339">
        <v>10</v>
      </c>
      <c r="I339">
        <v>36</v>
      </c>
      <c r="L339">
        <v>5</v>
      </c>
    </row>
    <row r="340" spans="1:12" x14ac:dyDescent="0.25">
      <c r="A340" t="s">
        <v>760</v>
      </c>
      <c r="B340" t="s">
        <v>232</v>
      </c>
      <c r="C340" t="s">
        <v>361</v>
      </c>
      <c r="D340" t="s">
        <v>60</v>
      </c>
      <c r="H340">
        <v>10</v>
      </c>
      <c r="I340">
        <v>37</v>
      </c>
      <c r="L340">
        <v>10</v>
      </c>
    </row>
    <row r="341" spans="1:12" x14ac:dyDescent="0.25">
      <c r="A341" t="s">
        <v>760</v>
      </c>
      <c r="B341" t="s">
        <v>232</v>
      </c>
      <c r="C341" t="s">
        <v>363</v>
      </c>
      <c r="D341" t="s">
        <v>31</v>
      </c>
      <c r="H341">
        <v>35</v>
      </c>
      <c r="I341">
        <v>105</v>
      </c>
      <c r="L341">
        <v>15</v>
      </c>
    </row>
    <row r="342" spans="1:12" x14ac:dyDescent="0.25">
      <c r="A342" t="s">
        <v>760</v>
      </c>
      <c r="B342" t="s">
        <v>232</v>
      </c>
      <c r="C342" t="s">
        <v>363</v>
      </c>
      <c r="D342" t="s">
        <v>32</v>
      </c>
      <c r="H342">
        <v>4</v>
      </c>
      <c r="I342">
        <v>22</v>
      </c>
      <c r="L342">
        <v>6</v>
      </c>
    </row>
    <row r="343" spans="1:12" x14ac:dyDescent="0.25">
      <c r="A343" t="s">
        <v>760</v>
      </c>
      <c r="B343" t="s">
        <v>232</v>
      </c>
      <c r="C343" t="s">
        <v>363</v>
      </c>
      <c r="D343" t="s">
        <v>33</v>
      </c>
      <c r="H343">
        <v>5</v>
      </c>
      <c r="I343">
        <v>17</v>
      </c>
      <c r="L343">
        <v>5</v>
      </c>
    </row>
    <row r="344" spans="1:12" x14ac:dyDescent="0.25">
      <c r="A344" t="s">
        <v>760</v>
      </c>
      <c r="B344" t="s">
        <v>232</v>
      </c>
      <c r="C344" t="s">
        <v>363</v>
      </c>
      <c r="D344" t="s">
        <v>37</v>
      </c>
      <c r="H344">
        <v>36</v>
      </c>
      <c r="I344">
        <v>126</v>
      </c>
      <c r="L344">
        <v>20</v>
      </c>
    </row>
    <row r="345" spans="1:12" x14ac:dyDescent="0.25">
      <c r="A345" t="s">
        <v>760</v>
      </c>
      <c r="B345" t="s">
        <v>232</v>
      </c>
      <c r="C345" t="s">
        <v>363</v>
      </c>
      <c r="D345" t="s">
        <v>44</v>
      </c>
      <c r="H345">
        <v>14</v>
      </c>
      <c r="I345">
        <v>52</v>
      </c>
      <c r="L345">
        <v>5</v>
      </c>
    </row>
    <row r="346" spans="1:12" x14ac:dyDescent="0.25">
      <c r="A346" t="s">
        <v>760</v>
      </c>
      <c r="B346" t="s">
        <v>232</v>
      </c>
      <c r="C346" t="s">
        <v>363</v>
      </c>
      <c r="D346" t="s">
        <v>47</v>
      </c>
      <c r="H346">
        <v>5</v>
      </c>
      <c r="I346">
        <v>20</v>
      </c>
      <c r="L346">
        <v>5</v>
      </c>
    </row>
    <row r="347" spans="1:12" x14ac:dyDescent="0.25">
      <c r="A347" t="s">
        <v>760</v>
      </c>
      <c r="B347" t="s">
        <v>232</v>
      </c>
      <c r="C347" t="s">
        <v>363</v>
      </c>
      <c r="D347" t="s">
        <v>52</v>
      </c>
      <c r="H347">
        <v>10</v>
      </c>
      <c r="I347">
        <v>52</v>
      </c>
      <c r="L347">
        <v>5</v>
      </c>
    </row>
    <row r="348" spans="1:12" x14ac:dyDescent="0.25">
      <c r="A348" t="s">
        <v>760</v>
      </c>
      <c r="B348" t="s">
        <v>233</v>
      </c>
      <c r="D348" t="s">
        <v>762</v>
      </c>
      <c r="F348">
        <v>1</v>
      </c>
      <c r="H348">
        <v>6</v>
      </c>
      <c r="I348">
        <v>4</v>
      </c>
      <c r="J348">
        <v>4</v>
      </c>
      <c r="K348">
        <v>12</v>
      </c>
      <c r="L348">
        <v>11</v>
      </c>
    </row>
    <row r="349" spans="1:12" x14ac:dyDescent="0.25">
      <c r="A349" t="s">
        <v>760</v>
      </c>
      <c r="B349" t="s">
        <v>233</v>
      </c>
      <c r="C349" t="s">
        <v>362</v>
      </c>
      <c r="D349" t="s">
        <v>64</v>
      </c>
      <c r="F349">
        <v>1</v>
      </c>
      <c r="H349">
        <v>7</v>
      </c>
      <c r="I349">
        <v>2</v>
      </c>
      <c r="J349">
        <v>3</v>
      </c>
      <c r="K349">
        <v>8</v>
      </c>
      <c r="L349">
        <v>7</v>
      </c>
    </row>
    <row r="350" spans="1:12" x14ac:dyDescent="0.25">
      <c r="A350" t="s">
        <v>760</v>
      </c>
      <c r="B350" t="s">
        <v>233</v>
      </c>
      <c r="C350" t="s">
        <v>362</v>
      </c>
      <c r="D350" t="s">
        <v>36</v>
      </c>
      <c r="F350">
        <v>1</v>
      </c>
      <c r="H350">
        <v>3</v>
      </c>
      <c r="I350">
        <v>1.83</v>
      </c>
      <c r="J350">
        <v>2</v>
      </c>
      <c r="K350">
        <v>6</v>
      </c>
      <c r="L350">
        <v>8</v>
      </c>
    </row>
    <row r="351" spans="1:12" x14ac:dyDescent="0.25">
      <c r="A351" t="s">
        <v>760</v>
      </c>
      <c r="B351" t="s">
        <v>233</v>
      </c>
      <c r="C351" t="s">
        <v>362</v>
      </c>
      <c r="D351" t="s">
        <v>66</v>
      </c>
      <c r="F351">
        <v>1</v>
      </c>
      <c r="H351">
        <v>5</v>
      </c>
      <c r="I351">
        <v>0.6</v>
      </c>
      <c r="J351">
        <v>3</v>
      </c>
      <c r="K351">
        <v>10</v>
      </c>
      <c r="L351">
        <v>8</v>
      </c>
    </row>
    <row r="352" spans="1:12" x14ac:dyDescent="0.25">
      <c r="A352" t="s">
        <v>760</v>
      </c>
      <c r="B352" t="s">
        <v>233</v>
      </c>
      <c r="C352" t="s">
        <v>362</v>
      </c>
      <c r="D352" t="s">
        <v>68</v>
      </c>
      <c r="F352">
        <v>1</v>
      </c>
      <c r="I352">
        <v>1</v>
      </c>
      <c r="J352">
        <v>4</v>
      </c>
      <c r="K352">
        <v>4</v>
      </c>
      <c r="L352">
        <v>3</v>
      </c>
    </row>
    <row r="353" spans="1:12" x14ac:dyDescent="0.25">
      <c r="A353" t="s">
        <v>760</v>
      </c>
      <c r="B353" t="s">
        <v>233</v>
      </c>
      <c r="C353" t="s">
        <v>362</v>
      </c>
      <c r="D353" t="s">
        <v>117</v>
      </c>
      <c r="F353">
        <v>1</v>
      </c>
      <c r="H353">
        <v>2</v>
      </c>
      <c r="I353">
        <v>2</v>
      </c>
      <c r="J353">
        <v>5</v>
      </c>
      <c r="K353">
        <v>10</v>
      </c>
      <c r="L353">
        <v>5</v>
      </c>
    </row>
    <row r="354" spans="1:12" x14ac:dyDescent="0.25">
      <c r="A354" t="s">
        <v>760</v>
      </c>
      <c r="B354" t="s">
        <v>233</v>
      </c>
      <c r="C354" t="s">
        <v>362</v>
      </c>
      <c r="D354" t="s">
        <v>50</v>
      </c>
      <c r="F354">
        <v>1</v>
      </c>
      <c r="H354">
        <v>2</v>
      </c>
      <c r="I354">
        <v>1</v>
      </c>
      <c r="J354">
        <v>2</v>
      </c>
      <c r="K354">
        <v>5</v>
      </c>
      <c r="L354">
        <v>5</v>
      </c>
    </row>
    <row r="355" spans="1:12" x14ac:dyDescent="0.25">
      <c r="A355" t="s">
        <v>760</v>
      </c>
      <c r="B355" t="s">
        <v>233</v>
      </c>
      <c r="C355" t="s">
        <v>362</v>
      </c>
      <c r="D355" t="s">
        <v>57</v>
      </c>
      <c r="F355">
        <v>1</v>
      </c>
      <c r="H355">
        <v>3</v>
      </c>
      <c r="J355">
        <v>2</v>
      </c>
      <c r="K355">
        <v>6</v>
      </c>
      <c r="L355">
        <v>4</v>
      </c>
    </row>
    <row r="356" spans="1:12" x14ac:dyDescent="0.25">
      <c r="A356" t="s">
        <v>760</v>
      </c>
      <c r="B356" t="s">
        <v>233</v>
      </c>
      <c r="C356" t="s">
        <v>361</v>
      </c>
      <c r="D356" t="s">
        <v>67</v>
      </c>
      <c r="F356">
        <v>1</v>
      </c>
      <c r="H356">
        <v>5</v>
      </c>
      <c r="I356">
        <v>4</v>
      </c>
      <c r="J356">
        <v>3</v>
      </c>
      <c r="K356">
        <v>7</v>
      </c>
      <c r="L356">
        <v>9</v>
      </c>
    </row>
    <row r="357" spans="1:12" x14ac:dyDescent="0.25">
      <c r="A357" t="s">
        <v>760</v>
      </c>
      <c r="B357" t="s">
        <v>233</v>
      </c>
      <c r="C357" t="s">
        <v>361</v>
      </c>
      <c r="D357" t="s">
        <v>165</v>
      </c>
      <c r="F357">
        <v>1</v>
      </c>
      <c r="H357">
        <v>4</v>
      </c>
      <c r="I357">
        <v>3.5</v>
      </c>
      <c r="J357">
        <v>4</v>
      </c>
      <c r="K357">
        <v>5</v>
      </c>
      <c r="L357">
        <v>10</v>
      </c>
    </row>
    <row r="358" spans="1:12" x14ac:dyDescent="0.25">
      <c r="A358" t="s">
        <v>760</v>
      </c>
      <c r="B358" t="s">
        <v>233</v>
      </c>
      <c r="C358" t="s">
        <v>361</v>
      </c>
      <c r="D358" t="s">
        <v>69</v>
      </c>
      <c r="F358">
        <v>1</v>
      </c>
      <c r="H358">
        <v>2</v>
      </c>
      <c r="I358">
        <v>2</v>
      </c>
      <c r="J358">
        <v>2</v>
      </c>
      <c r="K358">
        <v>6</v>
      </c>
      <c r="L358">
        <v>6</v>
      </c>
    </row>
    <row r="359" spans="1:12" x14ac:dyDescent="0.25">
      <c r="A359" t="s">
        <v>760</v>
      </c>
      <c r="B359" t="s">
        <v>233</v>
      </c>
      <c r="C359" t="s">
        <v>363</v>
      </c>
      <c r="D359" t="s">
        <v>31</v>
      </c>
      <c r="F359">
        <v>1</v>
      </c>
      <c r="H359">
        <v>2</v>
      </c>
      <c r="I359">
        <v>1</v>
      </c>
      <c r="J359">
        <v>2</v>
      </c>
      <c r="K359">
        <v>3</v>
      </c>
      <c r="L359">
        <v>4</v>
      </c>
    </row>
    <row r="360" spans="1:12" x14ac:dyDescent="0.25">
      <c r="A360" t="s">
        <v>760</v>
      </c>
      <c r="B360" t="s">
        <v>233</v>
      </c>
      <c r="C360" t="s">
        <v>363</v>
      </c>
      <c r="D360" t="s">
        <v>63</v>
      </c>
      <c r="F360">
        <v>1</v>
      </c>
      <c r="H360">
        <v>4</v>
      </c>
      <c r="I360">
        <v>1</v>
      </c>
      <c r="J360">
        <v>3</v>
      </c>
      <c r="K360">
        <v>9</v>
      </c>
      <c r="L360">
        <v>7</v>
      </c>
    </row>
    <row r="361" spans="1:12" x14ac:dyDescent="0.25">
      <c r="A361" t="s">
        <v>760</v>
      </c>
      <c r="B361" t="s">
        <v>233</v>
      </c>
      <c r="C361" t="s">
        <v>363</v>
      </c>
      <c r="D361" t="s">
        <v>65</v>
      </c>
      <c r="F361">
        <v>1</v>
      </c>
      <c r="H361">
        <v>4</v>
      </c>
      <c r="I361">
        <v>2</v>
      </c>
      <c r="J361">
        <v>4</v>
      </c>
      <c r="K361">
        <v>9</v>
      </c>
      <c r="L361">
        <v>11</v>
      </c>
    </row>
    <row r="362" spans="1:12" x14ac:dyDescent="0.25">
      <c r="A362" t="s">
        <v>760</v>
      </c>
      <c r="B362" t="s">
        <v>233</v>
      </c>
      <c r="C362" t="s">
        <v>363</v>
      </c>
      <c r="D362" t="s">
        <v>70</v>
      </c>
      <c r="F362">
        <v>1</v>
      </c>
      <c r="H362">
        <v>8</v>
      </c>
      <c r="I362">
        <v>1</v>
      </c>
      <c r="J362">
        <v>4</v>
      </c>
      <c r="K362">
        <v>13</v>
      </c>
      <c r="L362">
        <v>11</v>
      </c>
    </row>
    <row r="363" spans="1:12" x14ac:dyDescent="0.25">
      <c r="A363" t="s">
        <v>760</v>
      </c>
      <c r="B363" t="s">
        <v>233</v>
      </c>
      <c r="C363" t="s">
        <v>363</v>
      </c>
      <c r="D363" t="s">
        <v>71</v>
      </c>
      <c r="F363">
        <v>1</v>
      </c>
      <c r="H363">
        <v>1</v>
      </c>
      <c r="J363">
        <v>3</v>
      </c>
      <c r="K363">
        <v>5</v>
      </c>
      <c r="L363">
        <v>4</v>
      </c>
    </row>
    <row r="364" spans="1:12" x14ac:dyDescent="0.25">
      <c r="A364" t="s">
        <v>760</v>
      </c>
      <c r="B364" t="s">
        <v>234</v>
      </c>
      <c r="C364" t="s">
        <v>362</v>
      </c>
      <c r="D364" t="s">
        <v>163</v>
      </c>
      <c r="F364">
        <v>3</v>
      </c>
      <c r="H364">
        <v>21</v>
      </c>
      <c r="J364">
        <v>10</v>
      </c>
      <c r="K364">
        <v>14</v>
      </c>
      <c r="L364">
        <v>55</v>
      </c>
    </row>
    <row r="365" spans="1:12" x14ac:dyDescent="0.25">
      <c r="A365" t="s">
        <v>760</v>
      </c>
      <c r="B365" t="s">
        <v>234</v>
      </c>
      <c r="C365" t="s">
        <v>361</v>
      </c>
      <c r="D365" t="s">
        <v>164</v>
      </c>
      <c r="F365">
        <v>1</v>
      </c>
      <c r="H365">
        <v>6</v>
      </c>
      <c r="J365">
        <v>4</v>
      </c>
      <c r="K365">
        <v>8</v>
      </c>
      <c r="L365">
        <v>33</v>
      </c>
    </row>
    <row r="366" spans="1:12" x14ac:dyDescent="0.25">
      <c r="A366" t="s">
        <v>760</v>
      </c>
      <c r="B366" t="s">
        <v>234</v>
      </c>
      <c r="C366" t="s">
        <v>363</v>
      </c>
      <c r="D366" t="s">
        <v>162</v>
      </c>
      <c r="F366">
        <v>2</v>
      </c>
      <c r="H366">
        <v>6</v>
      </c>
      <c r="J366">
        <v>3</v>
      </c>
      <c r="K366">
        <v>7</v>
      </c>
      <c r="L366">
        <v>24</v>
      </c>
    </row>
    <row r="367" spans="1:12" x14ac:dyDescent="0.25">
      <c r="A367" t="s">
        <v>760</v>
      </c>
      <c r="B367" t="s">
        <v>235</v>
      </c>
      <c r="C367" t="s">
        <v>347</v>
      </c>
      <c r="D367" t="s">
        <v>244</v>
      </c>
      <c r="F367">
        <v>9</v>
      </c>
      <c r="G367">
        <v>6</v>
      </c>
      <c r="I367">
        <v>49</v>
      </c>
      <c r="J367">
        <v>13</v>
      </c>
      <c r="K367">
        <v>6</v>
      </c>
      <c r="L367">
        <v>7</v>
      </c>
    </row>
    <row r="368" spans="1:12" x14ac:dyDescent="0.25">
      <c r="A368" t="s">
        <v>917</v>
      </c>
      <c r="B368" t="s">
        <v>232</v>
      </c>
      <c r="C368" t="s">
        <v>1050</v>
      </c>
      <c r="D368" t="s">
        <v>35</v>
      </c>
      <c r="H368">
        <v>5</v>
      </c>
      <c r="I368">
        <v>13</v>
      </c>
      <c r="L368">
        <v>6</v>
      </c>
    </row>
    <row r="369" spans="1:12" x14ac:dyDescent="0.25">
      <c r="A369" t="s">
        <v>917</v>
      </c>
      <c r="B369" t="s">
        <v>232</v>
      </c>
      <c r="C369" t="s">
        <v>1050</v>
      </c>
      <c r="D369" t="s">
        <v>43</v>
      </c>
      <c r="H369">
        <v>50</v>
      </c>
      <c r="I369">
        <v>179</v>
      </c>
      <c r="L369">
        <v>25</v>
      </c>
    </row>
    <row r="370" spans="1:12" x14ac:dyDescent="0.25">
      <c r="A370" t="s">
        <v>917</v>
      </c>
      <c r="B370" t="s">
        <v>232</v>
      </c>
      <c r="C370" t="s">
        <v>1050</v>
      </c>
      <c r="D370" t="s">
        <v>58</v>
      </c>
      <c r="H370">
        <v>10</v>
      </c>
      <c r="I370">
        <v>37</v>
      </c>
      <c r="L370">
        <v>5</v>
      </c>
    </row>
    <row r="371" spans="1:12" x14ac:dyDescent="0.25">
      <c r="A371" t="s">
        <v>917</v>
      </c>
      <c r="B371" t="s">
        <v>232</v>
      </c>
      <c r="C371" t="s">
        <v>362</v>
      </c>
      <c r="D371" t="s">
        <v>34</v>
      </c>
      <c r="H371">
        <v>10</v>
      </c>
      <c r="I371">
        <v>32</v>
      </c>
      <c r="L371">
        <v>10</v>
      </c>
    </row>
    <row r="372" spans="1:12" x14ac:dyDescent="0.25">
      <c r="A372" t="s">
        <v>917</v>
      </c>
      <c r="B372" t="s">
        <v>232</v>
      </c>
      <c r="C372" t="s">
        <v>362</v>
      </c>
      <c r="D372" t="s">
        <v>36</v>
      </c>
      <c r="H372">
        <v>10</v>
      </c>
      <c r="I372">
        <v>36</v>
      </c>
      <c r="L372">
        <v>5</v>
      </c>
    </row>
    <row r="373" spans="1:12" x14ac:dyDescent="0.25">
      <c r="A373" t="s">
        <v>917</v>
      </c>
      <c r="B373" t="s">
        <v>232</v>
      </c>
      <c r="C373" t="s">
        <v>362</v>
      </c>
      <c r="D373" t="s">
        <v>38</v>
      </c>
      <c r="H373">
        <v>10</v>
      </c>
      <c r="I373">
        <v>32</v>
      </c>
      <c r="L373">
        <v>5</v>
      </c>
    </row>
    <row r="374" spans="1:12" x14ac:dyDescent="0.25">
      <c r="A374" t="s">
        <v>917</v>
      </c>
      <c r="B374" t="s">
        <v>232</v>
      </c>
      <c r="C374" t="s">
        <v>362</v>
      </c>
      <c r="D374" t="s">
        <v>39</v>
      </c>
      <c r="H374">
        <v>14</v>
      </c>
      <c r="I374">
        <v>46</v>
      </c>
      <c r="L374">
        <v>16</v>
      </c>
    </row>
    <row r="375" spans="1:12" x14ac:dyDescent="0.25">
      <c r="A375" t="s">
        <v>917</v>
      </c>
      <c r="B375" t="s">
        <v>232</v>
      </c>
      <c r="C375" t="s">
        <v>362</v>
      </c>
      <c r="D375" t="s">
        <v>41</v>
      </c>
      <c r="H375">
        <v>10</v>
      </c>
      <c r="I375">
        <v>28</v>
      </c>
      <c r="L375">
        <v>10</v>
      </c>
    </row>
    <row r="376" spans="1:12" x14ac:dyDescent="0.25">
      <c r="A376" t="s">
        <v>917</v>
      </c>
      <c r="B376" t="s">
        <v>232</v>
      </c>
      <c r="C376" t="s">
        <v>362</v>
      </c>
      <c r="D376" t="s">
        <v>117</v>
      </c>
      <c r="H376">
        <v>109</v>
      </c>
      <c r="I376">
        <v>335</v>
      </c>
      <c r="L376">
        <v>55</v>
      </c>
    </row>
    <row r="377" spans="1:12" x14ac:dyDescent="0.25">
      <c r="A377" t="s">
        <v>917</v>
      </c>
      <c r="B377" t="s">
        <v>232</v>
      </c>
      <c r="C377" t="s">
        <v>362</v>
      </c>
      <c r="D377" t="s">
        <v>45</v>
      </c>
      <c r="H377">
        <v>15</v>
      </c>
      <c r="I377">
        <v>45</v>
      </c>
      <c r="L377">
        <v>10</v>
      </c>
    </row>
    <row r="378" spans="1:12" x14ac:dyDescent="0.25">
      <c r="A378" t="s">
        <v>917</v>
      </c>
      <c r="B378" t="s">
        <v>232</v>
      </c>
      <c r="C378" t="s">
        <v>362</v>
      </c>
      <c r="D378" t="s">
        <v>49</v>
      </c>
      <c r="H378">
        <v>15</v>
      </c>
      <c r="I378">
        <v>45</v>
      </c>
      <c r="L378">
        <v>15</v>
      </c>
    </row>
    <row r="379" spans="1:12" x14ac:dyDescent="0.25">
      <c r="A379" t="s">
        <v>917</v>
      </c>
      <c r="B379" t="s">
        <v>232</v>
      </c>
      <c r="C379" t="s">
        <v>362</v>
      </c>
      <c r="D379" t="s">
        <v>50</v>
      </c>
      <c r="H379">
        <v>35</v>
      </c>
      <c r="I379">
        <v>105</v>
      </c>
      <c r="L379">
        <v>20</v>
      </c>
    </row>
    <row r="380" spans="1:12" x14ac:dyDescent="0.25">
      <c r="A380" t="s">
        <v>917</v>
      </c>
      <c r="B380" t="s">
        <v>232</v>
      </c>
      <c r="C380" t="s">
        <v>362</v>
      </c>
      <c r="D380" t="s">
        <v>53</v>
      </c>
      <c r="H380">
        <v>21</v>
      </c>
      <c r="I380">
        <v>64</v>
      </c>
      <c r="L380">
        <v>15</v>
      </c>
    </row>
    <row r="381" spans="1:12" x14ac:dyDescent="0.25">
      <c r="A381" t="s">
        <v>917</v>
      </c>
      <c r="B381" t="s">
        <v>232</v>
      </c>
      <c r="C381" t="s">
        <v>362</v>
      </c>
      <c r="D381" t="s">
        <v>56</v>
      </c>
      <c r="H381">
        <v>10</v>
      </c>
      <c r="I381">
        <v>36</v>
      </c>
      <c r="L381">
        <v>5</v>
      </c>
    </row>
    <row r="382" spans="1:12" x14ac:dyDescent="0.25">
      <c r="A382" t="s">
        <v>917</v>
      </c>
      <c r="B382" t="s">
        <v>232</v>
      </c>
      <c r="C382" t="s">
        <v>362</v>
      </c>
      <c r="D382" t="s">
        <v>57</v>
      </c>
      <c r="H382">
        <v>37</v>
      </c>
      <c r="I382">
        <v>111</v>
      </c>
      <c r="L382">
        <v>20</v>
      </c>
    </row>
    <row r="383" spans="1:12" x14ac:dyDescent="0.25">
      <c r="A383" t="s">
        <v>917</v>
      </c>
      <c r="B383" t="s">
        <v>232</v>
      </c>
      <c r="C383" t="s">
        <v>362</v>
      </c>
      <c r="D383" t="s">
        <v>59</v>
      </c>
      <c r="H383">
        <v>17</v>
      </c>
      <c r="I383">
        <v>46</v>
      </c>
      <c r="L383">
        <v>10</v>
      </c>
    </row>
    <row r="384" spans="1:12" x14ac:dyDescent="0.25">
      <c r="A384" t="s">
        <v>917</v>
      </c>
      <c r="B384" t="s">
        <v>232</v>
      </c>
      <c r="C384" t="s">
        <v>361</v>
      </c>
      <c r="D384" t="s">
        <v>243</v>
      </c>
      <c r="H384">
        <v>58</v>
      </c>
      <c r="I384">
        <v>205.5</v>
      </c>
      <c r="L384">
        <v>36</v>
      </c>
    </row>
    <row r="385" spans="1:12" x14ac:dyDescent="0.25">
      <c r="A385" t="s">
        <v>917</v>
      </c>
      <c r="B385" t="s">
        <v>232</v>
      </c>
      <c r="C385" t="s">
        <v>361</v>
      </c>
      <c r="D385" t="s">
        <v>40</v>
      </c>
      <c r="H385">
        <v>5</v>
      </c>
      <c r="I385">
        <v>16</v>
      </c>
      <c r="L385">
        <v>5</v>
      </c>
    </row>
    <row r="386" spans="1:12" x14ac:dyDescent="0.25">
      <c r="A386" t="s">
        <v>917</v>
      </c>
      <c r="B386" t="s">
        <v>232</v>
      </c>
      <c r="C386" t="s">
        <v>361</v>
      </c>
      <c r="D386" t="s">
        <v>42</v>
      </c>
      <c r="H386">
        <v>20</v>
      </c>
      <c r="I386">
        <v>53</v>
      </c>
      <c r="L386">
        <v>15</v>
      </c>
    </row>
    <row r="387" spans="1:12" x14ac:dyDescent="0.25">
      <c r="A387" t="s">
        <v>917</v>
      </c>
      <c r="B387" t="s">
        <v>232</v>
      </c>
      <c r="C387" t="s">
        <v>361</v>
      </c>
      <c r="D387" t="s">
        <v>46</v>
      </c>
      <c r="H387">
        <v>5</v>
      </c>
      <c r="I387">
        <v>17</v>
      </c>
      <c r="L387">
        <v>5</v>
      </c>
    </row>
    <row r="388" spans="1:12" x14ac:dyDescent="0.25">
      <c r="A388" t="s">
        <v>917</v>
      </c>
      <c r="B388" t="s">
        <v>232</v>
      </c>
      <c r="C388" t="s">
        <v>361</v>
      </c>
      <c r="D388" t="s">
        <v>54</v>
      </c>
      <c r="H388">
        <v>8</v>
      </c>
      <c r="I388">
        <v>33</v>
      </c>
      <c r="L388">
        <v>10</v>
      </c>
    </row>
    <row r="389" spans="1:12" x14ac:dyDescent="0.25">
      <c r="A389" t="s">
        <v>917</v>
      </c>
      <c r="B389" t="s">
        <v>232</v>
      </c>
      <c r="C389" t="s">
        <v>361</v>
      </c>
      <c r="D389" t="s">
        <v>60</v>
      </c>
      <c r="H389">
        <v>11</v>
      </c>
      <c r="I389">
        <v>35</v>
      </c>
      <c r="L389">
        <v>10</v>
      </c>
    </row>
    <row r="390" spans="1:12" x14ac:dyDescent="0.25">
      <c r="A390" t="s">
        <v>917</v>
      </c>
      <c r="B390" t="s">
        <v>232</v>
      </c>
      <c r="C390" t="s">
        <v>363</v>
      </c>
      <c r="D390" t="s">
        <v>31</v>
      </c>
      <c r="H390">
        <v>35</v>
      </c>
      <c r="I390">
        <v>99</v>
      </c>
      <c r="L390">
        <v>15</v>
      </c>
    </row>
    <row r="391" spans="1:12" x14ac:dyDescent="0.25">
      <c r="A391" t="s">
        <v>917</v>
      </c>
      <c r="B391" t="s">
        <v>232</v>
      </c>
      <c r="C391" t="s">
        <v>363</v>
      </c>
      <c r="D391" t="s">
        <v>32</v>
      </c>
      <c r="H391">
        <v>5</v>
      </c>
      <c r="I391">
        <v>19</v>
      </c>
      <c r="L391">
        <v>5</v>
      </c>
    </row>
    <row r="392" spans="1:12" x14ac:dyDescent="0.25">
      <c r="A392" t="s">
        <v>917</v>
      </c>
      <c r="B392" t="s">
        <v>232</v>
      </c>
      <c r="C392" t="s">
        <v>363</v>
      </c>
      <c r="D392" t="s">
        <v>33</v>
      </c>
      <c r="H392">
        <v>5</v>
      </c>
      <c r="I392">
        <v>17</v>
      </c>
      <c r="L392">
        <v>5</v>
      </c>
    </row>
    <row r="393" spans="1:12" x14ac:dyDescent="0.25">
      <c r="A393" t="s">
        <v>917</v>
      </c>
      <c r="B393" t="s">
        <v>232</v>
      </c>
      <c r="C393" t="s">
        <v>363</v>
      </c>
      <c r="D393" t="s">
        <v>37</v>
      </c>
      <c r="H393">
        <v>36</v>
      </c>
      <c r="I393">
        <v>127</v>
      </c>
      <c r="L393">
        <v>19</v>
      </c>
    </row>
    <row r="394" spans="1:12" x14ac:dyDescent="0.25">
      <c r="A394" t="s">
        <v>917</v>
      </c>
      <c r="B394" t="s">
        <v>232</v>
      </c>
      <c r="C394" t="s">
        <v>363</v>
      </c>
      <c r="D394" t="s">
        <v>44</v>
      </c>
      <c r="H394">
        <v>15</v>
      </c>
      <c r="I394">
        <v>54</v>
      </c>
      <c r="L394">
        <v>5</v>
      </c>
    </row>
    <row r="395" spans="1:12" x14ac:dyDescent="0.25">
      <c r="A395" t="s">
        <v>917</v>
      </c>
      <c r="B395" t="s">
        <v>232</v>
      </c>
      <c r="C395" t="s">
        <v>363</v>
      </c>
      <c r="D395" t="s">
        <v>47</v>
      </c>
      <c r="H395">
        <v>5</v>
      </c>
      <c r="I395">
        <v>20</v>
      </c>
      <c r="L395">
        <v>5</v>
      </c>
    </row>
    <row r="396" spans="1:12" x14ac:dyDescent="0.25">
      <c r="A396" t="s">
        <v>917</v>
      </c>
      <c r="B396" t="s">
        <v>232</v>
      </c>
      <c r="C396" t="s">
        <v>363</v>
      </c>
      <c r="D396" t="s">
        <v>52</v>
      </c>
      <c r="H396">
        <v>10</v>
      </c>
      <c r="I396">
        <v>48</v>
      </c>
      <c r="L396">
        <v>5</v>
      </c>
    </row>
    <row r="397" spans="1:12" x14ac:dyDescent="0.25">
      <c r="A397" t="s">
        <v>917</v>
      </c>
      <c r="B397" t="s">
        <v>233</v>
      </c>
      <c r="D397" t="s">
        <v>762</v>
      </c>
      <c r="F397">
        <v>1</v>
      </c>
      <c r="H397">
        <v>6</v>
      </c>
      <c r="I397">
        <v>4</v>
      </c>
      <c r="J397">
        <v>4</v>
      </c>
      <c r="K397">
        <v>11</v>
      </c>
      <c r="L397">
        <v>11</v>
      </c>
    </row>
    <row r="398" spans="1:12" x14ac:dyDescent="0.25">
      <c r="A398" t="s">
        <v>917</v>
      </c>
      <c r="B398" t="s">
        <v>233</v>
      </c>
      <c r="C398" t="s">
        <v>362</v>
      </c>
      <c r="D398" t="s">
        <v>64</v>
      </c>
      <c r="F398">
        <v>1</v>
      </c>
      <c r="H398">
        <v>6</v>
      </c>
      <c r="I398">
        <v>2</v>
      </c>
      <c r="J398">
        <v>3</v>
      </c>
      <c r="K398">
        <v>7</v>
      </c>
      <c r="L398">
        <v>7</v>
      </c>
    </row>
    <row r="399" spans="1:12" x14ac:dyDescent="0.25">
      <c r="A399" t="s">
        <v>917</v>
      </c>
      <c r="B399" t="s">
        <v>233</v>
      </c>
      <c r="C399" t="s">
        <v>362</v>
      </c>
      <c r="D399" t="s">
        <v>36</v>
      </c>
      <c r="F399">
        <v>1</v>
      </c>
      <c r="H399">
        <v>4</v>
      </c>
      <c r="I399">
        <v>1.83</v>
      </c>
      <c r="J399">
        <v>2</v>
      </c>
      <c r="K399">
        <v>6</v>
      </c>
      <c r="L399">
        <v>6</v>
      </c>
    </row>
    <row r="400" spans="1:12" x14ac:dyDescent="0.25">
      <c r="A400" t="s">
        <v>917</v>
      </c>
      <c r="B400" t="s">
        <v>233</v>
      </c>
      <c r="C400" t="s">
        <v>362</v>
      </c>
      <c r="D400" t="s">
        <v>66</v>
      </c>
      <c r="F400">
        <v>1</v>
      </c>
      <c r="H400">
        <v>5</v>
      </c>
      <c r="I400">
        <v>0.6</v>
      </c>
      <c r="J400">
        <v>3</v>
      </c>
      <c r="K400">
        <v>9</v>
      </c>
      <c r="L400">
        <v>8</v>
      </c>
    </row>
    <row r="401" spans="1:12" x14ac:dyDescent="0.25">
      <c r="A401" t="s">
        <v>917</v>
      </c>
      <c r="B401" t="s">
        <v>233</v>
      </c>
      <c r="C401" t="s">
        <v>362</v>
      </c>
      <c r="D401" t="s">
        <v>68</v>
      </c>
      <c r="F401">
        <v>1</v>
      </c>
      <c r="H401">
        <v>2</v>
      </c>
      <c r="I401">
        <v>1</v>
      </c>
      <c r="J401">
        <v>4</v>
      </c>
      <c r="K401">
        <v>5</v>
      </c>
      <c r="L401">
        <v>4</v>
      </c>
    </row>
    <row r="402" spans="1:12" x14ac:dyDescent="0.25">
      <c r="A402" t="s">
        <v>917</v>
      </c>
      <c r="B402" t="s">
        <v>233</v>
      </c>
      <c r="C402" t="s">
        <v>362</v>
      </c>
      <c r="D402" t="s">
        <v>117</v>
      </c>
      <c r="F402">
        <v>1</v>
      </c>
      <c r="H402">
        <v>2</v>
      </c>
      <c r="I402">
        <v>2</v>
      </c>
      <c r="J402">
        <v>5</v>
      </c>
      <c r="K402">
        <v>9</v>
      </c>
      <c r="L402">
        <v>7</v>
      </c>
    </row>
    <row r="403" spans="1:12" x14ac:dyDescent="0.25">
      <c r="A403" t="s">
        <v>917</v>
      </c>
      <c r="B403" t="s">
        <v>233</v>
      </c>
      <c r="C403" t="s">
        <v>362</v>
      </c>
      <c r="D403" t="s">
        <v>50</v>
      </c>
      <c r="F403">
        <v>1</v>
      </c>
      <c r="H403">
        <v>2</v>
      </c>
      <c r="J403">
        <v>2</v>
      </c>
      <c r="K403">
        <v>5</v>
      </c>
      <c r="L403">
        <v>5</v>
      </c>
    </row>
    <row r="404" spans="1:12" x14ac:dyDescent="0.25">
      <c r="A404" t="s">
        <v>917</v>
      </c>
      <c r="B404" t="s">
        <v>233</v>
      </c>
      <c r="C404" t="s">
        <v>362</v>
      </c>
      <c r="D404" t="s">
        <v>57</v>
      </c>
      <c r="F404">
        <v>1</v>
      </c>
      <c r="H404">
        <v>3</v>
      </c>
      <c r="J404">
        <v>2</v>
      </c>
      <c r="K404">
        <v>6</v>
      </c>
      <c r="L404">
        <v>4</v>
      </c>
    </row>
    <row r="405" spans="1:12" x14ac:dyDescent="0.25">
      <c r="A405" t="s">
        <v>917</v>
      </c>
      <c r="B405" t="s">
        <v>233</v>
      </c>
      <c r="C405" t="s">
        <v>361</v>
      </c>
      <c r="D405" t="s">
        <v>67</v>
      </c>
      <c r="F405">
        <v>1</v>
      </c>
      <c r="H405">
        <v>3</v>
      </c>
      <c r="I405">
        <v>4</v>
      </c>
      <c r="J405">
        <v>3</v>
      </c>
      <c r="K405">
        <v>7</v>
      </c>
      <c r="L405">
        <v>10</v>
      </c>
    </row>
    <row r="406" spans="1:12" x14ac:dyDescent="0.25">
      <c r="A406" t="s">
        <v>917</v>
      </c>
      <c r="B406" t="s">
        <v>233</v>
      </c>
      <c r="C406" t="s">
        <v>361</v>
      </c>
      <c r="D406" t="s">
        <v>165</v>
      </c>
      <c r="F406">
        <v>1</v>
      </c>
      <c r="H406">
        <v>3</v>
      </c>
      <c r="I406">
        <v>3.5</v>
      </c>
      <c r="J406">
        <v>3</v>
      </c>
      <c r="K406">
        <v>7</v>
      </c>
      <c r="L406">
        <v>10</v>
      </c>
    </row>
    <row r="407" spans="1:12" x14ac:dyDescent="0.25">
      <c r="A407" t="s">
        <v>917</v>
      </c>
      <c r="B407" t="s">
        <v>233</v>
      </c>
      <c r="C407" t="s">
        <v>361</v>
      </c>
      <c r="D407" t="s">
        <v>69</v>
      </c>
      <c r="F407">
        <v>1</v>
      </c>
      <c r="H407">
        <v>3</v>
      </c>
      <c r="I407">
        <v>2</v>
      </c>
      <c r="J407">
        <v>2</v>
      </c>
      <c r="K407">
        <v>5</v>
      </c>
      <c r="L407">
        <v>6</v>
      </c>
    </row>
    <row r="408" spans="1:12" x14ac:dyDescent="0.25">
      <c r="A408" t="s">
        <v>917</v>
      </c>
      <c r="B408" t="s">
        <v>233</v>
      </c>
      <c r="C408" t="s">
        <v>363</v>
      </c>
      <c r="D408" t="s">
        <v>31</v>
      </c>
      <c r="F408">
        <v>1</v>
      </c>
      <c r="H408">
        <v>1</v>
      </c>
      <c r="I408">
        <v>1</v>
      </c>
      <c r="J408">
        <v>2</v>
      </c>
      <c r="K408">
        <v>3</v>
      </c>
      <c r="L408">
        <v>4</v>
      </c>
    </row>
    <row r="409" spans="1:12" x14ac:dyDescent="0.25">
      <c r="A409" t="s">
        <v>917</v>
      </c>
      <c r="B409" t="s">
        <v>233</v>
      </c>
      <c r="C409" t="s">
        <v>363</v>
      </c>
      <c r="D409" t="s">
        <v>63</v>
      </c>
      <c r="F409">
        <v>1</v>
      </c>
      <c r="H409">
        <v>4</v>
      </c>
      <c r="I409">
        <v>1</v>
      </c>
      <c r="J409">
        <v>3</v>
      </c>
      <c r="K409">
        <v>9</v>
      </c>
      <c r="L409">
        <v>8</v>
      </c>
    </row>
    <row r="410" spans="1:12" x14ac:dyDescent="0.25">
      <c r="A410" t="s">
        <v>917</v>
      </c>
      <c r="B410" t="s">
        <v>233</v>
      </c>
      <c r="C410" t="s">
        <v>363</v>
      </c>
      <c r="D410" t="s">
        <v>65</v>
      </c>
      <c r="F410">
        <v>1</v>
      </c>
      <c r="H410">
        <v>4</v>
      </c>
      <c r="I410">
        <v>1</v>
      </c>
      <c r="J410">
        <v>4</v>
      </c>
      <c r="K410">
        <v>8</v>
      </c>
      <c r="L410">
        <v>10</v>
      </c>
    </row>
    <row r="411" spans="1:12" x14ac:dyDescent="0.25">
      <c r="A411" t="s">
        <v>917</v>
      </c>
      <c r="B411" t="s">
        <v>233</v>
      </c>
      <c r="C411" t="s">
        <v>363</v>
      </c>
      <c r="D411" t="s">
        <v>70</v>
      </c>
      <c r="F411">
        <v>1</v>
      </c>
      <c r="H411">
        <v>7</v>
      </c>
      <c r="I411">
        <v>1</v>
      </c>
      <c r="J411">
        <v>4</v>
      </c>
      <c r="K411">
        <v>12</v>
      </c>
      <c r="L411">
        <v>10</v>
      </c>
    </row>
    <row r="412" spans="1:12" x14ac:dyDescent="0.25">
      <c r="A412" t="s">
        <v>917</v>
      </c>
      <c r="B412" t="s">
        <v>233</v>
      </c>
      <c r="C412" t="s">
        <v>363</v>
      </c>
      <c r="D412" t="s">
        <v>71</v>
      </c>
      <c r="F412">
        <v>1</v>
      </c>
      <c r="J412">
        <v>3</v>
      </c>
      <c r="K412">
        <v>7</v>
      </c>
      <c r="L412">
        <v>4</v>
      </c>
    </row>
    <row r="413" spans="1:12" x14ac:dyDescent="0.25">
      <c r="A413" t="s">
        <v>917</v>
      </c>
      <c r="B413" t="s">
        <v>234</v>
      </c>
      <c r="C413" t="s">
        <v>362</v>
      </c>
      <c r="D413" t="s">
        <v>163</v>
      </c>
      <c r="F413">
        <v>3</v>
      </c>
      <c r="H413">
        <v>17</v>
      </c>
      <c r="I413">
        <v>25</v>
      </c>
      <c r="J413">
        <v>5</v>
      </c>
      <c r="K413">
        <v>5</v>
      </c>
      <c r="L413">
        <v>36</v>
      </c>
    </row>
    <row r="414" spans="1:12" x14ac:dyDescent="0.25">
      <c r="A414" t="s">
        <v>917</v>
      </c>
      <c r="B414" t="s">
        <v>234</v>
      </c>
      <c r="C414" t="s">
        <v>361</v>
      </c>
      <c r="D414" t="s">
        <v>164</v>
      </c>
      <c r="F414">
        <v>1</v>
      </c>
      <c r="H414">
        <v>6</v>
      </c>
      <c r="I414">
        <v>20</v>
      </c>
      <c r="J414">
        <v>2</v>
      </c>
      <c r="K414">
        <v>5</v>
      </c>
      <c r="L414">
        <v>32</v>
      </c>
    </row>
    <row r="415" spans="1:12" x14ac:dyDescent="0.25">
      <c r="A415" t="s">
        <v>917</v>
      </c>
      <c r="B415" t="s">
        <v>234</v>
      </c>
      <c r="C415" t="s">
        <v>363</v>
      </c>
      <c r="D415" t="s">
        <v>162</v>
      </c>
      <c r="F415">
        <v>2</v>
      </c>
      <c r="H415">
        <v>13</v>
      </c>
      <c r="I415">
        <v>13</v>
      </c>
      <c r="J415">
        <v>2</v>
      </c>
      <c r="K415">
        <v>6</v>
      </c>
      <c r="L415">
        <v>19</v>
      </c>
    </row>
    <row r="416" spans="1:12" x14ac:dyDescent="0.25">
      <c r="A416" t="s">
        <v>917</v>
      </c>
      <c r="B416" t="s">
        <v>235</v>
      </c>
      <c r="C416" t="s">
        <v>347</v>
      </c>
      <c r="D416" t="s">
        <v>244</v>
      </c>
      <c r="F416">
        <v>13</v>
      </c>
      <c r="G416">
        <v>5</v>
      </c>
      <c r="I416">
        <v>1</v>
      </c>
      <c r="J416">
        <v>21</v>
      </c>
      <c r="K416">
        <v>20</v>
      </c>
      <c r="L416">
        <v>30</v>
      </c>
    </row>
    <row r="417" spans="1:12" x14ac:dyDescent="0.25">
      <c r="A417" t="s">
        <v>1010</v>
      </c>
      <c r="B417" t="s">
        <v>232</v>
      </c>
      <c r="D417" t="s">
        <v>31</v>
      </c>
      <c r="H417">
        <v>35</v>
      </c>
      <c r="I417">
        <v>103</v>
      </c>
      <c r="L417">
        <v>16</v>
      </c>
    </row>
    <row r="418" spans="1:12" x14ac:dyDescent="0.25">
      <c r="A418" t="s">
        <v>1010</v>
      </c>
      <c r="B418" t="s">
        <v>232</v>
      </c>
      <c r="D418" t="s">
        <v>32</v>
      </c>
      <c r="H418">
        <v>5</v>
      </c>
      <c r="I418">
        <v>18</v>
      </c>
      <c r="L418">
        <v>5</v>
      </c>
    </row>
    <row r="419" spans="1:12" x14ac:dyDescent="0.25">
      <c r="A419" t="s">
        <v>1010</v>
      </c>
      <c r="B419" t="s">
        <v>232</v>
      </c>
      <c r="D419" t="s">
        <v>33</v>
      </c>
      <c r="H419">
        <v>5</v>
      </c>
      <c r="I419">
        <v>16</v>
      </c>
      <c r="L419">
        <v>5</v>
      </c>
    </row>
    <row r="420" spans="1:12" x14ac:dyDescent="0.25">
      <c r="A420" t="s">
        <v>1010</v>
      </c>
      <c r="B420" t="s">
        <v>232</v>
      </c>
      <c r="D420" t="s">
        <v>34</v>
      </c>
      <c r="H420">
        <v>8</v>
      </c>
      <c r="I420">
        <v>28</v>
      </c>
      <c r="L420">
        <v>10</v>
      </c>
    </row>
    <row r="421" spans="1:12" x14ac:dyDescent="0.25">
      <c r="A421" t="s">
        <v>1010</v>
      </c>
      <c r="B421" t="s">
        <v>232</v>
      </c>
      <c r="D421" t="s">
        <v>243</v>
      </c>
      <c r="H421">
        <v>58</v>
      </c>
      <c r="I421">
        <v>201.5</v>
      </c>
      <c r="L421">
        <v>35</v>
      </c>
    </row>
    <row r="422" spans="1:12" x14ac:dyDescent="0.25">
      <c r="A422" t="s">
        <v>1010</v>
      </c>
      <c r="B422" t="s">
        <v>232</v>
      </c>
      <c r="D422" t="s">
        <v>35</v>
      </c>
      <c r="H422">
        <v>4</v>
      </c>
      <c r="I422">
        <v>15</v>
      </c>
      <c r="L422">
        <v>5</v>
      </c>
    </row>
    <row r="423" spans="1:12" x14ac:dyDescent="0.25">
      <c r="A423" t="s">
        <v>1010</v>
      </c>
      <c r="B423" t="s">
        <v>232</v>
      </c>
      <c r="D423" t="s">
        <v>36</v>
      </c>
      <c r="H423">
        <v>10</v>
      </c>
      <c r="I423">
        <v>35</v>
      </c>
      <c r="L423">
        <v>5</v>
      </c>
    </row>
    <row r="424" spans="1:12" x14ac:dyDescent="0.25">
      <c r="A424" t="s">
        <v>1010</v>
      </c>
      <c r="B424" t="s">
        <v>232</v>
      </c>
      <c r="D424" t="s">
        <v>37</v>
      </c>
      <c r="H424">
        <v>35</v>
      </c>
      <c r="I424">
        <v>119</v>
      </c>
      <c r="L424">
        <v>20</v>
      </c>
    </row>
    <row r="425" spans="1:12" x14ac:dyDescent="0.25">
      <c r="A425" t="s">
        <v>1010</v>
      </c>
      <c r="B425" t="s">
        <v>232</v>
      </c>
      <c r="D425" t="s">
        <v>38</v>
      </c>
      <c r="H425">
        <v>10</v>
      </c>
      <c r="I425">
        <v>31</v>
      </c>
      <c r="L425">
        <v>5</v>
      </c>
    </row>
    <row r="426" spans="1:12" x14ac:dyDescent="0.25">
      <c r="A426" t="s">
        <v>1010</v>
      </c>
      <c r="B426" t="s">
        <v>232</v>
      </c>
      <c r="D426" t="s">
        <v>39</v>
      </c>
      <c r="H426">
        <v>13</v>
      </c>
      <c r="I426">
        <v>46</v>
      </c>
      <c r="L426">
        <v>16</v>
      </c>
    </row>
    <row r="427" spans="1:12" x14ac:dyDescent="0.25">
      <c r="A427" t="s">
        <v>1010</v>
      </c>
      <c r="B427" t="s">
        <v>232</v>
      </c>
      <c r="D427" t="s">
        <v>40</v>
      </c>
      <c r="H427">
        <v>4</v>
      </c>
      <c r="I427">
        <v>14</v>
      </c>
      <c r="L427">
        <v>6</v>
      </c>
    </row>
    <row r="428" spans="1:12" x14ac:dyDescent="0.25">
      <c r="A428" t="s">
        <v>1010</v>
      </c>
      <c r="B428" t="s">
        <v>232</v>
      </c>
      <c r="D428" t="s">
        <v>41</v>
      </c>
      <c r="H428">
        <v>7</v>
      </c>
      <c r="I428">
        <v>30</v>
      </c>
      <c r="L428">
        <v>10</v>
      </c>
    </row>
    <row r="429" spans="1:12" x14ac:dyDescent="0.25">
      <c r="A429" t="s">
        <v>1010</v>
      </c>
      <c r="B429" t="s">
        <v>232</v>
      </c>
      <c r="D429" t="s">
        <v>42</v>
      </c>
      <c r="H429">
        <v>19</v>
      </c>
      <c r="I429">
        <v>53</v>
      </c>
      <c r="L429">
        <v>15</v>
      </c>
    </row>
    <row r="430" spans="1:12" x14ac:dyDescent="0.25">
      <c r="A430" t="s">
        <v>1010</v>
      </c>
      <c r="B430" t="s">
        <v>232</v>
      </c>
      <c r="D430" t="s">
        <v>43</v>
      </c>
      <c r="H430">
        <v>50</v>
      </c>
      <c r="I430">
        <v>179</v>
      </c>
      <c r="L430">
        <v>25</v>
      </c>
    </row>
    <row r="431" spans="1:12" x14ac:dyDescent="0.25">
      <c r="A431" t="s">
        <v>1010</v>
      </c>
      <c r="B431" t="s">
        <v>232</v>
      </c>
      <c r="D431" t="s">
        <v>117</v>
      </c>
      <c r="H431">
        <v>106</v>
      </c>
      <c r="I431">
        <v>332</v>
      </c>
      <c r="L431">
        <v>55</v>
      </c>
    </row>
    <row r="432" spans="1:12" x14ac:dyDescent="0.25">
      <c r="A432" t="s">
        <v>1010</v>
      </c>
      <c r="B432" t="s">
        <v>232</v>
      </c>
      <c r="D432" t="s">
        <v>44</v>
      </c>
      <c r="H432">
        <v>15</v>
      </c>
      <c r="I432">
        <v>50</v>
      </c>
      <c r="L432">
        <v>5</v>
      </c>
    </row>
    <row r="433" spans="1:12" x14ac:dyDescent="0.25">
      <c r="A433" t="s">
        <v>1010</v>
      </c>
      <c r="B433" t="s">
        <v>232</v>
      </c>
      <c r="D433" t="s">
        <v>45</v>
      </c>
      <c r="H433">
        <v>12</v>
      </c>
      <c r="I433">
        <v>46</v>
      </c>
      <c r="L433">
        <v>10</v>
      </c>
    </row>
    <row r="434" spans="1:12" x14ac:dyDescent="0.25">
      <c r="A434" t="s">
        <v>1010</v>
      </c>
      <c r="B434" t="s">
        <v>232</v>
      </c>
      <c r="D434" t="s">
        <v>46</v>
      </c>
      <c r="H434">
        <v>4</v>
      </c>
      <c r="I434">
        <v>17</v>
      </c>
      <c r="L434">
        <v>5</v>
      </c>
    </row>
    <row r="435" spans="1:12" x14ac:dyDescent="0.25">
      <c r="A435" t="s">
        <v>1010</v>
      </c>
      <c r="B435" t="s">
        <v>232</v>
      </c>
      <c r="D435" t="s">
        <v>47</v>
      </c>
      <c r="H435">
        <v>5</v>
      </c>
      <c r="I435">
        <v>20</v>
      </c>
      <c r="L435">
        <v>5</v>
      </c>
    </row>
    <row r="436" spans="1:12" x14ac:dyDescent="0.25">
      <c r="A436" t="s">
        <v>1010</v>
      </c>
      <c r="B436" t="s">
        <v>232</v>
      </c>
      <c r="D436" t="s">
        <v>49</v>
      </c>
      <c r="H436">
        <v>14</v>
      </c>
      <c r="I436">
        <v>46</v>
      </c>
      <c r="L436">
        <v>14</v>
      </c>
    </row>
    <row r="437" spans="1:12" x14ac:dyDescent="0.25">
      <c r="A437" t="s">
        <v>1010</v>
      </c>
      <c r="B437" t="s">
        <v>232</v>
      </c>
      <c r="D437" t="s">
        <v>50</v>
      </c>
      <c r="H437">
        <v>37</v>
      </c>
      <c r="I437">
        <v>100</v>
      </c>
      <c r="L437">
        <v>19</v>
      </c>
    </row>
    <row r="438" spans="1:12" x14ac:dyDescent="0.25">
      <c r="A438" t="s">
        <v>1010</v>
      </c>
      <c r="B438" t="s">
        <v>232</v>
      </c>
      <c r="D438" t="s">
        <v>52</v>
      </c>
      <c r="H438">
        <v>9</v>
      </c>
      <c r="I438">
        <v>53</v>
      </c>
      <c r="L438">
        <v>4</v>
      </c>
    </row>
    <row r="439" spans="1:12" x14ac:dyDescent="0.25">
      <c r="A439" t="s">
        <v>1010</v>
      </c>
      <c r="B439" t="s">
        <v>232</v>
      </c>
      <c r="D439" t="s">
        <v>53</v>
      </c>
      <c r="H439">
        <v>19</v>
      </c>
      <c r="I439">
        <v>63</v>
      </c>
      <c r="L439">
        <v>17</v>
      </c>
    </row>
    <row r="440" spans="1:12" x14ac:dyDescent="0.25">
      <c r="A440" t="s">
        <v>1010</v>
      </c>
      <c r="B440" t="s">
        <v>232</v>
      </c>
      <c r="D440" t="s">
        <v>54</v>
      </c>
      <c r="H440">
        <v>10</v>
      </c>
      <c r="I440">
        <v>33</v>
      </c>
      <c r="L440">
        <v>10</v>
      </c>
    </row>
    <row r="441" spans="1:12" x14ac:dyDescent="0.25">
      <c r="A441" t="s">
        <v>1010</v>
      </c>
      <c r="B441" t="s">
        <v>232</v>
      </c>
      <c r="D441" t="s">
        <v>56</v>
      </c>
      <c r="H441">
        <v>10</v>
      </c>
      <c r="I441">
        <v>32</v>
      </c>
      <c r="L441">
        <v>5</v>
      </c>
    </row>
    <row r="442" spans="1:12" x14ac:dyDescent="0.25">
      <c r="A442" t="s">
        <v>1010</v>
      </c>
      <c r="B442" t="s">
        <v>232</v>
      </c>
      <c r="D442" t="s">
        <v>57</v>
      </c>
      <c r="H442">
        <v>36</v>
      </c>
      <c r="I442">
        <v>99</v>
      </c>
      <c r="L442">
        <v>20</v>
      </c>
    </row>
    <row r="443" spans="1:12" x14ac:dyDescent="0.25">
      <c r="A443" t="s">
        <v>1010</v>
      </c>
      <c r="B443" t="s">
        <v>232</v>
      </c>
      <c r="D443" t="s">
        <v>58</v>
      </c>
      <c r="H443">
        <v>11</v>
      </c>
      <c r="I443">
        <v>33</v>
      </c>
      <c r="L443">
        <v>5</v>
      </c>
    </row>
    <row r="444" spans="1:12" x14ac:dyDescent="0.25">
      <c r="A444" t="s">
        <v>1010</v>
      </c>
      <c r="B444" t="s">
        <v>232</v>
      </c>
      <c r="D444" t="s">
        <v>59</v>
      </c>
      <c r="H444">
        <v>11</v>
      </c>
      <c r="I444">
        <v>47</v>
      </c>
      <c r="L444">
        <v>11</v>
      </c>
    </row>
    <row r="445" spans="1:12" x14ac:dyDescent="0.25">
      <c r="A445" t="s">
        <v>1010</v>
      </c>
      <c r="B445" t="s">
        <v>232</v>
      </c>
      <c r="D445" t="s">
        <v>60</v>
      </c>
      <c r="H445">
        <v>10</v>
      </c>
      <c r="I445">
        <v>37.5</v>
      </c>
      <c r="L445">
        <v>10</v>
      </c>
    </row>
    <row r="446" spans="1:12" x14ac:dyDescent="0.25">
      <c r="A446" t="s">
        <v>1010</v>
      </c>
      <c r="B446" t="s">
        <v>233</v>
      </c>
      <c r="D446" t="s">
        <v>1038</v>
      </c>
      <c r="F446">
        <v>1</v>
      </c>
      <c r="H446">
        <v>5</v>
      </c>
      <c r="I446">
        <v>2</v>
      </c>
      <c r="J446">
        <v>4</v>
      </c>
      <c r="K446">
        <v>12</v>
      </c>
      <c r="L446">
        <v>12</v>
      </c>
    </row>
    <row r="447" spans="1:12" x14ac:dyDescent="0.25">
      <c r="A447" t="s">
        <v>1010</v>
      </c>
      <c r="B447" t="s">
        <v>233</v>
      </c>
      <c r="D447" t="s">
        <v>64</v>
      </c>
      <c r="F447">
        <v>1</v>
      </c>
      <c r="H447">
        <v>6</v>
      </c>
      <c r="I447">
        <v>2</v>
      </c>
      <c r="J447">
        <v>4</v>
      </c>
      <c r="K447">
        <v>8</v>
      </c>
      <c r="L447">
        <v>7</v>
      </c>
    </row>
    <row r="448" spans="1:12" x14ac:dyDescent="0.25">
      <c r="A448" t="s">
        <v>1010</v>
      </c>
      <c r="B448" t="s">
        <v>233</v>
      </c>
      <c r="D448" t="s">
        <v>36</v>
      </c>
      <c r="F448">
        <v>1</v>
      </c>
      <c r="H448">
        <v>4</v>
      </c>
      <c r="I448">
        <v>1.83</v>
      </c>
      <c r="J448">
        <v>2</v>
      </c>
      <c r="K448">
        <v>6</v>
      </c>
      <c r="L448">
        <v>7</v>
      </c>
    </row>
    <row r="449" spans="1:12" x14ac:dyDescent="0.25">
      <c r="A449" t="s">
        <v>1010</v>
      </c>
      <c r="B449" t="s">
        <v>233</v>
      </c>
      <c r="D449" t="s">
        <v>65</v>
      </c>
      <c r="F449">
        <v>1</v>
      </c>
      <c r="H449">
        <v>5</v>
      </c>
      <c r="I449">
        <v>2</v>
      </c>
      <c r="J449">
        <v>4</v>
      </c>
      <c r="K449">
        <v>8</v>
      </c>
      <c r="L449">
        <v>11</v>
      </c>
    </row>
    <row r="450" spans="1:12" x14ac:dyDescent="0.25">
      <c r="A450" t="s">
        <v>1010</v>
      </c>
      <c r="B450" t="s">
        <v>233</v>
      </c>
      <c r="D450" t="s">
        <v>66</v>
      </c>
      <c r="F450">
        <v>1</v>
      </c>
      <c r="H450">
        <v>3</v>
      </c>
      <c r="I450">
        <v>0.6</v>
      </c>
      <c r="J450">
        <v>3</v>
      </c>
      <c r="K450">
        <v>11</v>
      </c>
      <c r="L450">
        <v>8</v>
      </c>
    </row>
    <row r="451" spans="1:12" x14ac:dyDescent="0.25">
      <c r="A451" t="s">
        <v>1010</v>
      </c>
      <c r="B451" t="s">
        <v>233</v>
      </c>
      <c r="D451" t="s">
        <v>67</v>
      </c>
      <c r="F451">
        <v>1</v>
      </c>
      <c r="H451">
        <v>6</v>
      </c>
      <c r="I451">
        <v>4</v>
      </c>
      <c r="J451">
        <v>3</v>
      </c>
      <c r="K451">
        <v>7</v>
      </c>
      <c r="L451">
        <v>8</v>
      </c>
    </row>
    <row r="452" spans="1:12" x14ac:dyDescent="0.25">
      <c r="A452" t="s">
        <v>1010</v>
      </c>
      <c r="B452" t="s">
        <v>233</v>
      </c>
      <c r="D452" t="s">
        <v>68</v>
      </c>
      <c r="F452">
        <v>1</v>
      </c>
      <c r="H452">
        <v>3</v>
      </c>
      <c r="I452">
        <v>1</v>
      </c>
      <c r="J452">
        <v>3</v>
      </c>
      <c r="K452">
        <v>6</v>
      </c>
      <c r="L452">
        <v>5</v>
      </c>
    </row>
    <row r="453" spans="1:12" x14ac:dyDescent="0.25">
      <c r="A453" t="s">
        <v>1010</v>
      </c>
      <c r="B453" t="s">
        <v>233</v>
      </c>
      <c r="D453" t="s">
        <v>165</v>
      </c>
      <c r="F453">
        <v>1</v>
      </c>
      <c r="H453">
        <v>3</v>
      </c>
      <c r="I453">
        <v>4</v>
      </c>
      <c r="J453">
        <v>3</v>
      </c>
      <c r="K453">
        <v>7</v>
      </c>
      <c r="L453">
        <v>9</v>
      </c>
    </row>
    <row r="454" spans="1:12" x14ac:dyDescent="0.25">
      <c r="A454" t="s">
        <v>1010</v>
      </c>
      <c r="B454" t="s">
        <v>233</v>
      </c>
      <c r="D454" t="s">
        <v>69</v>
      </c>
      <c r="F454">
        <v>1</v>
      </c>
      <c r="H454">
        <v>3</v>
      </c>
      <c r="I454">
        <v>2</v>
      </c>
      <c r="J454">
        <v>2</v>
      </c>
      <c r="K454">
        <v>4</v>
      </c>
      <c r="L454">
        <v>6</v>
      </c>
    </row>
    <row r="455" spans="1:12" x14ac:dyDescent="0.25">
      <c r="A455" t="s">
        <v>1010</v>
      </c>
      <c r="B455" t="s">
        <v>233</v>
      </c>
      <c r="D455" t="s">
        <v>117</v>
      </c>
      <c r="F455">
        <v>1</v>
      </c>
      <c r="H455">
        <v>1</v>
      </c>
      <c r="I455">
        <v>1</v>
      </c>
      <c r="J455">
        <v>4</v>
      </c>
      <c r="K455">
        <v>9</v>
      </c>
      <c r="L455">
        <v>7</v>
      </c>
    </row>
    <row r="456" spans="1:12" x14ac:dyDescent="0.25">
      <c r="A456" t="s">
        <v>1010</v>
      </c>
      <c r="B456" t="s">
        <v>233</v>
      </c>
      <c r="D456" t="s">
        <v>70</v>
      </c>
      <c r="F456">
        <v>1</v>
      </c>
      <c r="H456">
        <v>6</v>
      </c>
      <c r="I456">
        <v>2</v>
      </c>
      <c r="J456">
        <v>4</v>
      </c>
      <c r="K456">
        <v>10</v>
      </c>
      <c r="L456">
        <v>10</v>
      </c>
    </row>
    <row r="457" spans="1:12" x14ac:dyDescent="0.25">
      <c r="A457" t="s">
        <v>1010</v>
      </c>
      <c r="B457" t="s">
        <v>233</v>
      </c>
      <c r="D457" t="s">
        <v>1040</v>
      </c>
      <c r="F457">
        <v>1</v>
      </c>
      <c r="H457">
        <v>4</v>
      </c>
      <c r="I457">
        <v>1</v>
      </c>
      <c r="J457">
        <v>3</v>
      </c>
      <c r="K457">
        <v>11</v>
      </c>
      <c r="L457">
        <v>10</v>
      </c>
    </row>
    <row r="458" spans="1:12" x14ac:dyDescent="0.25">
      <c r="A458" t="s">
        <v>1010</v>
      </c>
      <c r="B458" t="s">
        <v>233</v>
      </c>
      <c r="D458" t="s">
        <v>762</v>
      </c>
      <c r="F458">
        <v>1</v>
      </c>
      <c r="H458">
        <v>7</v>
      </c>
      <c r="I458">
        <v>3</v>
      </c>
      <c r="J458">
        <v>4</v>
      </c>
      <c r="K458">
        <v>13</v>
      </c>
      <c r="L458">
        <v>10</v>
      </c>
    </row>
    <row r="459" spans="1:12" x14ac:dyDescent="0.25">
      <c r="A459" t="s">
        <v>1010</v>
      </c>
      <c r="B459" t="s">
        <v>233</v>
      </c>
      <c r="D459" t="s">
        <v>71</v>
      </c>
      <c r="F459">
        <v>1</v>
      </c>
      <c r="J459">
        <v>4</v>
      </c>
      <c r="K459">
        <v>7</v>
      </c>
      <c r="L459">
        <v>5</v>
      </c>
    </row>
    <row r="460" spans="1:12" x14ac:dyDescent="0.25">
      <c r="A460" t="s">
        <v>1010</v>
      </c>
      <c r="B460" t="s">
        <v>234</v>
      </c>
      <c r="D460" t="s">
        <v>162</v>
      </c>
      <c r="F460">
        <v>2</v>
      </c>
      <c r="H460">
        <v>10</v>
      </c>
      <c r="I460">
        <v>10</v>
      </c>
      <c r="J460">
        <v>2</v>
      </c>
      <c r="K460">
        <v>7</v>
      </c>
      <c r="L460">
        <v>17</v>
      </c>
    </row>
    <row r="461" spans="1:12" x14ac:dyDescent="0.25">
      <c r="A461" t="s">
        <v>1010</v>
      </c>
      <c r="B461" t="s">
        <v>234</v>
      </c>
      <c r="D461" t="s">
        <v>163</v>
      </c>
      <c r="F461">
        <v>2</v>
      </c>
      <c r="H461">
        <v>16</v>
      </c>
      <c r="I461">
        <v>34</v>
      </c>
      <c r="J461">
        <v>5</v>
      </c>
      <c r="K461">
        <v>7</v>
      </c>
      <c r="L461">
        <v>43</v>
      </c>
    </row>
    <row r="462" spans="1:12" x14ac:dyDescent="0.25">
      <c r="A462" t="s">
        <v>1010</v>
      </c>
      <c r="B462" t="s">
        <v>234</v>
      </c>
      <c r="C462" t="s">
        <v>361</v>
      </c>
      <c r="D462" t="s">
        <v>164</v>
      </c>
      <c r="F462">
        <v>1</v>
      </c>
      <c r="H462">
        <v>6</v>
      </c>
      <c r="I462">
        <v>21</v>
      </c>
      <c r="J462">
        <v>2</v>
      </c>
      <c r="K462">
        <v>5</v>
      </c>
      <c r="L462">
        <v>31</v>
      </c>
    </row>
    <row r="463" spans="1:12" x14ac:dyDescent="0.25">
      <c r="A463" t="s">
        <v>1010</v>
      </c>
      <c r="B463" t="s">
        <v>235</v>
      </c>
      <c r="C463" t="s">
        <v>347</v>
      </c>
      <c r="D463" t="s">
        <v>244</v>
      </c>
      <c r="F463">
        <v>16</v>
      </c>
      <c r="G463">
        <v>5</v>
      </c>
      <c r="J463">
        <v>20</v>
      </c>
      <c r="K463">
        <v>19</v>
      </c>
      <c r="L463">
        <v>28</v>
      </c>
    </row>
    <row r="464" spans="1:12" x14ac:dyDescent="0.25">
      <c r="A464" t="s">
        <v>1061</v>
      </c>
      <c r="B464" t="s">
        <v>232</v>
      </c>
      <c r="D464" t="s">
        <v>31</v>
      </c>
      <c r="H464">
        <v>32</v>
      </c>
      <c r="I464">
        <v>103</v>
      </c>
      <c r="L464">
        <v>20</v>
      </c>
    </row>
    <row r="465" spans="1:12" x14ac:dyDescent="0.25">
      <c r="A465" t="s">
        <v>1061</v>
      </c>
      <c r="B465" t="s">
        <v>232</v>
      </c>
      <c r="D465" t="s">
        <v>32</v>
      </c>
      <c r="H465">
        <v>5</v>
      </c>
      <c r="I465">
        <v>18</v>
      </c>
      <c r="L465">
        <v>5</v>
      </c>
    </row>
    <row r="466" spans="1:12" x14ac:dyDescent="0.25">
      <c r="A466" t="s">
        <v>1061</v>
      </c>
      <c r="B466" t="s">
        <v>232</v>
      </c>
      <c r="D466" t="s">
        <v>33</v>
      </c>
      <c r="H466">
        <v>5</v>
      </c>
      <c r="I466">
        <v>14</v>
      </c>
      <c r="L466">
        <v>5</v>
      </c>
    </row>
    <row r="467" spans="1:12" x14ac:dyDescent="0.25">
      <c r="A467" t="s">
        <v>1061</v>
      </c>
      <c r="B467" t="s">
        <v>232</v>
      </c>
      <c r="D467" t="s">
        <v>34</v>
      </c>
      <c r="H467">
        <v>11</v>
      </c>
      <c r="I467">
        <v>29</v>
      </c>
      <c r="L467">
        <v>10</v>
      </c>
    </row>
    <row r="468" spans="1:12" x14ac:dyDescent="0.25">
      <c r="A468" t="s">
        <v>1061</v>
      </c>
      <c r="B468" t="s">
        <v>232</v>
      </c>
      <c r="D468" t="s">
        <v>243</v>
      </c>
      <c r="H468">
        <v>53</v>
      </c>
      <c r="I468">
        <v>191.5</v>
      </c>
      <c r="L468">
        <v>38</v>
      </c>
    </row>
    <row r="469" spans="1:12" x14ac:dyDescent="0.25">
      <c r="A469" t="s">
        <v>1061</v>
      </c>
      <c r="B469" t="s">
        <v>232</v>
      </c>
      <c r="D469" t="s">
        <v>35</v>
      </c>
      <c r="H469">
        <v>6</v>
      </c>
      <c r="I469">
        <v>14</v>
      </c>
      <c r="L469">
        <v>5</v>
      </c>
    </row>
    <row r="470" spans="1:12" x14ac:dyDescent="0.25">
      <c r="A470" t="s">
        <v>1061</v>
      </c>
      <c r="B470" t="s">
        <v>232</v>
      </c>
      <c r="D470" t="s">
        <v>36</v>
      </c>
      <c r="H470">
        <v>9</v>
      </c>
      <c r="I470">
        <v>37</v>
      </c>
      <c r="L470">
        <v>5</v>
      </c>
    </row>
    <row r="471" spans="1:12" x14ac:dyDescent="0.25">
      <c r="A471" t="s">
        <v>1061</v>
      </c>
      <c r="B471" t="s">
        <v>232</v>
      </c>
      <c r="D471" t="s">
        <v>37</v>
      </c>
      <c r="H471">
        <v>37</v>
      </c>
      <c r="I471">
        <v>112</v>
      </c>
      <c r="L471">
        <v>20</v>
      </c>
    </row>
    <row r="472" spans="1:12" x14ac:dyDescent="0.25">
      <c r="A472" t="s">
        <v>1061</v>
      </c>
      <c r="B472" t="s">
        <v>232</v>
      </c>
      <c r="D472" t="s">
        <v>38</v>
      </c>
      <c r="H472">
        <v>8</v>
      </c>
      <c r="I472">
        <v>33.6</v>
      </c>
      <c r="L472">
        <v>5</v>
      </c>
    </row>
    <row r="473" spans="1:12" x14ac:dyDescent="0.25">
      <c r="A473" t="s">
        <v>1061</v>
      </c>
      <c r="B473" t="s">
        <v>232</v>
      </c>
      <c r="D473" t="s">
        <v>39</v>
      </c>
      <c r="H473">
        <v>12</v>
      </c>
      <c r="I473">
        <v>44</v>
      </c>
      <c r="L473">
        <v>15</v>
      </c>
    </row>
    <row r="474" spans="1:12" x14ac:dyDescent="0.25">
      <c r="A474" t="s">
        <v>1061</v>
      </c>
      <c r="B474" t="s">
        <v>232</v>
      </c>
      <c r="D474" t="s">
        <v>40</v>
      </c>
      <c r="H474">
        <v>4</v>
      </c>
      <c r="I474">
        <v>15</v>
      </c>
      <c r="L474">
        <v>5</v>
      </c>
    </row>
    <row r="475" spans="1:12" x14ac:dyDescent="0.25">
      <c r="A475" t="s">
        <v>1061</v>
      </c>
      <c r="B475" t="s">
        <v>232</v>
      </c>
      <c r="D475" t="s">
        <v>41</v>
      </c>
      <c r="H475">
        <v>10</v>
      </c>
      <c r="I475">
        <v>27</v>
      </c>
      <c r="L475">
        <v>10</v>
      </c>
    </row>
    <row r="476" spans="1:12" x14ac:dyDescent="0.25">
      <c r="A476" t="s">
        <v>1061</v>
      </c>
      <c r="B476" t="s">
        <v>232</v>
      </c>
      <c r="D476" t="s">
        <v>42</v>
      </c>
      <c r="H476">
        <v>19</v>
      </c>
      <c r="I476">
        <v>50</v>
      </c>
      <c r="L476">
        <v>15</v>
      </c>
    </row>
    <row r="477" spans="1:12" x14ac:dyDescent="0.25">
      <c r="A477" t="s">
        <v>1061</v>
      </c>
      <c r="B477" t="s">
        <v>232</v>
      </c>
      <c r="D477" t="s">
        <v>43</v>
      </c>
      <c r="H477">
        <v>51</v>
      </c>
      <c r="I477">
        <v>163</v>
      </c>
      <c r="L477">
        <v>25</v>
      </c>
    </row>
    <row r="478" spans="1:12" x14ac:dyDescent="0.25">
      <c r="A478" t="s">
        <v>1061</v>
      </c>
      <c r="B478" t="s">
        <v>232</v>
      </c>
      <c r="D478" t="s">
        <v>117</v>
      </c>
      <c r="H478">
        <v>108</v>
      </c>
      <c r="I478">
        <v>317</v>
      </c>
      <c r="L478">
        <v>66</v>
      </c>
    </row>
    <row r="479" spans="1:12" x14ac:dyDescent="0.25">
      <c r="A479" t="s">
        <v>1061</v>
      </c>
      <c r="B479" t="s">
        <v>232</v>
      </c>
      <c r="D479" t="s">
        <v>44</v>
      </c>
      <c r="H479">
        <v>7</v>
      </c>
      <c r="L479">
        <v>4</v>
      </c>
    </row>
    <row r="480" spans="1:12" x14ac:dyDescent="0.25">
      <c r="A480" t="s">
        <v>1061</v>
      </c>
      <c r="B480" t="s">
        <v>232</v>
      </c>
      <c r="D480" t="s">
        <v>44</v>
      </c>
      <c r="H480">
        <v>16</v>
      </c>
      <c r="I480">
        <v>51</v>
      </c>
      <c r="L480">
        <v>6</v>
      </c>
    </row>
    <row r="481" spans="1:12" x14ac:dyDescent="0.25">
      <c r="A481" t="s">
        <v>1061</v>
      </c>
      <c r="B481" t="s">
        <v>232</v>
      </c>
      <c r="D481" t="s">
        <v>45</v>
      </c>
      <c r="H481">
        <v>14</v>
      </c>
      <c r="I481">
        <v>43</v>
      </c>
      <c r="L481">
        <v>10</v>
      </c>
    </row>
    <row r="482" spans="1:12" x14ac:dyDescent="0.25">
      <c r="A482" t="s">
        <v>1061</v>
      </c>
      <c r="B482" t="s">
        <v>232</v>
      </c>
      <c r="D482" t="s">
        <v>46</v>
      </c>
      <c r="H482">
        <v>4</v>
      </c>
      <c r="I482">
        <v>15</v>
      </c>
      <c r="L482">
        <v>6</v>
      </c>
    </row>
    <row r="483" spans="1:12" x14ac:dyDescent="0.25">
      <c r="A483" t="s">
        <v>1061</v>
      </c>
      <c r="B483" t="s">
        <v>232</v>
      </c>
      <c r="D483" t="s">
        <v>47</v>
      </c>
      <c r="H483">
        <v>4</v>
      </c>
      <c r="I483">
        <v>20</v>
      </c>
      <c r="L483">
        <v>5</v>
      </c>
    </row>
    <row r="484" spans="1:12" x14ac:dyDescent="0.25">
      <c r="A484" t="s">
        <v>1061</v>
      </c>
      <c r="B484" t="s">
        <v>232</v>
      </c>
      <c r="D484" t="s">
        <v>48</v>
      </c>
      <c r="L484">
        <v>3</v>
      </c>
    </row>
    <row r="485" spans="1:12" x14ac:dyDescent="0.25">
      <c r="A485" t="s">
        <v>1061</v>
      </c>
      <c r="B485" t="s">
        <v>232</v>
      </c>
      <c r="D485" t="s">
        <v>49</v>
      </c>
      <c r="H485">
        <v>16</v>
      </c>
      <c r="I485">
        <v>44</v>
      </c>
      <c r="L485">
        <v>15</v>
      </c>
    </row>
    <row r="486" spans="1:12" x14ac:dyDescent="0.25">
      <c r="A486" t="s">
        <v>1061</v>
      </c>
      <c r="B486" t="s">
        <v>232</v>
      </c>
      <c r="D486" t="s">
        <v>50</v>
      </c>
      <c r="H486">
        <v>36</v>
      </c>
      <c r="I486">
        <v>102</v>
      </c>
      <c r="L486">
        <v>21</v>
      </c>
    </row>
    <row r="487" spans="1:12" x14ac:dyDescent="0.25">
      <c r="A487" t="s">
        <v>1061</v>
      </c>
      <c r="B487" t="s">
        <v>232</v>
      </c>
      <c r="D487" t="s">
        <v>51</v>
      </c>
      <c r="L487">
        <v>1</v>
      </c>
    </row>
    <row r="488" spans="1:12" x14ac:dyDescent="0.25">
      <c r="A488" t="s">
        <v>1061</v>
      </c>
      <c r="B488" t="s">
        <v>232</v>
      </c>
      <c r="D488" t="s">
        <v>52</v>
      </c>
      <c r="H488">
        <v>11</v>
      </c>
      <c r="I488">
        <v>53</v>
      </c>
      <c r="L488">
        <v>5</v>
      </c>
    </row>
    <row r="489" spans="1:12" x14ac:dyDescent="0.25">
      <c r="A489" t="s">
        <v>1061</v>
      </c>
      <c r="B489" t="s">
        <v>232</v>
      </c>
      <c r="D489" t="s">
        <v>53</v>
      </c>
      <c r="H489">
        <v>20</v>
      </c>
      <c r="I489">
        <v>60</v>
      </c>
      <c r="L489">
        <v>15</v>
      </c>
    </row>
    <row r="490" spans="1:12" x14ac:dyDescent="0.25">
      <c r="A490" t="s">
        <v>1061</v>
      </c>
      <c r="B490" t="s">
        <v>232</v>
      </c>
      <c r="D490" t="s">
        <v>54</v>
      </c>
      <c r="H490">
        <v>9</v>
      </c>
      <c r="I490">
        <v>37</v>
      </c>
      <c r="L490">
        <v>10</v>
      </c>
    </row>
    <row r="491" spans="1:12" x14ac:dyDescent="0.25">
      <c r="A491" t="s">
        <v>1061</v>
      </c>
      <c r="B491" t="s">
        <v>232</v>
      </c>
      <c r="D491" t="s">
        <v>55</v>
      </c>
      <c r="L491">
        <v>1</v>
      </c>
    </row>
    <row r="492" spans="1:12" x14ac:dyDescent="0.25">
      <c r="A492" t="s">
        <v>1061</v>
      </c>
      <c r="B492" t="s">
        <v>232</v>
      </c>
      <c r="D492" t="s">
        <v>56</v>
      </c>
      <c r="H492">
        <v>9</v>
      </c>
      <c r="I492">
        <v>34</v>
      </c>
      <c r="L492">
        <v>5</v>
      </c>
    </row>
    <row r="493" spans="1:12" x14ac:dyDescent="0.25">
      <c r="A493" t="s">
        <v>1061</v>
      </c>
      <c r="B493" t="s">
        <v>232</v>
      </c>
      <c r="D493" t="s">
        <v>57</v>
      </c>
      <c r="H493">
        <v>35</v>
      </c>
      <c r="I493">
        <v>109</v>
      </c>
      <c r="L493">
        <v>20</v>
      </c>
    </row>
    <row r="494" spans="1:12" x14ac:dyDescent="0.25">
      <c r="A494" t="s">
        <v>1061</v>
      </c>
      <c r="B494" t="s">
        <v>232</v>
      </c>
      <c r="D494" t="s">
        <v>58</v>
      </c>
      <c r="H494">
        <v>9</v>
      </c>
      <c r="I494">
        <v>32</v>
      </c>
      <c r="L494">
        <v>5</v>
      </c>
    </row>
    <row r="495" spans="1:12" x14ac:dyDescent="0.25">
      <c r="A495" t="s">
        <v>1061</v>
      </c>
      <c r="B495" t="s">
        <v>232</v>
      </c>
      <c r="D495" t="s">
        <v>59</v>
      </c>
      <c r="H495">
        <v>15</v>
      </c>
      <c r="I495">
        <v>43</v>
      </c>
      <c r="L495">
        <v>10</v>
      </c>
    </row>
    <row r="496" spans="1:12" x14ac:dyDescent="0.25">
      <c r="A496" t="s">
        <v>1061</v>
      </c>
      <c r="B496" t="s">
        <v>232</v>
      </c>
      <c r="D496" t="s">
        <v>60</v>
      </c>
      <c r="H496">
        <v>10</v>
      </c>
      <c r="I496">
        <v>35.5</v>
      </c>
      <c r="L496">
        <v>12</v>
      </c>
    </row>
    <row r="497" spans="1:12" x14ac:dyDescent="0.25">
      <c r="A497" t="s">
        <v>1061</v>
      </c>
      <c r="B497" t="s">
        <v>233</v>
      </c>
      <c r="D497" t="s">
        <v>1038</v>
      </c>
      <c r="F497">
        <v>1</v>
      </c>
      <c r="J497">
        <v>4</v>
      </c>
      <c r="K497">
        <v>10</v>
      </c>
      <c r="L497">
        <v>9</v>
      </c>
    </row>
    <row r="498" spans="1:12" x14ac:dyDescent="0.25">
      <c r="A498" t="s">
        <v>1061</v>
      </c>
      <c r="B498" t="s">
        <v>233</v>
      </c>
      <c r="D498" t="s">
        <v>64</v>
      </c>
      <c r="F498">
        <v>1</v>
      </c>
      <c r="H498">
        <v>6</v>
      </c>
      <c r="I498">
        <v>2</v>
      </c>
      <c r="J498">
        <v>4</v>
      </c>
      <c r="K498">
        <v>10</v>
      </c>
      <c r="L498">
        <v>7</v>
      </c>
    </row>
    <row r="499" spans="1:12" x14ac:dyDescent="0.25">
      <c r="A499" t="s">
        <v>1061</v>
      </c>
      <c r="B499" t="s">
        <v>233</v>
      </c>
      <c r="D499" t="s">
        <v>36</v>
      </c>
      <c r="F499">
        <v>1</v>
      </c>
      <c r="H499">
        <v>4</v>
      </c>
      <c r="I499">
        <v>1.83</v>
      </c>
      <c r="J499">
        <v>2</v>
      </c>
      <c r="K499">
        <v>6</v>
      </c>
      <c r="L499">
        <v>3</v>
      </c>
    </row>
    <row r="500" spans="1:12" x14ac:dyDescent="0.25">
      <c r="A500" t="s">
        <v>1061</v>
      </c>
      <c r="B500" t="s">
        <v>233</v>
      </c>
      <c r="D500" t="s">
        <v>65</v>
      </c>
      <c r="F500">
        <v>1</v>
      </c>
      <c r="I500">
        <v>2</v>
      </c>
      <c r="J500">
        <v>4</v>
      </c>
      <c r="K500">
        <v>7</v>
      </c>
      <c r="L500">
        <v>9</v>
      </c>
    </row>
    <row r="501" spans="1:12" x14ac:dyDescent="0.25">
      <c r="A501" t="s">
        <v>1061</v>
      </c>
      <c r="B501" t="s">
        <v>233</v>
      </c>
      <c r="D501" t="s">
        <v>66</v>
      </c>
      <c r="F501">
        <v>1</v>
      </c>
      <c r="H501">
        <v>4</v>
      </c>
      <c r="J501">
        <v>4</v>
      </c>
      <c r="K501">
        <v>10</v>
      </c>
      <c r="L501">
        <v>7</v>
      </c>
    </row>
    <row r="502" spans="1:12" x14ac:dyDescent="0.25">
      <c r="A502" t="s">
        <v>1061</v>
      </c>
      <c r="B502" t="s">
        <v>233</v>
      </c>
      <c r="D502" t="s">
        <v>67</v>
      </c>
      <c r="F502">
        <v>1</v>
      </c>
      <c r="H502">
        <v>6</v>
      </c>
      <c r="I502">
        <v>4</v>
      </c>
      <c r="J502">
        <v>4</v>
      </c>
      <c r="K502">
        <v>6</v>
      </c>
      <c r="L502">
        <v>11</v>
      </c>
    </row>
    <row r="503" spans="1:12" x14ac:dyDescent="0.25">
      <c r="A503" t="s">
        <v>1061</v>
      </c>
      <c r="B503" t="s">
        <v>233</v>
      </c>
      <c r="D503" t="s">
        <v>68</v>
      </c>
      <c r="F503">
        <v>1</v>
      </c>
      <c r="H503">
        <v>4</v>
      </c>
      <c r="I503">
        <v>1</v>
      </c>
      <c r="J503">
        <v>3</v>
      </c>
      <c r="K503">
        <v>6</v>
      </c>
      <c r="L503">
        <v>4</v>
      </c>
    </row>
    <row r="504" spans="1:12" x14ac:dyDescent="0.25">
      <c r="A504" t="s">
        <v>1061</v>
      </c>
      <c r="B504" t="s">
        <v>233</v>
      </c>
      <c r="D504" t="s">
        <v>165</v>
      </c>
      <c r="F504">
        <v>1</v>
      </c>
      <c r="H504">
        <v>3</v>
      </c>
      <c r="I504">
        <v>3</v>
      </c>
      <c r="J504">
        <v>3</v>
      </c>
      <c r="K504">
        <v>8</v>
      </c>
      <c r="L504">
        <v>8</v>
      </c>
    </row>
    <row r="505" spans="1:12" x14ac:dyDescent="0.25">
      <c r="A505" t="s">
        <v>1061</v>
      </c>
      <c r="B505" t="s">
        <v>233</v>
      </c>
      <c r="D505" t="s">
        <v>69</v>
      </c>
      <c r="F505">
        <v>1</v>
      </c>
      <c r="H505">
        <v>4</v>
      </c>
      <c r="I505">
        <v>1</v>
      </c>
      <c r="J505">
        <v>1</v>
      </c>
      <c r="K505">
        <v>6</v>
      </c>
      <c r="L505">
        <v>6</v>
      </c>
    </row>
    <row r="506" spans="1:12" x14ac:dyDescent="0.25">
      <c r="A506" t="s">
        <v>1061</v>
      </c>
      <c r="B506" t="s">
        <v>233</v>
      </c>
      <c r="D506" t="s">
        <v>117</v>
      </c>
      <c r="F506">
        <v>1</v>
      </c>
      <c r="H506">
        <v>2</v>
      </c>
      <c r="I506">
        <v>1</v>
      </c>
      <c r="J506">
        <v>4</v>
      </c>
      <c r="K506">
        <v>9</v>
      </c>
      <c r="L506">
        <v>6</v>
      </c>
    </row>
    <row r="507" spans="1:12" x14ac:dyDescent="0.25">
      <c r="A507" t="s">
        <v>1061</v>
      </c>
      <c r="B507" t="s">
        <v>233</v>
      </c>
      <c r="D507" t="s">
        <v>70</v>
      </c>
      <c r="F507">
        <v>1</v>
      </c>
      <c r="I507">
        <v>1</v>
      </c>
      <c r="J507">
        <v>4</v>
      </c>
      <c r="K507">
        <v>10</v>
      </c>
      <c r="L507">
        <v>4</v>
      </c>
    </row>
    <row r="508" spans="1:12" x14ac:dyDescent="0.25">
      <c r="A508" t="s">
        <v>1061</v>
      </c>
      <c r="B508" t="s">
        <v>233</v>
      </c>
      <c r="D508" t="s">
        <v>1040</v>
      </c>
      <c r="F508">
        <v>1</v>
      </c>
      <c r="H508">
        <v>4</v>
      </c>
      <c r="I508">
        <v>1</v>
      </c>
      <c r="J508">
        <v>3</v>
      </c>
      <c r="K508">
        <v>8</v>
      </c>
      <c r="L508">
        <v>10</v>
      </c>
    </row>
    <row r="509" spans="1:12" x14ac:dyDescent="0.25">
      <c r="A509" t="s">
        <v>1061</v>
      </c>
      <c r="B509" t="s">
        <v>233</v>
      </c>
      <c r="D509" t="s">
        <v>762</v>
      </c>
      <c r="F509">
        <v>1</v>
      </c>
      <c r="H509">
        <v>6</v>
      </c>
      <c r="I509">
        <v>2</v>
      </c>
      <c r="J509">
        <v>4</v>
      </c>
      <c r="K509">
        <v>10</v>
      </c>
      <c r="L509">
        <v>8</v>
      </c>
    </row>
    <row r="510" spans="1:12" x14ac:dyDescent="0.25">
      <c r="A510" t="s">
        <v>1061</v>
      </c>
      <c r="B510" t="s">
        <v>233</v>
      </c>
      <c r="D510" t="s">
        <v>71</v>
      </c>
      <c r="J510">
        <v>1</v>
      </c>
    </row>
    <row r="511" spans="1:12" x14ac:dyDescent="0.25">
      <c r="A511" t="s">
        <v>1061</v>
      </c>
      <c r="B511" t="s">
        <v>233</v>
      </c>
      <c r="D511" t="s">
        <v>71</v>
      </c>
      <c r="F511">
        <v>1</v>
      </c>
      <c r="J511">
        <v>3</v>
      </c>
      <c r="K511">
        <v>5</v>
      </c>
    </row>
    <row r="512" spans="1:12" x14ac:dyDescent="0.25">
      <c r="A512" t="s">
        <v>1061</v>
      </c>
      <c r="B512" t="s">
        <v>234</v>
      </c>
      <c r="D512" t="s">
        <v>162</v>
      </c>
      <c r="F512">
        <v>2</v>
      </c>
      <c r="H512">
        <v>12</v>
      </c>
      <c r="I512">
        <v>25</v>
      </c>
      <c r="J512">
        <v>3</v>
      </c>
      <c r="K512">
        <v>6</v>
      </c>
      <c r="L512">
        <v>22</v>
      </c>
    </row>
    <row r="513" spans="1:12" x14ac:dyDescent="0.25">
      <c r="A513" t="s">
        <v>1061</v>
      </c>
      <c r="B513" t="s">
        <v>234</v>
      </c>
      <c r="D513" t="s">
        <v>163</v>
      </c>
      <c r="F513">
        <v>2</v>
      </c>
      <c r="H513">
        <v>10</v>
      </c>
      <c r="I513">
        <v>48</v>
      </c>
      <c r="J513">
        <v>5</v>
      </c>
      <c r="K513">
        <v>11</v>
      </c>
      <c r="L513">
        <v>43</v>
      </c>
    </row>
    <row r="514" spans="1:12" x14ac:dyDescent="0.25">
      <c r="A514" t="s">
        <v>1061</v>
      </c>
      <c r="B514" t="s">
        <v>234</v>
      </c>
      <c r="C514" t="s">
        <v>361</v>
      </c>
      <c r="D514" t="s">
        <v>164</v>
      </c>
      <c r="F514">
        <v>1</v>
      </c>
      <c r="H514">
        <v>4</v>
      </c>
      <c r="I514">
        <v>30</v>
      </c>
      <c r="J514">
        <v>3</v>
      </c>
      <c r="K514">
        <v>4</v>
      </c>
      <c r="L514">
        <v>25</v>
      </c>
    </row>
    <row r="515" spans="1:12" x14ac:dyDescent="0.25">
      <c r="A515" t="s">
        <v>1061</v>
      </c>
      <c r="B515" t="s">
        <v>235</v>
      </c>
      <c r="C515" t="s">
        <v>347</v>
      </c>
      <c r="D515" t="s">
        <v>244</v>
      </c>
      <c r="F515">
        <v>12</v>
      </c>
      <c r="G515">
        <v>5</v>
      </c>
      <c r="H515">
        <v>1</v>
      </c>
      <c r="J515">
        <v>19</v>
      </c>
      <c r="K515">
        <v>16</v>
      </c>
      <c r="L515">
        <v>16</v>
      </c>
    </row>
    <row r="516" spans="1:12" x14ac:dyDescent="0.25">
      <c r="A516" t="s">
        <v>1108</v>
      </c>
      <c r="B516" t="s">
        <v>232</v>
      </c>
      <c r="D516" t="s">
        <v>31</v>
      </c>
      <c r="H516">
        <v>34</v>
      </c>
      <c r="I516">
        <v>106</v>
      </c>
      <c r="L516">
        <v>22</v>
      </c>
    </row>
    <row r="517" spans="1:12" x14ac:dyDescent="0.25">
      <c r="A517" t="s">
        <v>1108</v>
      </c>
      <c r="B517" t="s">
        <v>232</v>
      </c>
      <c r="D517" t="s">
        <v>32</v>
      </c>
      <c r="H517">
        <v>6</v>
      </c>
      <c r="I517">
        <v>17</v>
      </c>
      <c r="L517">
        <v>5</v>
      </c>
    </row>
    <row r="518" spans="1:12" x14ac:dyDescent="0.25">
      <c r="A518" t="s">
        <v>1108</v>
      </c>
      <c r="B518" t="s">
        <v>232</v>
      </c>
      <c r="D518" t="s">
        <v>33</v>
      </c>
      <c r="H518">
        <v>5</v>
      </c>
      <c r="I518">
        <v>17</v>
      </c>
      <c r="L518">
        <v>5</v>
      </c>
    </row>
    <row r="519" spans="1:12" x14ac:dyDescent="0.25">
      <c r="A519" t="s">
        <v>1108</v>
      </c>
      <c r="B519" t="s">
        <v>232</v>
      </c>
      <c r="D519" t="s">
        <v>34</v>
      </c>
      <c r="H519">
        <v>10</v>
      </c>
      <c r="I519">
        <v>34</v>
      </c>
      <c r="L519">
        <v>11</v>
      </c>
    </row>
    <row r="520" spans="1:12" x14ac:dyDescent="0.25">
      <c r="A520" t="s">
        <v>1108</v>
      </c>
      <c r="B520" t="s">
        <v>232</v>
      </c>
      <c r="D520" t="s">
        <v>243</v>
      </c>
      <c r="H520">
        <v>59</v>
      </c>
      <c r="I520">
        <v>198.5</v>
      </c>
      <c r="L520">
        <v>35</v>
      </c>
    </row>
    <row r="521" spans="1:12" x14ac:dyDescent="0.25">
      <c r="A521" t="s">
        <v>1108</v>
      </c>
      <c r="B521" t="s">
        <v>232</v>
      </c>
      <c r="D521" t="s">
        <v>35</v>
      </c>
      <c r="H521">
        <v>5</v>
      </c>
      <c r="I521">
        <v>16</v>
      </c>
      <c r="L521">
        <v>6</v>
      </c>
    </row>
    <row r="522" spans="1:12" x14ac:dyDescent="0.25">
      <c r="A522" t="s">
        <v>1108</v>
      </c>
      <c r="B522" t="s">
        <v>232</v>
      </c>
      <c r="D522" t="s">
        <v>36</v>
      </c>
      <c r="H522">
        <v>10</v>
      </c>
      <c r="I522">
        <v>38</v>
      </c>
      <c r="L522">
        <v>5</v>
      </c>
    </row>
    <row r="523" spans="1:12" x14ac:dyDescent="0.25">
      <c r="A523" t="s">
        <v>1108</v>
      </c>
      <c r="B523" t="s">
        <v>232</v>
      </c>
      <c r="D523" t="s">
        <v>37</v>
      </c>
      <c r="H523">
        <v>30</v>
      </c>
      <c r="I523">
        <v>118</v>
      </c>
      <c r="L523">
        <v>20</v>
      </c>
    </row>
    <row r="524" spans="1:12" x14ac:dyDescent="0.25">
      <c r="A524" t="s">
        <v>1108</v>
      </c>
      <c r="B524" t="s">
        <v>232</v>
      </c>
      <c r="D524" t="s">
        <v>38</v>
      </c>
      <c r="H524">
        <v>10</v>
      </c>
      <c r="I524">
        <v>32</v>
      </c>
      <c r="L524">
        <v>6</v>
      </c>
    </row>
    <row r="525" spans="1:12" x14ac:dyDescent="0.25">
      <c r="A525" t="s">
        <v>1108</v>
      </c>
      <c r="B525" t="s">
        <v>232</v>
      </c>
      <c r="D525" t="s">
        <v>39</v>
      </c>
      <c r="H525">
        <v>15</v>
      </c>
      <c r="I525">
        <v>46</v>
      </c>
      <c r="L525">
        <v>15</v>
      </c>
    </row>
    <row r="526" spans="1:12" x14ac:dyDescent="0.25">
      <c r="A526" t="s">
        <v>1108</v>
      </c>
      <c r="B526" t="s">
        <v>232</v>
      </c>
      <c r="D526" t="s">
        <v>40</v>
      </c>
      <c r="H526">
        <v>5</v>
      </c>
      <c r="I526">
        <v>15</v>
      </c>
      <c r="L526">
        <v>5</v>
      </c>
    </row>
    <row r="527" spans="1:12" x14ac:dyDescent="0.25">
      <c r="A527" t="s">
        <v>1108</v>
      </c>
      <c r="B527" t="s">
        <v>232</v>
      </c>
      <c r="D527" t="s">
        <v>41</v>
      </c>
      <c r="H527">
        <v>10</v>
      </c>
      <c r="I527">
        <v>33</v>
      </c>
      <c r="L527">
        <v>10</v>
      </c>
    </row>
    <row r="528" spans="1:12" x14ac:dyDescent="0.25">
      <c r="A528" t="s">
        <v>1108</v>
      </c>
      <c r="B528" t="s">
        <v>232</v>
      </c>
      <c r="D528" t="s">
        <v>42</v>
      </c>
      <c r="H528">
        <v>20</v>
      </c>
      <c r="I528">
        <v>56</v>
      </c>
      <c r="L528">
        <v>15</v>
      </c>
    </row>
    <row r="529" spans="1:12" x14ac:dyDescent="0.25">
      <c r="A529" t="s">
        <v>1108</v>
      </c>
      <c r="B529" t="s">
        <v>232</v>
      </c>
      <c r="D529" t="s">
        <v>43</v>
      </c>
      <c r="H529">
        <v>43</v>
      </c>
      <c r="I529">
        <v>146</v>
      </c>
      <c r="L529">
        <v>27</v>
      </c>
    </row>
    <row r="530" spans="1:12" x14ac:dyDescent="0.25">
      <c r="A530" t="s">
        <v>1108</v>
      </c>
      <c r="B530" t="s">
        <v>232</v>
      </c>
      <c r="D530" t="s">
        <v>117</v>
      </c>
      <c r="H530">
        <v>94</v>
      </c>
      <c r="I530">
        <v>302</v>
      </c>
      <c r="L530">
        <v>67</v>
      </c>
    </row>
    <row r="531" spans="1:12" x14ac:dyDescent="0.25">
      <c r="A531" t="s">
        <v>1108</v>
      </c>
      <c r="B531" t="s">
        <v>232</v>
      </c>
      <c r="D531" t="s">
        <v>44</v>
      </c>
      <c r="H531">
        <v>20</v>
      </c>
      <c r="I531">
        <v>52</v>
      </c>
      <c r="L531">
        <v>8</v>
      </c>
    </row>
    <row r="532" spans="1:12" x14ac:dyDescent="0.25">
      <c r="A532" t="s">
        <v>1108</v>
      </c>
      <c r="B532" t="s">
        <v>232</v>
      </c>
      <c r="D532" t="s">
        <v>45</v>
      </c>
      <c r="H532">
        <v>14</v>
      </c>
      <c r="I532">
        <v>39</v>
      </c>
      <c r="L532">
        <v>10</v>
      </c>
    </row>
    <row r="533" spans="1:12" x14ac:dyDescent="0.25">
      <c r="A533" t="s">
        <v>1108</v>
      </c>
      <c r="B533" t="s">
        <v>232</v>
      </c>
      <c r="D533" t="s">
        <v>46</v>
      </c>
      <c r="H533">
        <v>7</v>
      </c>
      <c r="I533">
        <v>16</v>
      </c>
      <c r="L533">
        <v>6</v>
      </c>
    </row>
    <row r="534" spans="1:12" x14ac:dyDescent="0.25">
      <c r="A534" t="s">
        <v>1108</v>
      </c>
      <c r="B534" t="s">
        <v>232</v>
      </c>
      <c r="D534" t="s">
        <v>47</v>
      </c>
      <c r="H534">
        <v>4</v>
      </c>
      <c r="I534">
        <v>21</v>
      </c>
      <c r="L534">
        <v>5</v>
      </c>
    </row>
    <row r="535" spans="1:12" x14ac:dyDescent="0.25">
      <c r="A535" t="s">
        <v>1108</v>
      </c>
      <c r="B535" t="s">
        <v>232</v>
      </c>
      <c r="D535" t="s">
        <v>48</v>
      </c>
      <c r="L535">
        <v>3</v>
      </c>
    </row>
    <row r="536" spans="1:12" x14ac:dyDescent="0.25">
      <c r="A536" t="s">
        <v>1108</v>
      </c>
      <c r="B536" t="s">
        <v>232</v>
      </c>
      <c r="D536" t="s">
        <v>49</v>
      </c>
      <c r="H536">
        <v>16</v>
      </c>
      <c r="I536">
        <v>54</v>
      </c>
      <c r="L536">
        <v>15</v>
      </c>
    </row>
    <row r="537" spans="1:12" x14ac:dyDescent="0.25">
      <c r="A537" t="s">
        <v>1108</v>
      </c>
      <c r="B537" t="s">
        <v>232</v>
      </c>
      <c r="D537" t="s">
        <v>50</v>
      </c>
      <c r="H537">
        <v>36</v>
      </c>
      <c r="I537">
        <v>112</v>
      </c>
      <c r="L537">
        <v>21</v>
      </c>
    </row>
    <row r="538" spans="1:12" x14ac:dyDescent="0.25">
      <c r="A538" t="s">
        <v>1108</v>
      </c>
      <c r="B538" t="s">
        <v>232</v>
      </c>
      <c r="D538" t="s">
        <v>52</v>
      </c>
      <c r="H538">
        <v>12</v>
      </c>
      <c r="I538">
        <v>49</v>
      </c>
      <c r="L538">
        <v>5</v>
      </c>
    </row>
    <row r="539" spans="1:12" x14ac:dyDescent="0.25">
      <c r="A539" t="s">
        <v>1108</v>
      </c>
      <c r="B539" t="s">
        <v>232</v>
      </c>
      <c r="D539" t="s">
        <v>53</v>
      </c>
      <c r="H539">
        <v>21</v>
      </c>
      <c r="I539">
        <v>66</v>
      </c>
      <c r="L539">
        <v>15</v>
      </c>
    </row>
    <row r="540" spans="1:12" x14ac:dyDescent="0.25">
      <c r="A540" t="s">
        <v>1108</v>
      </c>
      <c r="B540" t="s">
        <v>232</v>
      </c>
      <c r="D540" t="s">
        <v>54</v>
      </c>
      <c r="H540">
        <v>9</v>
      </c>
      <c r="I540">
        <v>38</v>
      </c>
      <c r="L540">
        <v>10</v>
      </c>
    </row>
    <row r="541" spans="1:12" x14ac:dyDescent="0.25">
      <c r="A541" t="s">
        <v>1108</v>
      </c>
      <c r="B541" t="s">
        <v>232</v>
      </c>
      <c r="D541" t="s">
        <v>55</v>
      </c>
      <c r="L541">
        <v>1</v>
      </c>
    </row>
    <row r="542" spans="1:12" x14ac:dyDescent="0.25">
      <c r="A542" t="s">
        <v>1108</v>
      </c>
      <c r="B542" t="s">
        <v>232</v>
      </c>
      <c r="D542" t="s">
        <v>56</v>
      </c>
      <c r="H542">
        <v>10</v>
      </c>
      <c r="I542">
        <v>36</v>
      </c>
      <c r="L542">
        <v>6</v>
      </c>
    </row>
    <row r="543" spans="1:12" x14ac:dyDescent="0.25">
      <c r="A543" t="s">
        <v>1108</v>
      </c>
      <c r="B543" t="s">
        <v>232</v>
      </c>
      <c r="D543" t="s">
        <v>57</v>
      </c>
      <c r="H543">
        <v>30</v>
      </c>
      <c r="I543">
        <v>111</v>
      </c>
      <c r="L543">
        <v>20</v>
      </c>
    </row>
    <row r="544" spans="1:12" x14ac:dyDescent="0.25">
      <c r="A544" t="s">
        <v>1108</v>
      </c>
      <c r="B544" t="s">
        <v>232</v>
      </c>
      <c r="D544" t="s">
        <v>58</v>
      </c>
      <c r="H544">
        <v>10</v>
      </c>
      <c r="I544">
        <v>34</v>
      </c>
      <c r="L544">
        <v>5</v>
      </c>
    </row>
    <row r="545" spans="1:12" x14ac:dyDescent="0.25">
      <c r="A545" t="s">
        <v>1108</v>
      </c>
      <c r="B545" t="s">
        <v>232</v>
      </c>
      <c r="D545" t="s">
        <v>59</v>
      </c>
      <c r="H545">
        <v>13</v>
      </c>
      <c r="I545">
        <v>51</v>
      </c>
      <c r="L545">
        <v>11</v>
      </c>
    </row>
    <row r="546" spans="1:12" x14ac:dyDescent="0.25">
      <c r="A546" t="s">
        <v>1108</v>
      </c>
      <c r="B546" t="s">
        <v>232</v>
      </c>
      <c r="D546" t="s">
        <v>60</v>
      </c>
      <c r="H546">
        <v>11</v>
      </c>
      <c r="I546">
        <v>36.980000000000004</v>
      </c>
      <c r="L546">
        <v>13</v>
      </c>
    </row>
    <row r="547" spans="1:12" x14ac:dyDescent="0.25">
      <c r="A547" t="s">
        <v>1108</v>
      </c>
      <c r="B547" t="s">
        <v>233</v>
      </c>
      <c r="D547" t="s">
        <v>1038</v>
      </c>
      <c r="F547">
        <v>1</v>
      </c>
      <c r="J547">
        <v>4</v>
      </c>
      <c r="K547">
        <v>11</v>
      </c>
      <c r="L547">
        <v>6</v>
      </c>
    </row>
    <row r="548" spans="1:12" x14ac:dyDescent="0.25">
      <c r="A548" t="s">
        <v>1108</v>
      </c>
      <c r="B548" t="s">
        <v>233</v>
      </c>
      <c r="D548" t="s">
        <v>64</v>
      </c>
      <c r="F548">
        <v>1</v>
      </c>
      <c r="H548">
        <v>6</v>
      </c>
      <c r="I548">
        <v>2</v>
      </c>
      <c r="J548">
        <v>4</v>
      </c>
      <c r="K548">
        <v>9</v>
      </c>
      <c r="L548">
        <v>6</v>
      </c>
    </row>
    <row r="549" spans="1:12" x14ac:dyDescent="0.25">
      <c r="A549" t="s">
        <v>1108</v>
      </c>
      <c r="B549" t="s">
        <v>233</v>
      </c>
      <c r="D549" t="s">
        <v>36</v>
      </c>
      <c r="F549">
        <v>1</v>
      </c>
      <c r="H549">
        <v>5</v>
      </c>
      <c r="I549">
        <v>1.83</v>
      </c>
      <c r="J549">
        <v>2</v>
      </c>
      <c r="K549">
        <v>5</v>
      </c>
      <c r="L549">
        <v>7</v>
      </c>
    </row>
    <row r="550" spans="1:12" x14ac:dyDescent="0.25">
      <c r="A550" t="s">
        <v>1108</v>
      </c>
      <c r="B550" t="s">
        <v>233</v>
      </c>
      <c r="D550" t="s">
        <v>65</v>
      </c>
      <c r="F550">
        <v>2</v>
      </c>
      <c r="J550">
        <v>4</v>
      </c>
      <c r="K550">
        <v>8</v>
      </c>
      <c r="L550">
        <v>8.77</v>
      </c>
    </row>
    <row r="551" spans="1:12" x14ac:dyDescent="0.25">
      <c r="A551" t="s">
        <v>1108</v>
      </c>
      <c r="B551" t="s">
        <v>233</v>
      </c>
      <c r="D551" t="s">
        <v>66</v>
      </c>
      <c r="F551">
        <v>1</v>
      </c>
      <c r="H551">
        <v>5</v>
      </c>
      <c r="J551">
        <v>3</v>
      </c>
      <c r="K551">
        <v>9</v>
      </c>
      <c r="L551">
        <v>7</v>
      </c>
    </row>
    <row r="552" spans="1:12" x14ac:dyDescent="0.25">
      <c r="A552" t="s">
        <v>1108</v>
      </c>
      <c r="B552" t="s">
        <v>233</v>
      </c>
      <c r="D552" t="s">
        <v>67</v>
      </c>
      <c r="F552">
        <v>1</v>
      </c>
      <c r="H552">
        <v>3</v>
      </c>
      <c r="I552">
        <v>4</v>
      </c>
      <c r="J552">
        <v>3</v>
      </c>
      <c r="K552">
        <v>6</v>
      </c>
      <c r="L552">
        <v>9</v>
      </c>
    </row>
    <row r="553" spans="1:12" x14ac:dyDescent="0.25">
      <c r="A553" t="s">
        <v>1108</v>
      </c>
      <c r="B553" t="s">
        <v>233</v>
      </c>
      <c r="D553" t="s">
        <v>68</v>
      </c>
      <c r="F553">
        <v>1</v>
      </c>
      <c r="H553">
        <v>3</v>
      </c>
      <c r="I553">
        <v>1</v>
      </c>
      <c r="J553">
        <v>3</v>
      </c>
      <c r="K553">
        <v>6</v>
      </c>
      <c r="L553">
        <v>4</v>
      </c>
    </row>
    <row r="554" spans="1:12" x14ac:dyDescent="0.25">
      <c r="A554" t="s">
        <v>1108</v>
      </c>
      <c r="B554" t="s">
        <v>233</v>
      </c>
      <c r="D554" t="s">
        <v>165</v>
      </c>
      <c r="F554">
        <v>1</v>
      </c>
      <c r="H554">
        <v>4</v>
      </c>
      <c r="I554">
        <v>3</v>
      </c>
      <c r="J554">
        <v>3</v>
      </c>
      <c r="K554">
        <v>7</v>
      </c>
      <c r="L554">
        <v>9</v>
      </c>
    </row>
    <row r="555" spans="1:12" x14ac:dyDescent="0.25">
      <c r="A555" t="s">
        <v>1108</v>
      </c>
      <c r="B555" t="s">
        <v>233</v>
      </c>
      <c r="D555" t="s">
        <v>69</v>
      </c>
      <c r="F555">
        <v>1</v>
      </c>
      <c r="H555">
        <v>3</v>
      </c>
      <c r="I555">
        <v>1</v>
      </c>
      <c r="J555">
        <v>2</v>
      </c>
      <c r="K555">
        <v>6</v>
      </c>
      <c r="L555">
        <v>6</v>
      </c>
    </row>
    <row r="556" spans="1:12" x14ac:dyDescent="0.25">
      <c r="A556" t="s">
        <v>1108</v>
      </c>
      <c r="B556" t="s">
        <v>233</v>
      </c>
      <c r="D556" t="s">
        <v>117</v>
      </c>
      <c r="F556">
        <v>1</v>
      </c>
      <c r="H556">
        <v>2</v>
      </c>
      <c r="I556">
        <v>1</v>
      </c>
      <c r="J556">
        <v>4</v>
      </c>
      <c r="K556">
        <v>8</v>
      </c>
      <c r="L556">
        <v>7</v>
      </c>
    </row>
    <row r="557" spans="1:12" x14ac:dyDescent="0.25">
      <c r="A557" t="s">
        <v>1108</v>
      </c>
      <c r="B557" t="s">
        <v>233</v>
      </c>
      <c r="D557" t="s">
        <v>70</v>
      </c>
      <c r="F557">
        <v>1</v>
      </c>
      <c r="H557">
        <v>1</v>
      </c>
      <c r="I557">
        <v>1</v>
      </c>
      <c r="J557">
        <v>4</v>
      </c>
      <c r="K557">
        <v>12</v>
      </c>
      <c r="L557">
        <v>4</v>
      </c>
    </row>
    <row r="558" spans="1:12" x14ac:dyDescent="0.25">
      <c r="A558" t="s">
        <v>1108</v>
      </c>
      <c r="B558" t="s">
        <v>233</v>
      </c>
      <c r="D558" t="s">
        <v>1040</v>
      </c>
      <c r="F558">
        <v>1</v>
      </c>
      <c r="H558">
        <v>3</v>
      </c>
      <c r="I558">
        <v>1</v>
      </c>
      <c r="J558">
        <v>3</v>
      </c>
      <c r="K558">
        <v>10</v>
      </c>
      <c r="L558">
        <v>9</v>
      </c>
    </row>
    <row r="559" spans="1:12" x14ac:dyDescent="0.25">
      <c r="A559" t="s">
        <v>1108</v>
      </c>
      <c r="B559" t="s">
        <v>233</v>
      </c>
      <c r="D559" t="s">
        <v>762</v>
      </c>
      <c r="F559">
        <v>1</v>
      </c>
      <c r="H559">
        <v>7</v>
      </c>
      <c r="I559">
        <v>2</v>
      </c>
      <c r="J559">
        <v>4</v>
      </c>
      <c r="K559">
        <v>9</v>
      </c>
      <c r="L559">
        <v>10</v>
      </c>
    </row>
    <row r="560" spans="1:12" x14ac:dyDescent="0.25">
      <c r="A560" t="s">
        <v>1108</v>
      </c>
      <c r="B560" t="s">
        <v>233</v>
      </c>
      <c r="D560" t="s">
        <v>71</v>
      </c>
      <c r="J560">
        <v>1</v>
      </c>
    </row>
    <row r="561" spans="1:12" x14ac:dyDescent="0.25">
      <c r="A561" t="s">
        <v>1108</v>
      </c>
      <c r="B561" t="s">
        <v>233</v>
      </c>
      <c r="D561" t="s">
        <v>71</v>
      </c>
      <c r="F561">
        <v>1</v>
      </c>
      <c r="J561">
        <v>3</v>
      </c>
      <c r="K561">
        <v>6</v>
      </c>
    </row>
    <row r="562" spans="1:12" x14ac:dyDescent="0.25">
      <c r="A562" t="s">
        <v>1108</v>
      </c>
      <c r="B562" t="s">
        <v>234</v>
      </c>
      <c r="D562" t="s">
        <v>162</v>
      </c>
      <c r="F562">
        <v>2</v>
      </c>
      <c r="H562">
        <v>17</v>
      </c>
      <c r="J562">
        <v>2</v>
      </c>
      <c r="K562">
        <v>8</v>
      </c>
      <c r="L562">
        <v>23</v>
      </c>
    </row>
    <row r="563" spans="1:12" x14ac:dyDescent="0.25">
      <c r="A563" t="s">
        <v>1108</v>
      </c>
      <c r="B563" t="s">
        <v>234</v>
      </c>
      <c r="D563" t="s">
        <v>163</v>
      </c>
      <c r="F563">
        <v>2</v>
      </c>
      <c r="H563">
        <v>8</v>
      </c>
      <c r="I563">
        <v>1</v>
      </c>
      <c r="J563">
        <v>4</v>
      </c>
      <c r="K563">
        <v>7</v>
      </c>
      <c r="L563">
        <v>38</v>
      </c>
    </row>
    <row r="564" spans="1:12" x14ac:dyDescent="0.25">
      <c r="A564" t="s">
        <v>1108</v>
      </c>
      <c r="B564" t="s">
        <v>234</v>
      </c>
      <c r="C564" t="s">
        <v>361</v>
      </c>
      <c r="D564" t="s">
        <v>164</v>
      </c>
      <c r="F564">
        <v>1</v>
      </c>
      <c r="H564">
        <v>3</v>
      </c>
      <c r="J564">
        <v>2</v>
      </c>
      <c r="K564">
        <v>5</v>
      </c>
      <c r="L564">
        <v>18</v>
      </c>
    </row>
    <row r="565" spans="1:12" x14ac:dyDescent="0.25">
      <c r="A565" t="s">
        <v>1108</v>
      </c>
      <c r="B565" t="s">
        <v>235</v>
      </c>
      <c r="C565" t="s">
        <v>347</v>
      </c>
      <c r="D565" t="s">
        <v>244</v>
      </c>
      <c r="F565">
        <v>11</v>
      </c>
      <c r="G565">
        <v>5</v>
      </c>
      <c r="H565">
        <v>1</v>
      </c>
      <c r="J565">
        <v>16</v>
      </c>
      <c r="K565">
        <v>24</v>
      </c>
      <c r="L565">
        <v>27</v>
      </c>
    </row>
  </sheetData>
  <pageMargins left="0.7" right="0.7" top="0.75" bottom="0.75" header="0.3" footer="0.3"/>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1">
    <tabColor theme="9" tint="0.39997558519241921"/>
    <pageSetUpPr fitToPage="1"/>
  </sheetPr>
  <dimension ref="A1:J84"/>
  <sheetViews>
    <sheetView showGridLines="0" zoomScaleNormal="100" workbookViewId="0">
      <pane ySplit="2" topLeftCell="A3" activePane="bottomLeft" state="frozen"/>
      <selection pane="bottomLeft" sqref="A1:G1"/>
    </sheetView>
  </sheetViews>
  <sheetFormatPr defaultRowHeight="15" x14ac:dyDescent="0.25"/>
  <cols>
    <col min="1" max="1" width="17" customWidth="1"/>
    <col min="2" max="2" width="58.140625" customWidth="1"/>
    <col min="3" max="4" width="13.85546875" customWidth="1"/>
    <col min="5" max="5" width="14.140625" customWidth="1"/>
    <col min="6" max="6" width="13.28515625" customWidth="1"/>
    <col min="7" max="7" width="13.42578125" customWidth="1"/>
    <col min="8" max="8" width="13.5703125" customWidth="1"/>
    <col min="9" max="9" width="12" customWidth="1"/>
    <col min="10" max="10" width="13" customWidth="1"/>
  </cols>
  <sheetData>
    <row r="1" spans="1:10" ht="36.950000000000003" customHeight="1" x14ac:dyDescent="0.25">
      <c r="A1" s="993" t="s">
        <v>450</v>
      </c>
      <c r="B1" s="993"/>
      <c r="C1" s="993"/>
      <c r="D1" s="993"/>
      <c r="E1" s="993"/>
      <c r="F1" s="993"/>
      <c r="G1" s="993"/>
    </row>
    <row r="2" spans="1:10" ht="27" customHeight="1" x14ac:dyDescent="0.25">
      <c r="A2" s="507" t="s">
        <v>511</v>
      </c>
      <c r="C2" s="449"/>
      <c r="D2" s="449"/>
      <c r="E2" s="449"/>
      <c r="F2" s="449"/>
      <c r="G2" s="449"/>
    </row>
    <row r="3" spans="1:10" ht="15.75" x14ac:dyDescent="0.25">
      <c r="C3" s="449"/>
      <c r="D3" s="449"/>
      <c r="E3" s="449"/>
      <c r="F3" s="449"/>
      <c r="G3" s="449"/>
    </row>
    <row r="4" spans="1:10" ht="37.5" customHeight="1" x14ac:dyDescent="0.25">
      <c r="A4" s="429" t="s">
        <v>469</v>
      </c>
      <c r="B4" s="429"/>
      <c r="C4" s="429"/>
      <c r="D4" s="429"/>
      <c r="E4" s="429"/>
      <c r="F4" s="429"/>
      <c r="G4" s="429"/>
      <c r="H4" s="429"/>
      <c r="I4" s="429"/>
    </row>
    <row r="5" spans="1:10" ht="15" customHeight="1" x14ac:dyDescent="0.25">
      <c r="A5" t="s">
        <v>328</v>
      </c>
      <c r="B5" t="s">
        <v>674</v>
      </c>
      <c r="C5" s="429"/>
      <c r="D5" s="429"/>
      <c r="E5" s="429"/>
      <c r="F5" s="429"/>
      <c r="G5" s="429"/>
      <c r="H5" s="429"/>
      <c r="I5" s="429"/>
    </row>
    <row r="6" spans="1:10" ht="15" customHeight="1" x14ac:dyDescent="0.25">
      <c r="A6" t="s">
        <v>329</v>
      </c>
      <c r="B6" t="s">
        <v>331</v>
      </c>
      <c r="C6" s="429"/>
      <c r="D6" s="429"/>
      <c r="E6" s="429"/>
      <c r="F6" s="429"/>
      <c r="G6" s="429"/>
      <c r="H6" s="429"/>
      <c r="I6" s="429"/>
    </row>
    <row r="7" spans="1:10" ht="15" customHeight="1" x14ac:dyDescent="0.25">
      <c r="A7" t="s">
        <v>330</v>
      </c>
      <c r="B7" t="s">
        <v>332</v>
      </c>
      <c r="C7" s="429"/>
      <c r="D7" s="429"/>
      <c r="E7" s="429"/>
      <c r="F7" s="429"/>
      <c r="G7" s="429"/>
      <c r="H7" s="429"/>
      <c r="I7" s="429"/>
    </row>
    <row r="8" spans="1:10" ht="40.5" customHeight="1" x14ac:dyDescent="0.25">
      <c r="A8" s="36" t="s">
        <v>1</v>
      </c>
      <c r="B8" s="36" t="s">
        <v>205</v>
      </c>
      <c r="C8" s="4" t="s">
        <v>837</v>
      </c>
      <c r="D8" s="43" t="s">
        <v>838</v>
      </c>
      <c r="E8" s="43" t="s">
        <v>839</v>
      </c>
      <c r="F8" s="43" t="s">
        <v>840</v>
      </c>
      <c r="G8" s="43" t="s">
        <v>841</v>
      </c>
      <c r="H8" s="43" t="s">
        <v>842</v>
      </c>
      <c r="I8" s="43" t="s">
        <v>23</v>
      </c>
      <c r="J8" s="43" t="s">
        <v>26</v>
      </c>
    </row>
    <row r="9" spans="1:10" ht="22.5" customHeight="1" thickBot="1" x14ac:dyDescent="0.3">
      <c r="A9" s="38" t="str">
        <f>WTFTERoleAreaPivot!$B$1</f>
        <v>2023-24</v>
      </c>
      <c r="B9" s="38" t="s">
        <v>75</v>
      </c>
      <c r="C9" s="321">
        <f>C44+C64+C70+C72</f>
        <v>5</v>
      </c>
      <c r="D9" s="321">
        <f t="shared" ref="D9:I9" si="0">D44+D64+D70+D72</f>
        <v>31</v>
      </c>
      <c r="E9" s="321">
        <f t="shared" si="0"/>
        <v>71</v>
      </c>
      <c r="F9" s="321">
        <f t="shared" si="0"/>
        <v>156</v>
      </c>
      <c r="G9" s="321">
        <f t="shared" si="0"/>
        <v>606.77</v>
      </c>
      <c r="H9" s="321">
        <f t="shared" si="0"/>
        <v>640</v>
      </c>
      <c r="I9" s="321">
        <f t="shared" si="0"/>
        <v>1909.31</v>
      </c>
      <c r="J9" s="321">
        <f>SUM(C9:I9)</f>
        <v>3419.08</v>
      </c>
    </row>
    <row r="10" spans="1:10" ht="21" customHeight="1" x14ac:dyDescent="0.25">
      <c r="B10" s="39"/>
      <c r="C10" s="644"/>
      <c r="D10" s="644"/>
      <c r="E10" s="644"/>
      <c r="F10" s="644"/>
      <c r="G10" s="644"/>
      <c r="H10" s="644"/>
      <c r="I10" s="644"/>
      <c r="J10" s="96"/>
    </row>
    <row r="11" spans="1:10" ht="13.5" customHeight="1" x14ac:dyDescent="0.25">
      <c r="A11" s="42" t="s">
        <v>458</v>
      </c>
      <c r="B11" s="42" t="s">
        <v>30</v>
      </c>
      <c r="C11" s="43"/>
      <c r="D11" s="43"/>
      <c r="E11" s="43"/>
      <c r="F11" s="43"/>
      <c r="G11" s="43"/>
      <c r="H11" s="43"/>
      <c r="I11" s="43"/>
      <c r="J11" s="75"/>
    </row>
    <row r="12" spans="1:10" ht="23.25" customHeight="1" x14ac:dyDescent="0.25">
      <c r="A12" s="398" t="s">
        <v>285</v>
      </c>
      <c r="B12" s="45" t="s">
        <v>31</v>
      </c>
      <c r="C12" s="692">
        <f>GETPIVOTDATA("Sum of Brigade Manager",WTFTERoleAreaPivot!$A$3,"ReportingLevel","1:LA","lvl","Aberdeen City")</f>
        <v>0</v>
      </c>
      <c r="D12" s="692" t="s">
        <v>564</v>
      </c>
      <c r="E12" s="692" t="s">
        <v>564</v>
      </c>
      <c r="F12" s="682">
        <f>GETPIVOTDATA("Sum of Station Manager",WTFTERoleAreaPivot!$A$3,"ReportingLevel","1:LA","lvl","Aberdeen City")</f>
        <v>0</v>
      </c>
      <c r="G12" s="303">
        <f>GETPIVOTDATA("Sum of Watch Manager",WTFTERoleAreaPivot!$A$3,"ReportingLevel","1:LA","lvl","Aberdeen City")</f>
        <v>22</v>
      </c>
      <c r="H12" s="303">
        <f>GETPIVOTDATA("Sum of Crew Manager",WTFTERoleAreaPivot!$A$3,"ReportingLevel","1:LA","lvl","Aberdeen City")</f>
        <v>34</v>
      </c>
      <c r="I12" s="303">
        <f>GETPIVOTDATA("Sum of Firefighter",WTFTERoleAreaPivot!$A$3,"ReportingLevel","1:LA","lvl","Aberdeen City")</f>
        <v>106</v>
      </c>
      <c r="J12" s="66">
        <f>SUM(C12:I12)</f>
        <v>162</v>
      </c>
    </row>
    <row r="13" spans="1:10" ht="15" customHeight="1" x14ac:dyDescent="0.25">
      <c r="A13" s="89" t="s">
        <v>286</v>
      </c>
      <c r="B13" s="48" t="s">
        <v>32</v>
      </c>
      <c r="C13" s="690">
        <f>GETPIVOTDATA("Sum of Brigade Manager",WTFTERoleAreaPivot!$A$3,"ReportingLevel","1:LA","lvl","Aberdeenshire")</f>
        <v>0</v>
      </c>
      <c r="D13" s="690" t="s">
        <v>564</v>
      </c>
      <c r="E13" s="690" t="s">
        <v>564</v>
      </c>
      <c r="F13" s="682">
        <f>GETPIVOTDATA("Sum of Station Manager",WTFTERoleAreaPivot!$A$3,"ReportingLevel","1:LA","lvl","Aberdeenshire")</f>
        <v>0</v>
      </c>
      <c r="G13" s="682">
        <f>GETPIVOTDATA("Sum of Watch Manager",WTFTERoleAreaPivot!$A$3,"ReportingLevel","1:LA","lvl","Aberdeenshire")</f>
        <v>5</v>
      </c>
      <c r="H13" s="682">
        <f>GETPIVOTDATA("Sum of Crew Manager",WTFTERoleAreaPivot!$A$3,"ReportingLevel","1:LA","lvl","Aberdeenshire")</f>
        <v>6</v>
      </c>
      <c r="I13" s="682">
        <f>GETPIVOTDATA("Sum of Firefighter",WTFTERoleAreaPivot!$A$3,"ReportingLevel","1:LA","lvl","Aberdeenshire")</f>
        <v>17</v>
      </c>
      <c r="J13" s="66">
        <f t="shared" ref="J13:J43" si="1">SUM(C13:I13)</f>
        <v>28</v>
      </c>
    </row>
    <row r="14" spans="1:10" ht="15" customHeight="1" x14ac:dyDescent="0.25">
      <c r="A14" s="89" t="s">
        <v>292</v>
      </c>
      <c r="B14" s="48" t="s">
        <v>33</v>
      </c>
      <c r="C14" s="690">
        <f>GETPIVOTDATA("Sum of Brigade Manager",WTFTERoleAreaPivot!$A$3,"ReportingLevel","1:LA","lvl","Angus")</f>
        <v>0</v>
      </c>
      <c r="D14" s="690" t="s">
        <v>564</v>
      </c>
      <c r="E14" s="690" t="s">
        <v>564</v>
      </c>
      <c r="F14" s="682">
        <f>GETPIVOTDATA("Sum of Station Manager",WTFTERoleAreaPivot!$A$3,"ReportingLevel","1:LA","lvl","Angus")</f>
        <v>0</v>
      </c>
      <c r="G14" s="682">
        <f>GETPIVOTDATA("Sum of Watch Manager",WTFTERoleAreaPivot!$A$3,"ReportingLevel","1:LA","lvl","Angus")</f>
        <v>5</v>
      </c>
      <c r="H14" s="682">
        <f>GETPIVOTDATA("Sum of Crew Manager",WTFTERoleAreaPivot!$A$3,"ReportingLevel","1:LA","lvl","Angus")</f>
        <v>5</v>
      </c>
      <c r="I14" s="682">
        <f>GETPIVOTDATA("Sum of Firefighter",WTFTERoleAreaPivot!$A$3,"ReportingLevel","1:LA","lvl","Angus")</f>
        <v>17</v>
      </c>
      <c r="J14" s="66">
        <f t="shared" si="1"/>
        <v>27</v>
      </c>
    </row>
    <row r="15" spans="1:10" ht="15" customHeight="1" x14ac:dyDescent="0.25">
      <c r="A15" s="89" t="s">
        <v>287</v>
      </c>
      <c r="B15" s="48" t="s">
        <v>34</v>
      </c>
      <c r="C15" s="690">
        <f>GETPIVOTDATA("Sum of Brigade Manager",WTFTERoleAreaPivot!$A$3,"ReportingLevel","1:LA","lvl","Argyll and Bute")</f>
        <v>0</v>
      </c>
      <c r="D15" s="690" t="s">
        <v>564</v>
      </c>
      <c r="E15" s="690" t="s">
        <v>564</v>
      </c>
      <c r="F15" s="682">
        <f>GETPIVOTDATA("Sum of Station Manager",WTFTERoleAreaPivot!$A$3,"ReportingLevel","1:LA","lvl","Argyll and Bute")</f>
        <v>0</v>
      </c>
      <c r="G15" s="682">
        <f>GETPIVOTDATA("Sum of Watch Manager",WTFTERoleAreaPivot!$A$3,"ReportingLevel","1:LA","lvl","Argyll and Bute")</f>
        <v>11</v>
      </c>
      <c r="H15" s="682">
        <f>GETPIVOTDATA("Sum of Crew Manager",WTFTERoleAreaPivot!$A$3,"ReportingLevel","1:LA","lvl","Argyll and Bute")</f>
        <v>10</v>
      </c>
      <c r="I15" s="682">
        <f>GETPIVOTDATA("Sum of Firefighter",WTFTERoleAreaPivot!$A$3,"ReportingLevel","1:LA","lvl","Argyll and Bute")</f>
        <v>34</v>
      </c>
      <c r="J15" s="66">
        <f t="shared" si="1"/>
        <v>55</v>
      </c>
    </row>
    <row r="16" spans="1:10" ht="15" customHeight="1" x14ac:dyDescent="0.25">
      <c r="A16" s="89" t="s">
        <v>288</v>
      </c>
      <c r="B16" s="48" t="s">
        <v>243</v>
      </c>
      <c r="C16" s="690">
        <f>GETPIVOTDATA("Sum of Brigade Manager",WTFTERoleAreaPivot!$A$3,"ReportingLevel","1:LA","lvl","City of Edinburgh")</f>
        <v>0</v>
      </c>
      <c r="D16" s="690" t="s">
        <v>564</v>
      </c>
      <c r="E16" s="690" t="s">
        <v>564</v>
      </c>
      <c r="F16" s="682">
        <f>GETPIVOTDATA("Sum of Station Manager",WTFTERoleAreaPivot!$A$3,"ReportingLevel","1:LA","lvl","City of Edinburgh")</f>
        <v>0</v>
      </c>
      <c r="G16" s="682">
        <f>GETPIVOTDATA("Sum of Watch Manager",WTFTERoleAreaPivot!$A$3,"ReportingLevel","1:LA","lvl","City of Edinburgh")</f>
        <v>35</v>
      </c>
      <c r="H16" s="682">
        <f>GETPIVOTDATA("Sum of Crew Manager",WTFTERoleAreaPivot!$A$3,"ReportingLevel","1:LA","lvl","City of Edinburgh")</f>
        <v>59</v>
      </c>
      <c r="I16" s="682">
        <f>GETPIVOTDATA("Sum of Firefighter",WTFTERoleAreaPivot!$A$3,"ReportingLevel","1:LA","lvl","City of Edinburgh")</f>
        <v>198.5</v>
      </c>
      <c r="J16" s="66">
        <f t="shared" si="1"/>
        <v>292.5</v>
      </c>
    </row>
    <row r="17" spans="1:10" ht="15" customHeight="1" x14ac:dyDescent="0.25">
      <c r="A17" s="89" t="s">
        <v>266</v>
      </c>
      <c r="B17" s="48" t="s">
        <v>35</v>
      </c>
      <c r="C17" s="690">
        <f>GETPIVOTDATA("Sum of Brigade Manager",WTFTERoleAreaPivot!$A$3,"ReportingLevel","1:LA","lvl","Clackmannanshire")</f>
        <v>0</v>
      </c>
      <c r="D17" s="690" t="s">
        <v>564</v>
      </c>
      <c r="E17" s="690" t="s">
        <v>564</v>
      </c>
      <c r="F17" s="682">
        <f>GETPIVOTDATA("Sum of Station Manager",WTFTERoleAreaPivot!$A$3,"ReportingLevel","1:LA","lvl","Clackmannanshire")</f>
        <v>0</v>
      </c>
      <c r="G17" s="682">
        <f>GETPIVOTDATA("Sum of Watch Manager",WTFTERoleAreaPivot!$A$3,"ReportingLevel","1:LA","lvl","Clackmannanshire")</f>
        <v>6</v>
      </c>
      <c r="H17" s="682">
        <f>GETPIVOTDATA("Sum of Crew Manager",WTFTERoleAreaPivot!$A$3,"ReportingLevel","1:LA","lvl","Clackmannanshire")</f>
        <v>5</v>
      </c>
      <c r="I17" s="682">
        <f>GETPIVOTDATA("Sum of Firefighter",WTFTERoleAreaPivot!$A$3,"ReportingLevel","1:LA","lvl","Clackmannanshire")</f>
        <v>16</v>
      </c>
      <c r="J17" s="66">
        <f t="shared" si="1"/>
        <v>27</v>
      </c>
    </row>
    <row r="18" spans="1:10" ht="15" customHeight="1" x14ac:dyDescent="0.25">
      <c r="A18" s="89" t="s">
        <v>267</v>
      </c>
      <c r="B18" s="48" t="s">
        <v>36</v>
      </c>
      <c r="C18" s="690">
        <f>GETPIVOTDATA("Sum of Brigade Manager",WTFTERoleAreaPivot!$A$3,"ReportingLevel","1:LA","lvl","Dumfries and Galloway")</f>
        <v>0</v>
      </c>
      <c r="D18" s="690" t="s">
        <v>564</v>
      </c>
      <c r="E18" s="690" t="s">
        <v>564</v>
      </c>
      <c r="F18" s="682">
        <f>GETPIVOTDATA("Sum of Station Manager",WTFTERoleAreaPivot!$A$3,"ReportingLevel","1:LA","lvl","Dumfries and Galloway")</f>
        <v>0</v>
      </c>
      <c r="G18" s="682">
        <f>GETPIVOTDATA("Sum of Watch Manager",WTFTERoleAreaPivot!$A$3,"ReportingLevel","1:LA","lvl","Dumfries and Galloway")</f>
        <v>5</v>
      </c>
      <c r="H18" s="682">
        <f>GETPIVOTDATA("Sum of Crew Manager",WTFTERoleAreaPivot!$A$3,"ReportingLevel","1:LA","lvl","Dumfries and Galloway")</f>
        <v>10</v>
      </c>
      <c r="I18" s="682">
        <f>GETPIVOTDATA("Sum of Firefighter",WTFTERoleAreaPivot!$A$3,"ReportingLevel","1:LA","lvl","Dumfries and Galloway")</f>
        <v>38</v>
      </c>
      <c r="J18" s="66">
        <f t="shared" si="1"/>
        <v>53</v>
      </c>
    </row>
    <row r="19" spans="1:10" ht="15" customHeight="1" x14ac:dyDescent="0.25">
      <c r="A19" s="89" t="s">
        <v>293</v>
      </c>
      <c r="B19" s="48" t="s">
        <v>37</v>
      </c>
      <c r="C19" s="690">
        <f>GETPIVOTDATA("Sum of Brigade Manager",WTFTERoleAreaPivot!$A$3,"ReportingLevel","1:LA","lvl","Dundee City")</f>
        <v>0</v>
      </c>
      <c r="D19" s="690" t="s">
        <v>564</v>
      </c>
      <c r="E19" s="690" t="s">
        <v>564</v>
      </c>
      <c r="F19" s="682">
        <f>GETPIVOTDATA("Sum of Station Manager",WTFTERoleAreaPivot!$A$3,"ReportingLevel","1:LA","lvl","Dundee City")</f>
        <v>0</v>
      </c>
      <c r="G19" s="682">
        <f>GETPIVOTDATA("Sum of Watch Manager",WTFTERoleAreaPivot!$A$3,"ReportingLevel","1:LA","lvl","Dundee City")</f>
        <v>20</v>
      </c>
      <c r="H19" s="682">
        <f>GETPIVOTDATA("Sum of Crew Manager",WTFTERoleAreaPivot!$A$3,"ReportingLevel","1:LA","lvl","Dundee City")</f>
        <v>30</v>
      </c>
      <c r="I19" s="682">
        <f>GETPIVOTDATA("Sum of Firefighter",WTFTERoleAreaPivot!$A$3,"ReportingLevel","1:LA","lvl","Dundee City")</f>
        <v>118</v>
      </c>
      <c r="J19" s="66">
        <f t="shared" si="1"/>
        <v>168</v>
      </c>
    </row>
    <row r="20" spans="1:10" ht="15" customHeight="1" x14ac:dyDescent="0.25">
      <c r="A20" s="89" t="s">
        <v>268</v>
      </c>
      <c r="B20" s="48" t="s">
        <v>38</v>
      </c>
      <c r="C20" s="690">
        <f>GETPIVOTDATA("Sum of Brigade Manager",WTFTERoleAreaPivot!$A$3,"ReportingLevel","1:LA","lvl","East Ayrshire")</f>
        <v>0</v>
      </c>
      <c r="D20" s="690" t="s">
        <v>564</v>
      </c>
      <c r="E20" s="690" t="s">
        <v>564</v>
      </c>
      <c r="F20" s="682">
        <f>GETPIVOTDATA("Sum of Station Manager",WTFTERoleAreaPivot!$A$3,"ReportingLevel","1:LA","lvl","East Ayrshire")</f>
        <v>0</v>
      </c>
      <c r="G20" s="682">
        <f>GETPIVOTDATA("Sum of Watch Manager",WTFTERoleAreaPivot!$A$3,"ReportingLevel","1:LA","lvl","East Ayrshire")</f>
        <v>6</v>
      </c>
      <c r="H20" s="682">
        <f>GETPIVOTDATA("Sum of Crew Manager",WTFTERoleAreaPivot!$A$3,"ReportingLevel","1:LA","lvl","East Ayrshire")</f>
        <v>10</v>
      </c>
      <c r="I20" s="682">
        <f>GETPIVOTDATA("Sum of Firefighter",WTFTERoleAreaPivot!$A$3,"ReportingLevel","1:LA","lvl","East Ayrshire")</f>
        <v>32</v>
      </c>
      <c r="J20" s="66">
        <f t="shared" si="1"/>
        <v>48</v>
      </c>
    </row>
    <row r="21" spans="1:10" ht="15" customHeight="1" x14ac:dyDescent="0.25">
      <c r="A21" s="89" t="s">
        <v>295</v>
      </c>
      <c r="B21" s="48" t="s">
        <v>39</v>
      </c>
      <c r="C21" s="690">
        <f>GETPIVOTDATA("Sum of Brigade Manager",WTFTERoleAreaPivot!$A$3,"ReportingLevel","1:LA","lvl","East Dunbartonshire")</f>
        <v>0</v>
      </c>
      <c r="D21" s="690" t="s">
        <v>564</v>
      </c>
      <c r="E21" s="690" t="s">
        <v>564</v>
      </c>
      <c r="F21" s="682">
        <f>GETPIVOTDATA("Sum of Station Manager",WTFTERoleAreaPivot!$A$3,"ReportingLevel","1:LA","lvl","East Dunbartonshire")</f>
        <v>0</v>
      </c>
      <c r="G21" s="682">
        <f>GETPIVOTDATA("Sum of Watch Manager",WTFTERoleAreaPivot!$A$3,"ReportingLevel","1:LA","lvl","East Dunbartonshire")</f>
        <v>15</v>
      </c>
      <c r="H21" s="682">
        <f>GETPIVOTDATA("Sum of Crew Manager",WTFTERoleAreaPivot!$A$3,"ReportingLevel","1:LA","lvl","East Dunbartonshire")</f>
        <v>15</v>
      </c>
      <c r="I21" s="682">
        <f>GETPIVOTDATA("Sum of Firefighter",WTFTERoleAreaPivot!$A$3,"ReportingLevel","1:LA","lvl","East Dunbartonshire")</f>
        <v>46</v>
      </c>
      <c r="J21" s="66">
        <f t="shared" si="1"/>
        <v>76</v>
      </c>
    </row>
    <row r="22" spans="1:10" ht="15" customHeight="1" x14ac:dyDescent="0.25">
      <c r="A22" s="89" t="s">
        <v>269</v>
      </c>
      <c r="B22" s="48" t="s">
        <v>40</v>
      </c>
      <c r="C22" s="690">
        <f>GETPIVOTDATA("Sum of Brigade Manager",WTFTERoleAreaPivot!$A$3,"ReportingLevel","1:LA","lvl","East Lothian")</f>
        <v>0</v>
      </c>
      <c r="D22" s="690" t="s">
        <v>564</v>
      </c>
      <c r="E22" s="690" t="s">
        <v>564</v>
      </c>
      <c r="F22" s="682">
        <f>GETPIVOTDATA("Sum of Station Manager",WTFTERoleAreaPivot!$A$3,"ReportingLevel","1:LA","lvl","East Lothian")</f>
        <v>0</v>
      </c>
      <c r="G22" s="682">
        <f>GETPIVOTDATA("Sum of Watch Manager",WTFTERoleAreaPivot!$A$3,"ReportingLevel","1:LA","lvl","East Lothian")</f>
        <v>5</v>
      </c>
      <c r="H22" s="682">
        <f>GETPIVOTDATA("Sum of Crew Manager",WTFTERoleAreaPivot!$A$3,"ReportingLevel","1:LA","lvl","East Lothian")</f>
        <v>5</v>
      </c>
      <c r="I22" s="682">
        <f>GETPIVOTDATA("Sum of Firefighter",WTFTERoleAreaPivot!$A$3,"ReportingLevel","1:LA","lvl","East Lothian")</f>
        <v>15</v>
      </c>
      <c r="J22" s="66">
        <f t="shared" si="1"/>
        <v>25</v>
      </c>
    </row>
    <row r="23" spans="1:10" ht="15" customHeight="1" x14ac:dyDescent="0.25">
      <c r="A23" s="89" t="s">
        <v>270</v>
      </c>
      <c r="B23" s="48" t="s">
        <v>41</v>
      </c>
      <c r="C23" s="690">
        <f>GETPIVOTDATA("Sum of Brigade Manager",WTFTERoleAreaPivot!$A$3,"ReportingLevel","1:LA","lvl","East Renfrewshire")</f>
        <v>0</v>
      </c>
      <c r="D23" s="690" t="s">
        <v>564</v>
      </c>
      <c r="E23" s="690" t="s">
        <v>564</v>
      </c>
      <c r="F23" s="682">
        <f>GETPIVOTDATA("Sum of Station Manager",WTFTERoleAreaPivot!$A$3,"ReportingLevel","1:LA","lvl","East Renfrewshire")</f>
        <v>0</v>
      </c>
      <c r="G23" s="682">
        <f>GETPIVOTDATA("Sum of Watch Manager",WTFTERoleAreaPivot!$A$3,"ReportingLevel","1:LA","lvl","East Renfrewshire")</f>
        <v>10</v>
      </c>
      <c r="H23" s="682">
        <f>GETPIVOTDATA("Sum of Crew Manager",WTFTERoleAreaPivot!$A$3,"ReportingLevel","1:LA","lvl","East Renfrewshire")</f>
        <v>10</v>
      </c>
      <c r="I23" s="682">
        <f>GETPIVOTDATA("Sum of Firefighter",WTFTERoleAreaPivot!$A$3,"ReportingLevel","1:LA","lvl","East Renfrewshire")</f>
        <v>33</v>
      </c>
      <c r="J23" s="66">
        <f t="shared" si="1"/>
        <v>53</v>
      </c>
    </row>
    <row r="24" spans="1:10" ht="15" customHeight="1" x14ac:dyDescent="0.25">
      <c r="A24" s="89" t="s">
        <v>272</v>
      </c>
      <c r="B24" s="48" t="s">
        <v>42</v>
      </c>
      <c r="C24" s="690">
        <f>GETPIVOTDATA("Sum of Brigade Manager",WTFTERoleAreaPivot!$A$3,"ReportingLevel","1:LA","lvl","Falkirk")</f>
        <v>0</v>
      </c>
      <c r="D24" s="690" t="s">
        <v>564</v>
      </c>
      <c r="E24" s="690" t="s">
        <v>564</v>
      </c>
      <c r="F24" s="682">
        <f>GETPIVOTDATA("Sum of Station Manager",WTFTERoleAreaPivot!$A$3,"ReportingLevel","1:LA","lvl","Falkirk")</f>
        <v>0</v>
      </c>
      <c r="G24" s="682">
        <f>GETPIVOTDATA("Sum of Watch Manager",WTFTERoleAreaPivot!$A$3,"ReportingLevel","1:LA","lvl","Falkirk")</f>
        <v>15</v>
      </c>
      <c r="H24" s="682">
        <f>GETPIVOTDATA("Sum of Crew Manager",WTFTERoleAreaPivot!$A$3,"ReportingLevel","1:LA","lvl","Falkirk")</f>
        <v>20</v>
      </c>
      <c r="I24" s="682">
        <f>GETPIVOTDATA("Sum of Firefighter",WTFTERoleAreaPivot!$A$3,"ReportingLevel","1:LA","lvl","Falkirk")</f>
        <v>56</v>
      </c>
      <c r="J24" s="66">
        <f t="shared" si="1"/>
        <v>91</v>
      </c>
    </row>
    <row r="25" spans="1:10" ht="15" customHeight="1" x14ac:dyDescent="0.25">
      <c r="A25" s="89" t="s">
        <v>297</v>
      </c>
      <c r="B25" s="48" t="s">
        <v>43</v>
      </c>
      <c r="C25" s="690">
        <f>GETPIVOTDATA("Sum of Brigade Manager",WTFTERoleAreaPivot!$A$3,"ReportingLevel","1:LA","lvl","Fife")</f>
        <v>0</v>
      </c>
      <c r="D25" s="690" t="s">
        <v>564</v>
      </c>
      <c r="E25" s="690" t="s">
        <v>564</v>
      </c>
      <c r="F25" s="682">
        <f>GETPIVOTDATA("Sum of Station Manager",WTFTERoleAreaPivot!$A$3,"ReportingLevel","1:LA","lvl","Fife")</f>
        <v>0</v>
      </c>
      <c r="G25" s="682">
        <f>GETPIVOTDATA("Sum of Watch Manager",WTFTERoleAreaPivot!$A$3,"ReportingLevel","1:LA","lvl","Fife")</f>
        <v>27</v>
      </c>
      <c r="H25" s="682">
        <f>GETPIVOTDATA("Sum of Crew Manager",WTFTERoleAreaPivot!$A$3,"ReportingLevel","1:LA","lvl","Fife")</f>
        <v>43</v>
      </c>
      <c r="I25" s="682">
        <f>GETPIVOTDATA("Sum of Firefighter",WTFTERoleAreaPivot!$A$3,"ReportingLevel","1:LA","lvl","Fife")</f>
        <v>146</v>
      </c>
      <c r="J25" s="66">
        <f t="shared" si="1"/>
        <v>216</v>
      </c>
    </row>
    <row r="26" spans="1:10" ht="15" customHeight="1" x14ac:dyDescent="0.25">
      <c r="A26" s="89" t="str">
        <f>IF(OR(A9 = "2018-19", A9 = "2017-18", A9 = "2016-17", A9 = "2015-16", A9 = "2014-15", A9 = "2013-14"),"S12000049","S12000046")</f>
        <v>S12000046</v>
      </c>
      <c r="B26" s="48" t="s">
        <v>117</v>
      </c>
      <c r="C26" s="690">
        <f>GETPIVOTDATA("Sum of Brigade Manager",WTFTERoleAreaPivot!$A$3,"ReportingLevel","1:LA","lvl","Glasgow City")</f>
        <v>0</v>
      </c>
      <c r="D26" s="690" t="s">
        <v>564</v>
      </c>
      <c r="E26" s="690" t="s">
        <v>564</v>
      </c>
      <c r="F26" s="682">
        <f>GETPIVOTDATA("Sum of Station Manager",WTFTERoleAreaPivot!$A$3,"ReportingLevel","1:LA","lvl","Glasgow City")</f>
        <v>0</v>
      </c>
      <c r="G26" s="682">
        <f>GETPIVOTDATA("Sum of Watch Manager",WTFTERoleAreaPivot!$A$3,"ReportingLevel","1:LA","lvl","Glasgow City")</f>
        <v>67</v>
      </c>
      <c r="H26" s="682">
        <f>GETPIVOTDATA("Sum of Crew Manager",WTFTERoleAreaPivot!$A$3,"ReportingLevel","1:LA","lvl","Glasgow City")</f>
        <v>94</v>
      </c>
      <c r="I26" s="682">
        <f>GETPIVOTDATA("Sum of Firefighter",WTFTERoleAreaPivot!$A$3,"ReportingLevel","1:LA","lvl","Glasgow City")</f>
        <v>302</v>
      </c>
      <c r="J26" s="66">
        <f t="shared" si="1"/>
        <v>463</v>
      </c>
    </row>
    <row r="27" spans="1:10" ht="15" customHeight="1" x14ac:dyDescent="0.25">
      <c r="A27" s="89" t="s">
        <v>273</v>
      </c>
      <c r="B27" s="48" t="s">
        <v>44</v>
      </c>
      <c r="C27" s="690">
        <f>GETPIVOTDATA("Sum of Brigade Manager",WTFTERoleAreaPivot!$A$3,"ReportingLevel","1:LA","lvl","Highland")</f>
        <v>0</v>
      </c>
      <c r="D27" s="690" t="s">
        <v>564</v>
      </c>
      <c r="E27" s="690" t="s">
        <v>564</v>
      </c>
      <c r="F27" s="682">
        <f>GETPIVOTDATA("Sum of Station Manager",WTFTERoleAreaPivot!$A$3,"ReportingLevel","1:LA","lvl","Highland")</f>
        <v>0</v>
      </c>
      <c r="G27" s="682">
        <f>GETPIVOTDATA("Sum of Watch Manager",WTFTERoleAreaPivot!$A$3,"ReportingLevel","1:LA","lvl","Highland")</f>
        <v>8</v>
      </c>
      <c r="H27" s="682">
        <f>GETPIVOTDATA("Sum of Crew Manager",WTFTERoleAreaPivot!$A$3,"ReportingLevel","1:LA","lvl","Highland")</f>
        <v>20</v>
      </c>
      <c r="I27" s="682">
        <f>GETPIVOTDATA("Sum of Firefighter",WTFTERoleAreaPivot!$A$3,"ReportingLevel","1:LA","lvl","Highland")</f>
        <v>52</v>
      </c>
      <c r="J27" s="66">
        <f t="shared" si="1"/>
        <v>80</v>
      </c>
    </row>
    <row r="28" spans="1:10" ht="15" customHeight="1" x14ac:dyDescent="0.25">
      <c r="A28" s="89" t="s">
        <v>274</v>
      </c>
      <c r="B28" s="48" t="s">
        <v>45</v>
      </c>
      <c r="C28" s="690">
        <f>GETPIVOTDATA("Sum of Brigade Manager",WTFTERoleAreaPivot!$A$3,"ReportingLevel","1:LA","lvl","Inverclyde")</f>
        <v>0</v>
      </c>
      <c r="D28" s="690" t="s">
        <v>564</v>
      </c>
      <c r="E28" s="690" t="s">
        <v>564</v>
      </c>
      <c r="F28" s="682">
        <f>GETPIVOTDATA("Sum of Station Manager",WTFTERoleAreaPivot!$A$3,"ReportingLevel","1:LA","lvl","Inverclyde")</f>
        <v>0</v>
      </c>
      <c r="G28" s="682">
        <f>GETPIVOTDATA("Sum of Watch Manager",WTFTERoleAreaPivot!$A$3,"ReportingLevel","1:LA","lvl","Inverclyde")</f>
        <v>10</v>
      </c>
      <c r="H28" s="682">
        <f>GETPIVOTDATA("Sum of Crew Manager",WTFTERoleAreaPivot!$A$3,"ReportingLevel","1:LA","lvl","Inverclyde")</f>
        <v>14</v>
      </c>
      <c r="I28" s="682">
        <f>GETPIVOTDATA("Sum of Firefighter",WTFTERoleAreaPivot!$A$3,"ReportingLevel","1:LA","lvl","Inverclyde")</f>
        <v>39</v>
      </c>
      <c r="J28" s="66">
        <f t="shared" si="1"/>
        <v>63</v>
      </c>
    </row>
    <row r="29" spans="1:10" ht="15" customHeight="1" x14ac:dyDescent="0.25">
      <c r="A29" s="89" t="s">
        <v>275</v>
      </c>
      <c r="B29" s="48" t="s">
        <v>46</v>
      </c>
      <c r="C29" s="690">
        <f>GETPIVOTDATA("Sum of Brigade Manager",WTFTERoleAreaPivot!$A$3,"ReportingLevel","1:LA","lvl","Midlothian")</f>
        <v>0</v>
      </c>
      <c r="D29" s="690" t="s">
        <v>564</v>
      </c>
      <c r="E29" s="690" t="s">
        <v>564</v>
      </c>
      <c r="F29" s="682">
        <f>GETPIVOTDATA("Sum of Station Manager",WTFTERoleAreaPivot!$A$3,"ReportingLevel","1:LA","lvl","Midlothian")</f>
        <v>0</v>
      </c>
      <c r="G29" s="682">
        <f>GETPIVOTDATA("Sum of Watch Manager",WTFTERoleAreaPivot!$A$3,"ReportingLevel","1:LA","lvl","Midlothian")</f>
        <v>6</v>
      </c>
      <c r="H29" s="682">
        <f>GETPIVOTDATA("Sum of Crew Manager",WTFTERoleAreaPivot!$A$3,"ReportingLevel","1:LA","lvl","Midlothian")</f>
        <v>7</v>
      </c>
      <c r="I29" s="682">
        <f>GETPIVOTDATA("Sum of Firefighter",WTFTERoleAreaPivot!$A$3,"ReportingLevel","1:LA","lvl","Midlothian")</f>
        <v>16</v>
      </c>
      <c r="J29" s="66">
        <f t="shared" si="1"/>
        <v>29</v>
      </c>
    </row>
    <row r="30" spans="1:10" ht="15" customHeight="1" x14ac:dyDescent="0.25">
      <c r="A30" s="89" t="s">
        <v>276</v>
      </c>
      <c r="B30" s="48" t="s">
        <v>47</v>
      </c>
      <c r="C30" s="690">
        <f>GETPIVOTDATA("Sum of Brigade Manager",WTFTERoleAreaPivot!$A$3,"ReportingLevel","1:LA","lvl","Moray")</f>
        <v>0</v>
      </c>
      <c r="D30" s="690" t="s">
        <v>564</v>
      </c>
      <c r="E30" s="690" t="s">
        <v>564</v>
      </c>
      <c r="F30" s="682">
        <f>GETPIVOTDATA("Sum of Station Manager",WTFTERoleAreaPivot!$A$3,"ReportingLevel","1:LA","lvl","Moray")</f>
        <v>0</v>
      </c>
      <c r="G30" s="682">
        <f>GETPIVOTDATA("Sum of Watch Manager",WTFTERoleAreaPivot!$A$3,"ReportingLevel","1:LA","lvl","Moray")</f>
        <v>5</v>
      </c>
      <c r="H30" s="682">
        <f>GETPIVOTDATA("Sum of Crew Manager",WTFTERoleAreaPivot!$A$3,"ReportingLevel","1:LA","lvl","Moray")</f>
        <v>4</v>
      </c>
      <c r="I30" s="682">
        <f>GETPIVOTDATA("Sum of Firefighter",WTFTERoleAreaPivot!$A$3,"ReportingLevel","1:LA","lvl","Moray")</f>
        <v>21</v>
      </c>
      <c r="J30" s="66">
        <f t="shared" si="1"/>
        <v>30</v>
      </c>
    </row>
    <row r="31" spans="1:10" ht="15" customHeight="1" x14ac:dyDescent="0.25">
      <c r="A31" s="89" t="s">
        <v>271</v>
      </c>
      <c r="B31" s="48" t="s">
        <v>48</v>
      </c>
      <c r="C31" s="690">
        <f>IFERROR(GETPIVOTDATA("Sum of Brigade Manager",WTFTERoleAreaPivot!$A$3,"ReportingLevel","1:LA","lvl","Na h-Eileanan Siar"), "-")</f>
        <v>0</v>
      </c>
      <c r="D31" s="690" t="s">
        <v>564</v>
      </c>
      <c r="E31" s="690" t="s">
        <v>564</v>
      </c>
      <c r="F31" s="682">
        <f>IFERROR(GETPIVOTDATA("Sum of Station Manager",WTFTERoleAreaPivot!$A$3,"ReportingLevel","1:LA","lvl","Na h-Eileanan Siar"), "-")</f>
        <v>0</v>
      </c>
      <c r="G31" s="682">
        <f>IFERROR(GETPIVOTDATA("Sum of Watch Manager",WTFTERoleAreaPivot!$A$3,"ReportingLevel","1:LA","lvl","Na h-Eileanan Siar"), "-")</f>
        <v>3</v>
      </c>
      <c r="H31" s="682">
        <f>IFERROR(GETPIVOTDATA("Sum of Crew Manager",WTFTERoleAreaPivot!$A$3,"ReportingLevel","1:LA","lvl","Na h-Eileanan Siar"), "-")</f>
        <v>0</v>
      </c>
      <c r="I31" s="682">
        <f>IFERROR(GETPIVOTDATA("Sum of Firefighter",WTFTERoleAreaPivot!$A$3,"ReportingLevel","1:LA","lvl","Na h-Eileanan Siar"), "-")</f>
        <v>0</v>
      </c>
      <c r="J31" s="66">
        <f t="shared" si="1"/>
        <v>3</v>
      </c>
    </row>
    <row r="32" spans="1:10" ht="15" customHeight="1" x14ac:dyDescent="0.25">
      <c r="A32" s="89" t="s">
        <v>277</v>
      </c>
      <c r="B32" s="48" t="s">
        <v>49</v>
      </c>
      <c r="C32" s="690">
        <f>GETPIVOTDATA("Sum of Brigade Manager",WTFTERoleAreaPivot!$A$3,"ReportingLevel","1:LA","lvl","North Ayrshire")</f>
        <v>0</v>
      </c>
      <c r="D32" s="690" t="s">
        <v>564</v>
      </c>
      <c r="E32" s="690" t="s">
        <v>564</v>
      </c>
      <c r="F32" s="682">
        <f>GETPIVOTDATA("Sum of Station Manager",WTFTERoleAreaPivot!$A$3,"ReportingLevel","1:LA","lvl","North Ayrshire")</f>
        <v>0</v>
      </c>
      <c r="G32" s="682">
        <f>GETPIVOTDATA("Sum of Watch Manager",WTFTERoleAreaPivot!$A$3,"ReportingLevel","1:LA","lvl","North Ayrshire")</f>
        <v>15</v>
      </c>
      <c r="H32" s="682">
        <f>GETPIVOTDATA("Sum of Crew Manager",WTFTERoleAreaPivot!$A$3,"ReportingLevel","1:LA","lvl","North Ayrshire")</f>
        <v>16</v>
      </c>
      <c r="I32" s="682">
        <f>GETPIVOTDATA("Sum of Firefighter",WTFTERoleAreaPivot!$A$3,"ReportingLevel","1:LA","lvl","North Ayrshire")</f>
        <v>54</v>
      </c>
      <c r="J32" s="66">
        <f t="shared" si="1"/>
        <v>85</v>
      </c>
    </row>
    <row r="33" spans="1:10" ht="15" customHeight="1" x14ac:dyDescent="0.25">
      <c r="A33" s="89" t="str">
        <f>IF(OR(A9 = "2018-19", A9 = "2017-18", A9 = "2016-17", A9 = "2015-16", A9 = "2014-15", A9 = "2013-14"),"S12000050","S12000044")</f>
        <v>S12000044</v>
      </c>
      <c r="B33" s="48" t="s">
        <v>50</v>
      </c>
      <c r="C33" s="690">
        <f>GETPIVOTDATA("Sum of Brigade Manager",WTFTERoleAreaPivot!$A$3,"ReportingLevel","1:LA","lvl","North Lanarkshire")</f>
        <v>0</v>
      </c>
      <c r="D33" s="690" t="s">
        <v>564</v>
      </c>
      <c r="E33" s="690" t="s">
        <v>564</v>
      </c>
      <c r="F33" s="682">
        <f>GETPIVOTDATA("Sum of Station Manager",WTFTERoleAreaPivot!$A$3,"ReportingLevel","1:LA","lvl","North Lanarkshire")</f>
        <v>0</v>
      </c>
      <c r="G33" s="682">
        <f>GETPIVOTDATA("Sum of Watch Manager",WTFTERoleAreaPivot!$A$3,"ReportingLevel","1:LA","lvl","North Lanarkshire")</f>
        <v>21</v>
      </c>
      <c r="H33" s="682">
        <f>GETPIVOTDATA("Sum of Crew Manager",WTFTERoleAreaPivot!$A$3,"ReportingLevel","1:LA","lvl","North Lanarkshire")</f>
        <v>36</v>
      </c>
      <c r="I33" s="682">
        <f>GETPIVOTDATA("Sum of Firefighter",WTFTERoleAreaPivot!$A$3,"ReportingLevel","1:LA","lvl","North Lanarkshire")</f>
        <v>112</v>
      </c>
      <c r="J33" s="66">
        <f t="shared" si="1"/>
        <v>169</v>
      </c>
    </row>
    <row r="34" spans="1:10" ht="15" customHeight="1" x14ac:dyDescent="0.25">
      <c r="A34" s="89" t="s">
        <v>278</v>
      </c>
      <c r="B34" s="48" t="s">
        <v>51</v>
      </c>
      <c r="C34" s="690" t="str">
        <f>IFERROR(GETPIVOTDATA("Sum of Brigade Manager",WTFTERoleAreaPivot!$A$3,"ReportingLevel","1:LA","lvl","Orkney Islands"),"-")</f>
        <v>-</v>
      </c>
      <c r="D34" s="690" t="s">
        <v>564</v>
      </c>
      <c r="E34" s="690" t="s">
        <v>564</v>
      </c>
      <c r="F34" s="682" t="str">
        <f>IFERROR(GETPIVOTDATA("Sum of Station Manager",WTFTERoleAreaPivot!$A$3,"ReportingLevel","1:LA","lvl","Orkney Islands"),"-")</f>
        <v>-</v>
      </c>
      <c r="G34" s="682" t="str">
        <f>IFERROR(GETPIVOTDATA("Sum of Watch Manager",WTFTERoleAreaPivot!$A$3,"ReportingLevel","1:LA","lvl","Orkney Islands"),"-")</f>
        <v>-</v>
      </c>
      <c r="H34" s="682" t="str">
        <f>IFERROR(GETPIVOTDATA("Sum of Crew Manager",WTFTERoleAreaPivot!$A$3,"ReportingLevel","1:LA","lvl","Orkney Islands"),"-")</f>
        <v>-</v>
      </c>
      <c r="I34" s="682" t="str">
        <f>IFERROR(GETPIVOTDATA("Sum of Firefighter",WTFTERoleAreaPivot!$A$3,"ReportingLevel","1:LA","lvl","Orkney Islands"),"-")</f>
        <v>-</v>
      </c>
      <c r="J34" s="66">
        <f t="shared" si="1"/>
        <v>0</v>
      </c>
    </row>
    <row r="35" spans="1:10" ht="15" customHeight="1" x14ac:dyDescent="0.25">
      <c r="A35" s="89" t="s">
        <v>279</v>
      </c>
      <c r="B35" s="48" t="s">
        <v>52</v>
      </c>
      <c r="C35" s="690">
        <f>GETPIVOTDATA("Sum of Brigade Manager",WTFTERoleAreaPivot!$A$3,"ReportingLevel","1:LA","lvl","Perth and Kinross")</f>
        <v>0</v>
      </c>
      <c r="D35" s="690" t="s">
        <v>564</v>
      </c>
      <c r="E35" s="690" t="s">
        <v>564</v>
      </c>
      <c r="F35" s="682">
        <f>GETPIVOTDATA("Sum of Station Manager",WTFTERoleAreaPivot!$A$3,"ReportingLevel","1:LA","lvl","Perth and Kinross")</f>
        <v>0</v>
      </c>
      <c r="G35" s="682">
        <f>GETPIVOTDATA("Sum of Watch Manager",WTFTERoleAreaPivot!$A$3,"ReportingLevel","1:LA","lvl","Perth and Kinross")</f>
        <v>5</v>
      </c>
      <c r="H35" s="682">
        <f>GETPIVOTDATA("Sum of Crew Manager",WTFTERoleAreaPivot!$A$3,"ReportingLevel","1:LA","lvl","Perth and Kinross")</f>
        <v>12</v>
      </c>
      <c r="I35" s="682">
        <f>GETPIVOTDATA("Sum of Firefighter",WTFTERoleAreaPivot!$A$3,"ReportingLevel","1:LA","lvl","Perth and Kinross")</f>
        <v>49</v>
      </c>
      <c r="J35" s="66">
        <f t="shared" si="1"/>
        <v>66</v>
      </c>
    </row>
    <row r="36" spans="1:10" ht="15" customHeight="1" x14ac:dyDescent="0.25">
      <c r="A36" s="89" t="s">
        <v>289</v>
      </c>
      <c r="B36" s="48" t="s">
        <v>53</v>
      </c>
      <c r="C36" s="690">
        <f>GETPIVOTDATA("Sum of Brigade Manager",WTFTERoleAreaPivot!$A$3,"ReportingLevel","1:LA","lvl","Renfrewshire")</f>
        <v>0</v>
      </c>
      <c r="D36" s="690" t="s">
        <v>564</v>
      </c>
      <c r="E36" s="690" t="s">
        <v>564</v>
      </c>
      <c r="F36" s="682">
        <f>GETPIVOTDATA("Sum of Station Manager",WTFTERoleAreaPivot!$A$3,"ReportingLevel","1:LA","lvl","Renfrewshire")</f>
        <v>0</v>
      </c>
      <c r="G36" s="682">
        <f>GETPIVOTDATA("Sum of Watch Manager",WTFTERoleAreaPivot!$A$3,"ReportingLevel","1:LA","lvl","Renfrewshire")</f>
        <v>15</v>
      </c>
      <c r="H36" s="682">
        <f>GETPIVOTDATA("Sum of Crew Manager",WTFTERoleAreaPivot!$A$3,"ReportingLevel","1:LA","lvl","Renfrewshire")</f>
        <v>21</v>
      </c>
      <c r="I36" s="682">
        <f>GETPIVOTDATA("Sum of Firefighter",WTFTERoleAreaPivot!$A$3,"ReportingLevel","1:LA","lvl","Renfrewshire")</f>
        <v>66</v>
      </c>
      <c r="J36" s="66">
        <f t="shared" si="1"/>
        <v>102</v>
      </c>
    </row>
    <row r="37" spans="1:10" ht="15" customHeight="1" x14ac:dyDescent="0.25">
      <c r="A37" s="89" t="s">
        <v>280</v>
      </c>
      <c r="B37" s="48" t="s">
        <v>54</v>
      </c>
      <c r="C37" s="690">
        <f>GETPIVOTDATA("Sum of Brigade Manager",WTFTERoleAreaPivot!$A$3,"ReportingLevel","1:LA","lvl","Scottish Borders")</f>
        <v>0</v>
      </c>
      <c r="D37" s="690" t="s">
        <v>564</v>
      </c>
      <c r="E37" s="690" t="s">
        <v>564</v>
      </c>
      <c r="F37" s="682">
        <f>GETPIVOTDATA("Sum of Station Manager",WTFTERoleAreaPivot!$A$3,"ReportingLevel","1:LA","lvl","Scottish Borders")</f>
        <v>0</v>
      </c>
      <c r="G37" s="682">
        <f>GETPIVOTDATA("Sum of Watch Manager",WTFTERoleAreaPivot!$A$3,"ReportingLevel","1:LA","lvl","Scottish Borders")</f>
        <v>10</v>
      </c>
      <c r="H37" s="682">
        <f>GETPIVOTDATA("Sum of Crew Manager",WTFTERoleAreaPivot!$A$3,"ReportingLevel","1:LA","lvl","Scottish Borders")</f>
        <v>9</v>
      </c>
      <c r="I37" s="682">
        <f>GETPIVOTDATA("Sum of Firefighter",WTFTERoleAreaPivot!$A$3,"ReportingLevel","1:LA","lvl","Scottish Borders")</f>
        <v>38</v>
      </c>
      <c r="J37" s="66">
        <f t="shared" si="1"/>
        <v>57</v>
      </c>
    </row>
    <row r="38" spans="1:10" ht="15" customHeight="1" x14ac:dyDescent="0.25">
      <c r="A38" s="89" t="s">
        <v>281</v>
      </c>
      <c r="B38" s="48" t="s">
        <v>55</v>
      </c>
      <c r="C38" s="690">
        <f>IFERROR(GETPIVOTDATA("Sum of Brigade Manager",WTFTERoleAreaPivot!$A$3,"ReportingLevel","1:LA","lvl","Shetland Islands"),"-")</f>
        <v>0</v>
      </c>
      <c r="D38" s="690" t="s">
        <v>564</v>
      </c>
      <c r="E38" s="690" t="s">
        <v>564</v>
      </c>
      <c r="F38" s="682">
        <f>IFERROR(GETPIVOTDATA("Sum of Station Manager",WTFTERoleAreaPivot!$A$3,"ReportingLevel","1:LA","lvl","Shetland Islands"),"-")</f>
        <v>0</v>
      </c>
      <c r="G38" s="682">
        <f>IFERROR(GETPIVOTDATA("Sum of Watch Manager",WTFTERoleAreaPivot!$A$3,"ReportingLevel","1:LA","lvl","Shetland Islands"),"-")</f>
        <v>1</v>
      </c>
      <c r="H38" s="682">
        <f>IFERROR(GETPIVOTDATA("Sum of Crew Manager",WTFTERoleAreaPivot!$A$3,"ReportingLevel","1:LA","lvl","Shetland Islands"),"-")</f>
        <v>0</v>
      </c>
      <c r="I38" s="682">
        <f>IFERROR(GETPIVOTDATA("Sum of Firefighter",WTFTERoleAreaPivot!$A$3,"ReportingLevel","1:LA","lvl","Shetland Islands"),"-")</f>
        <v>0</v>
      </c>
      <c r="J38" s="66">
        <f t="shared" si="1"/>
        <v>1</v>
      </c>
    </row>
    <row r="39" spans="1:10" ht="15" customHeight="1" x14ac:dyDescent="0.25">
      <c r="A39" s="89" t="s">
        <v>282</v>
      </c>
      <c r="B39" s="48" t="s">
        <v>56</v>
      </c>
      <c r="C39" s="690">
        <f>GETPIVOTDATA("Sum of Brigade Manager",WTFTERoleAreaPivot!$A$3,"ReportingLevel","1:LA","lvl","South Ayrshire")</f>
        <v>0</v>
      </c>
      <c r="D39" s="690" t="s">
        <v>564</v>
      </c>
      <c r="E39" s="690" t="s">
        <v>564</v>
      </c>
      <c r="F39" s="682">
        <f>GETPIVOTDATA("Sum of Station Manager",WTFTERoleAreaPivot!$A$3,"ReportingLevel","1:LA","lvl","South Ayrshire")</f>
        <v>0</v>
      </c>
      <c r="G39" s="682">
        <f>GETPIVOTDATA("Sum of Watch Manager",WTFTERoleAreaPivot!$A$3,"ReportingLevel","1:LA","lvl","South Ayrshire")</f>
        <v>6</v>
      </c>
      <c r="H39" s="682">
        <f>GETPIVOTDATA("Sum of Crew Manager",WTFTERoleAreaPivot!$A$3,"ReportingLevel","1:LA","lvl","South Ayrshire")</f>
        <v>10</v>
      </c>
      <c r="I39" s="682">
        <f>GETPIVOTDATA("Sum of Firefighter",WTFTERoleAreaPivot!$A$3,"ReportingLevel","1:LA","lvl","South Ayrshire")</f>
        <v>36</v>
      </c>
      <c r="J39" s="66">
        <f t="shared" si="1"/>
        <v>52</v>
      </c>
    </row>
    <row r="40" spans="1:10" ht="15" customHeight="1" x14ac:dyDescent="0.25">
      <c r="A40" s="89" t="s">
        <v>283</v>
      </c>
      <c r="B40" s="48" t="s">
        <v>57</v>
      </c>
      <c r="C40" s="690">
        <f>GETPIVOTDATA("Sum of Brigade Manager",WTFTERoleAreaPivot!$A$3,"ReportingLevel","1:LA","lvl","South Lanarkshire")</f>
        <v>0</v>
      </c>
      <c r="D40" s="690" t="s">
        <v>564</v>
      </c>
      <c r="E40" s="690" t="s">
        <v>564</v>
      </c>
      <c r="F40" s="682">
        <f>GETPIVOTDATA("Sum of Station Manager",WTFTERoleAreaPivot!$A$3,"ReportingLevel","1:LA","lvl","South Lanarkshire")</f>
        <v>0</v>
      </c>
      <c r="G40" s="682">
        <f>GETPIVOTDATA("Sum of Watch Manager",WTFTERoleAreaPivot!$A$3,"ReportingLevel","1:LA","lvl","South Lanarkshire")</f>
        <v>20</v>
      </c>
      <c r="H40" s="682">
        <f>GETPIVOTDATA("Sum of Crew Manager",WTFTERoleAreaPivot!$A$3,"ReportingLevel","1:LA","lvl","South Lanarkshire")</f>
        <v>30</v>
      </c>
      <c r="I40" s="682">
        <f>GETPIVOTDATA("Sum of Firefighter",WTFTERoleAreaPivot!$A$3,"ReportingLevel","1:LA","lvl","South Lanarkshire")</f>
        <v>111</v>
      </c>
      <c r="J40" s="66">
        <f t="shared" si="1"/>
        <v>161</v>
      </c>
    </row>
    <row r="41" spans="1:10" ht="15" customHeight="1" x14ac:dyDescent="0.25">
      <c r="A41" s="89" t="s">
        <v>284</v>
      </c>
      <c r="B41" s="48" t="s">
        <v>58</v>
      </c>
      <c r="C41" s="690">
        <f>GETPIVOTDATA("Sum of Brigade Manager",WTFTERoleAreaPivot!$A$3,"ReportingLevel","1:LA","lvl","Stirling")</f>
        <v>0</v>
      </c>
      <c r="D41" s="690" t="s">
        <v>564</v>
      </c>
      <c r="E41" s="690" t="s">
        <v>564</v>
      </c>
      <c r="F41" s="682">
        <f>GETPIVOTDATA("Sum of Station Manager",WTFTERoleAreaPivot!$A$3,"ReportingLevel","1:LA","lvl","Stirling")</f>
        <v>0</v>
      </c>
      <c r="G41" s="682">
        <f>GETPIVOTDATA("Sum of Watch Manager",WTFTERoleAreaPivot!$A$3,"ReportingLevel","1:LA","lvl","Stirling")</f>
        <v>5</v>
      </c>
      <c r="H41" s="682">
        <f>GETPIVOTDATA("Sum of Crew Manager",WTFTERoleAreaPivot!$A$3,"ReportingLevel","1:LA","lvl","Stirling")</f>
        <v>10</v>
      </c>
      <c r="I41" s="682">
        <f>GETPIVOTDATA("Sum of Firefighter",WTFTERoleAreaPivot!$A$3,"ReportingLevel","1:LA","lvl","Stirling")</f>
        <v>34</v>
      </c>
      <c r="J41" s="66">
        <f t="shared" si="1"/>
        <v>49</v>
      </c>
    </row>
    <row r="42" spans="1:10" ht="15" customHeight="1" x14ac:dyDescent="0.25">
      <c r="A42" s="89" t="s">
        <v>290</v>
      </c>
      <c r="B42" s="48" t="s">
        <v>59</v>
      </c>
      <c r="C42" s="690">
        <f>GETPIVOTDATA("Sum of Brigade Manager",WTFTERoleAreaPivot!$A$3,"ReportingLevel","1:LA","lvl","West Dunbartonshire")</f>
        <v>0</v>
      </c>
      <c r="D42" s="690" t="s">
        <v>564</v>
      </c>
      <c r="E42" s="690" t="s">
        <v>564</v>
      </c>
      <c r="F42" s="682">
        <f>GETPIVOTDATA("Sum of Station Manager",WTFTERoleAreaPivot!$A$3,"ReportingLevel","1:LA","lvl","West Dunbartonshire")</f>
        <v>0</v>
      </c>
      <c r="G42" s="682">
        <f>GETPIVOTDATA("Sum of Watch Manager",WTFTERoleAreaPivot!$A$3,"ReportingLevel","1:LA","lvl","West Dunbartonshire")</f>
        <v>11</v>
      </c>
      <c r="H42" s="682">
        <f>GETPIVOTDATA("Sum of Crew Manager",WTFTERoleAreaPivot!$A$3,"ReportingLevel","1:LA","lvl","West Dunbartonshire")</f>
        <v>13</v>
      </c>
      <c r="I42" s="682">
        <f>GETPIVOTDATA("Sum of Firefighter",WTFTERoleAreaPivot!$A$3,"ReportingLevel","1:LA","lvl","West Dunbartonshire")</f>
        <v>51</v>
      </c>
      <c r="J42" s="66">
        <f t="shared" si="1"/>
        <v>75</v>
      </c>
    </row>
    <row r="43" spans="1:10" ht="15" customHeight="1" x14ac:dyDescent="0.25">
      <c r="A43" s="89" t="s">
        <v>291</v>
      </c>
      <c r="B43" s="48" t="s">
        <v>60</v>
      </c>
      <c r="C43" s="690">
        <f>GETPIVOTDATA("Sum of Brigade Manager",WTFTERoleAreaPivot!$A$3,"ReportingLevel","1:LA","lvl","West Lothian")</f>
        <v>0</v>
      </c>
      <c r="D43" s="690" t="s">
        <v>564</v>
      </c>
      <c r="E43" s="690" t="s">
        <v>564</v>
      </c>
      <c r="F43" s="682">
        <f>GETPIVOTDATA("Sum of Station Manager",WTFTERoleAreaPivot!$A$3,"ReportingLevel","1:LA","lvl","West Lothian")</f>
        <v>0</v>
      </c>
      <c r="G43" s="682">
        <f>GETPIVOTDATA("Sum of Watch Manager",WTFTERoleAreaPivot!$A$3,"ReportingLevel","1:LA","lvl","West Lothian")</f>
        <v>13</v>
      </c>
      <c r="H43" s="682">
        <f>GETPIVOTDATA("Sum of Crew Manager",WTFTERoleAreaPivot!$A$3,"ReportingLevel","1:LA","lvl","West Lothian")</f>
        <v>11</v>
      </c>
      <c r="I43" s="682">
        <f>GETPIVOTDATA("Sum of Firefighter",WTFTERoleAreaPivot!$A$3,"ReportingLevel","1:LA","lvl","West Lothian")</f>
        <v>36.980000000000004</v>
      </c>
      <c r="J43" s="66">
        <f t="shared" si="1"/>
        <v>60.980000000000004</v>
      </c>
    </row>
    <row r="44" spans="1:10" ht="30" customHeight="1" thickBot="1" x14ac:dyDescent="0.3">
      <c r="A44" s="52"/>
      <c r="B44" s="52" t="s">
        <v>61</v>
      </c>
      <c r="C44" s="445">
        <f t="shared" ref="C44:E44" si="2">SUM(C12:C43)</f>
        <v>0</v>
      </c>
      <c r="D44" s="445">
        <f t="shared" si="2"/>
        <v>0</v>
      </c>
      <c r="E44" s="445">
        <f t="shared" si="2"/>
        <v>0</v>
      </c>
      <c r="F44" s="70">
        <f>GETPIVOTDATA("Sum of Station Manager",WTFTERoleAreaPivot!$A$3,"ReportingLevel","1:LA")</f>
        <v>0</v>
      </c>
      <c r="G44" s="643">
        <f>GETPIVOTDATA("Sum of Watch Manager",WTFTERoleAreaPivot!$A$3,"ReportingLevel","1:LA")</f>
        <v>408</v>
      </c>
      <c r="H44" s="643">
        <f>GETPIVOTDATA("Sum of Crew Manager",WTFTERoleAreaPivot!$A$3,"ReportingLevel","1:LA")</f>
        <v>569</v>
      </c>
      <c r="I44" s="643">
        <f>GETPIVOTDATA("Sum of Firefighter",WTFTERoleAreaPivot!$A$3,"ReportingLevel","1:LA")</f>
        <v>1890.48</v>
      </c>
      <c r="J44" s="643">
        <f>SUM(F44:I44)</f>
        <v>2867.48</v>
      </c>
    </row>
    <row r="45" spans="1:10" ht="13.5" customHeight="1" x14ac:dyDescent="0.25">
      <c r="A45" s="82"/>
      <c r="B45" s="82"/>
      <c r="J45" s="465"/>
    </row>
    <row r="46" spans="1:10" ht="30" customHeight="1" x14ac:dyDescent="0.25">
      <c r="A46" s="54" t="s">
        <v>459</v>
      </c>
      <c r="B46" s="54" t="s">
        <v>62</v>
      </c>
      <c r="C46" s="43"/>
      <c r="D46" s="43"/>
      <c r="E46" s="43"/>
      <c r="F46" s="43"/>
      <c r="G46" s="43"/>
      <c r="H46" s="43"/>
      <c r="I46" s="43"/>
      <c r="J46" s="75"/>
    </row>
    <row r="47" spans="1:10" ht="22.5" customHeight="1" x14ac:dyDescent="0.25">
      <c r="A47" s="399" t="str">
        <f>IF(OR(A9="2021-22", A9 = "2022-23"), "S39000023", "S39000001")</f>
        <v>S39000001</v>
      </c>
      <c r="B47" s="684" t="str">
        <f>IF(OR(A9="2021-22", A9 = "2022-23", A9 = "2023-24"), "Abderdeen City, Aberdeenshire and Moray", "Aberdeen City")</f>
        <v>Abderdeen City, Aberdeenshire and Moray</v>
      </c>
      <c r="C47" s="444">
        <f>IF(OR(A9="2021-22", A9 = "2022-23", A9 = "2023-24"),GETPIVOTDATA("Sum of Brigade Manager",WTFTERoleAreaPivot!$A$3,"ReportingLevel","2:LSO","lvl","Aberdeen City, Aberdeenshire and Moray"), GETPIVOTDATA("Sum of Brigade Manager",WTFTERoleAreaPivot!$A$3,"ReportingLevel","2:LSO","lvl","Aberdeen City"))</f>
        <v>0</v>
      </c>
      <c r="D47" s="303">
        <f>IF(OR(A9="2021-22", A9 = "2022-23", A9 = "2023-24"),GETPIVOTDATA("Sum of Area Manager",WTFTERoleAreaPivot!$A$3,"ReportingLevel","2:LSO","lvl","Aberdeen City, Aberdeenshire and Moray"), GETPIVOTDATA("Sum of Area Manager",WTFTERoleAreaPivot!$A$3,"ReportingLevel","2:LSO","lvl","Aberdeen City"))</f>
        <v>1</v>
      </c>
      <c r="E47" s="303">
        <f>IF(OR(A9="2021-22", A9 = "2022-23", A9 = "2023-24"),GETPIVOTDATA("Sum of Group Manager",WTFTERoleAreaPivot!$A$3,"ReportingLevel","2:LSO","lvl","Aberdeen City, Aberdeenshire and Moray"), GETPIVOTDATA("Sum of Group Manager",WTFTERoleAreaPivot!$A$3,"ReportingLevel","2:LSO","lvl","Aberdeen City"))</f>
        <v>4</v>
      </c>
      <c r="F47" s="303">
        <f>IF(OR(A9="2021-22", A9 = "2022-23", A9 = "2023-24"),GETPIVOTDATA("Sum of Station Manager",WTFTERoleAreaPivot!$A$3,"ReportingLevel","2:LSO","lvl","Aberdeen City, Aberdeenshire and Moray"), GETPIVOTDATA("Sum of Station Manager",WTFTERoleAreaPivot!$A$3,"ReportingLevel","2:LSO","lvl","Aberdeen City"))</f>
        <v>11</v>
      </c>
      <c r="G47" s="303">
        <f>IF(OR(A9="2021-22", A9 = "2022-23", A9 = "2023-24"),GETPIVOTDATA("Sum of Watch Manager",WTFTERoleAreaPivot!$A$3,"ReportingLevel","2:LSO","lvl","Aberdeen City, Aberdeenshire and Moray"), GETPIVOTDATA("Sum of Watch Manager",WTFTERoleAreaPivot!$A$3,"ReportingLevel","2:LSO","lvl","Aberdeen City"))</f>
        <v>6</v>
      </c>
      <c r="H47" s="303">
        <f>IF(OR(A9="2021-22", A9 = "2022-23", A9 = "2023-24"),GETPIVOTDATA("Sum of Crew Manager",WTFTERoleAreaPivot!$A$3,"ReportingLevel","2:LSO","lvl","Aberdeen City, Aberdeenshire and Moray"), GETPIVOTDATA("Sum of Crew Manager",WTFTERoleAreaPivot!$A$3,"ReportingLevel","2:LSO","lvl","Aberdeen City"))</f>
        <v>0</v>
      </c>
      <c r="I47" s="303">
        <f>IF(OR(A9="2021-22", A9 = "2022-23", A9 = "2023-24"),GETPIVOTDATA("Sum of Firefighter",wtroleareapivot!$A$3,"ReportingLevel","2:LSO","lvl","Aberdeen City, Aberdeenshire and Moray"), GETPIVOTDATA("Sum of Firefighter",WTFTERoleAreaPivot!$A$3,"ReportingLevel","2:LSO","lvl","Aberdeen City"))</f>
        <v>0</v>
      </c>
      <c r="J47" s="67">
        <f>SUM(C47:I47)</f>
        <v>22</v>
      </c>
    </row>
    <row r="48" spans="1:10" ht="13.5" customHeight="1" x14ac:dyDescent="0.25">
      <c r="A48" s="686" t="str">
        <f>IF(OR(A9="2021-22", A9 = "2022-23"), "", "S39000002")</f>
        <v>S39000002</v>
      </c>
      <c r="B48" s="681" t="str">
        <f>IF(OR(A9="2021-22", A9 = "2022-23", A9 = "2023-24"), "", "Aberdeenshire and Moray")</f>
        <v/>
      </c>
      <c r="C48" s="444" t="str">
        <f>IF(OR(A9="2021-22", A9 = "2022-23", A9 = "2023-24"),"", GETPIVOTDATA("Sum of Brigade Manager",WTFTERoleAreaPivot!$A$3,"ReportingLevel","2:LSO","lvl","Aberdeenshire and Moray"))</f>
        <v/>
      </c>
      <c r="D48" s="66" t="str">
        <f>IF(OR(A9="2021-22", A9 = "2022-23", A9 = "2023-24"),"", GETPIVOTDATA("Sum of Area Manager",WTFTERoleAreaPivot!$A$3,"ReportingLevel","2:LSO","lvl","Aberdeenshire and Moray"))</f>
        <v/>
      </c>
      <c r="E48" s="66" t="str">
        <f>IF(OR(A9="2021-22", A9 = "2022-23", A9 = "2023-24"),"", GETPIVOTDATA("Sum of Group Manager",WTFTERoleAreaPivot!$A$3,"ReportingLevel","2:LSO","lvl","Aberdeenshire and Moray"))</f>
        <v/>
      </c>
      <c r="F48" s="66" t="str">
        <f>IF(OR(A9="2021-22", A9 = "2022-23", A9 = "2023-24"),"", GETPIVOTDATA("Sum of Station Manager",WTFTERoleAreaPivot!$A$3,"ReportingLevel","2:LSO","lvl","Aberdeenshire and Moray"))</f>
        <v/>
      </c>
      <c r="G48" s="66" t="str">
        <f>IF(OR(A9="2021-22", A9 = "2022-23", A9 = "2023-24"),"", GETPIVOTDATA("Sum of Watch Manager",WTFTERoleAreaPivot!$A$3,"ReportingLevel","2:LSO","lvl","Aberdeenshire and Moray"))</f>
        <v/>
      </c>
      <c r="H48" s="66" t="str">
        <f>IF(OR(A9="2021-22", A9 = "2022-23", A9 = "2023-24"),"", GETPIVOTDATA("Sum of Crew Manager",WTFTERoleAreaPivot!$A$3,"ReportingLevel","2:LSO","lvl","Aberdeenshire and Moray"))</f>
        <v/>
      </c>
      <c r="I48" s="66" t="str">
        <f>IF(OR(A9="2021-22", A9 = "2022-23", A9 = "2023-24"),"", GETPIVOTDATA("Sum of Firefighter",WTFTERoleAreaPivot!$A$3,"ReportingLevel","2:LSO","lvl","Aberdeenshire and Moray"))</f>
        <v/>
      </c>
      <c r="J48" s="67">
        <f t="shared" ref="J48:J63" si="3">SUM(C48:I48)</f>
        <v>0</v>
      </c>
    </row>
    <row r="49" spans="1:10" ht="13.5" customHeight="1" x14ac:dyDescent="0.25">
      <c r="A49" s="400" t="s">
        <v>337</v>
      </c>
      <c r="B49" s="681" t="s">
        <v>64</v>
      </c>
      <c r="C49" s="444">
        <f>GETPIVOTDATA("Sum of Brigade Manager",WTFTERoleAreaPivot!$A$3,"ReportingLevel","2:LSO","lvl","Argyll and Bute, East Dunbartonshire and West Dunbartonshire")</f>
        <v>0</v>
      </c>
      <c r="D49" s="66">
        <f>GETPIVOTDATA("Sum of Area Manager",WTFTERoleAreaPivot!$A$3,"ReportingLevel","2:LSO","lvl","Argyll and Bute, East Dunbartonshire and West Dunbartonshire")</f>
        <v>1</v>
      </c>
      <c r="E49" s="66">
        <f>GETPIVOTDATA("Sum of Group Manager",WTFTERoleAreaPivot!$A$3,"ReportingLevel","2:LSO","lvl","Argyll and Bute, East Dunbartonshire and West Dunbartonshire")</f>
        <v>4</v>
      </c>
      <c r="F49" s="66">
        <f>GETPIVOTDATA("Sum of Station Manager",WTFTERoleAreaPivot!$A$3,"ReportingLevel","2:LSO","lvl","Argyll and Bute, East Dunbartonshire and West Dunbartonshire")</f>
        <v>9</v>
      </c>
      <c r="G49" s="66">
        <f>GETPIVOTDATA("Sum of Watch Manager",WTFTERoleAreaPivot!$A$3,"ReportingLevel","2:LSO","lvl","Argyll and Bute, East Dunbartonshire and West Dunbartonshire")</f>
        <v>6</v>
      </c>
      <c r="H49" s="66">
        <f>GETPIVOTDATA("Sum of Crew Manager",WTFTERoleAreaPivot!$A$3,"ReportingLevel","2:LSO","lvl","Argyll and Bute, East Dunbartonshire and West Dunbartonshire")</f>
        <v>6</v>
      </c>
      <c r="I49" s="66">
        <f>GETPIVOTDATA("Sum of Firefighter",WTFTERoleAreaPivot!$A$3,"ReportingLevel","2:LSO","lvl","Argyll and Bute, East Dunbartonshire and West Dunbartonshire")</f>
        <v>2</v>
      </c>
      <c r="J49" s="67">
        <f t="shared" si="3"/>
        <v>28</v>
      </c>
    </row>
    <row r="50" spans="1:10" ht="13.5" customHeight="1" x14ac:dyDescent="0.25">
      <c r="A50" s="400" t="s">
        <v>338</v>
      </c>
      <c r="B50" s="681" t="s">
        <v>36</v>
      </c>
      <c r="C50" s="444">
        <f>GETPIVOTDATA("Sum of Brigade Manager",WTFTERoleAreaPivot!$A$3,"ReportingLevel","2:LSO","lvl","Dumfries and Galloway")</f>
        <v>0</v>
      </c>
      <c r="D50" s="66">
        <f>GETPIVOTDATA("Sum of Area Manager",WTFTERoleAreaPivot!$A$3,"ReportingLevel","2:LSO","lvl","Dumfries and Galloway")</f>
        <v>1</v>
      </c>
      <c r="E50" s="66">
        <f>GETPIVOTDATA("Sum of Group Manager",WTFTERoleAreaPivot!$A$3,"ReportingLevel","2:LSO","lvl","Dumfries and Galloway")</f>
        <v>2</v>
      </c>
      <c r="F50" s="66">
        <f>GETPIVOTDATA("Sum of Station Manager",WTFTERoleAreaPivot!$A$3,"ReportingLevel","2:LSO","lvl","Dumfries and Galloway")</f>
        <v>5</v>
      </c>
      <c r="G50" s="66">
        <f>GETPIVOTDATA("Sum of Watch Manager",WTFTERoleAreaPivot!$A$3,"ReportingLevel","2:LSO","lvl","Dumfries and Galloway")</f>
        <v>7</v>
      </c>
      <c r="H50" s="66">
        <f>GETPIVOTDATA("Sum of Crew Manager",WTFTERoleAreaPivot!$A$3,"ReportingLevel","2:LSO","lvl","Dumfries and Galloway")</f>
        <v>5</v>
      </c>
      <c r="I50" s="66">
        <f>GETPIVOTDATA("Sum of Firefighter",WTFTERoleAreaPivot!$A$3,"ReportingLevel","2:LSO","lvl","Dumfries and Galloway")</f>
        <v>1.83</v>
      </c>
      <c r="J50" s="67">
        <f t="shared" si="3"/>
        <v>21.83</v>
      </c>
    </row>
    <row r="51" spans="1:10" ht="13.5" customHeight="1" x14ac:dyDescent="0.25">
      <c r="A51" s="400" t="s">
        <v>336</v>
      </c>
      <c r="B51" s="681" t="s">
        <v>65</v>
      </c>
      <c r="C51" s="444">
        <f>GETPIVOTDATA("Sum of Brigade Manager",WTFTERoleAreaPivot!$A$3,"ReportingLevel","2:LSO","lvl","Dundee, Angus, Perth and Kinross")</f>
        <v>0</v>
      </c>
      <c r="D51" s="66">
        <f>GETPIVOTDATA("Sum of Area Manager",WTFTERoleAreaPivot!$A$3,"ReportingLevel","2:LSO","lvl","Dundee, Angus, Perth and Kinross")</f>
        <v>2</v>
      </c>
      <c r="E51" s="66">
        <f>GETPIVOTDATA("Sum of Group Manager",WTFTERoleAreaPivot!$A$3,"ReportingLevel","2:LSO","lvl","Dundee, Angus, Perth and Kinross")</f>
        <v>4</v>
      </c>
      <c r="F51" s="66">
        <f>GETPIVOTDATA("Sum of Station Manager",WTFTERoleAreaPivot!$A$3,"ReportingLevel","2:LSO","lvl","Dundee, Angus, Perth and Kinross")</f>
        <v>8</v>
      </c>
      <c r="G51" s="66">
        <f>GETPIVOTDATA("Sum of Watch Manager",WTFTERoleAreaPivot!$A$3,"ReportingLevel","2:LSO","lvl","Dundee, Angus, Perth and Kinross")</f>
        <v>8.77</v>
      </c>
      <c r="H51" s="66">
        <f>GETPIVOTDATA("Sum of Crew Manager",WTFTERoleAreaPivot!$A$3,"ReportingLevel","2:LSO","lvl","Dundee, Angus, Perth and Kinross")</f>
        <v>0</v>
      </c>
      <c r="I51" s="66">
        <f>GETPIVOTDATA("Sum of Firefighter",WTFTERoleAreaPivot!$A$3,"ReportingLevel","2:LSO","lvl","Dundee, Angus, Perth and Kinross")</f>
        <v>0</v>
      </c>
      <c r="J51" s="67">
        <f t="shared" si="3"/>
        <v>22.77</v>
      </c>
    </row>
    <row r="52" spans="1:10" ht="13.5" customHeight="1" x14ac:dyDescent="0.25">
      <c r="A52" s="400" t="s">
        <v>339</v>
      </c>
      <c r="B52" s="681" t="s">
        <v>66</v>
      </c>
      <c r="C52" s="444">
        <f>GETPIVOTDATA("Sum of Brigade Manager",WTFTERoleAreaPivot!$A$3,"ReportingLevel","2:LSO","lvl","East Ayrshire, North Ayrshire and South Ayrshire")</f>
        <v>0</v>
      </c>
      <c r="D52" s="66">
        <f>GETPIVOTDATA("Sum of Area Manager",WTFTERoleAreaPivot!$A$3,"ReportingLevel","2:LSO","lvl","East Ayrshire, North Ayrshire and South Ayrshire")</f>
        <v>1</v>
      </c>
      <c r="E52" s="66">
        <f>GETPIVOTDATA("Sum of Group Manager",WTFTERoleAreaPivot!$A$3,"ReportingLevel","2:LSO","lvl","East Ayrshire, North Ayrshire and South Ayrshire")</f>
        <v>3</v>
      </c>
      <c r="F52" s="66">
        <f>GETPIVOTDATA("Sum of Station Manager",WTFTERoleAreaPivot!$A$3,"ReportingLevel","2:LSO","lvl","East Ayrshire, North Ayrshire and South Ayrshire")</f>
        <v>9</v>
      </c>
      <c r="G52" s="66">
        <f>GETPIVOTDATA("Sum of Watch Manager",WTFTERoleAreaPivot!$A$3,"ReportingLevel","2:LSO","lvl","East Ayrshire, North Ayrshire and South Ayrshire")</f>
        <v>7</v>
      </c>
      <c r="H52" s="66">
        <f>GETPIVOTDATA("Sum of Crew Manager",WTFTERoleAreaPivot!$A$3,"ReportingLevel","2:LSO","lvl","East Ayrshire, North Ayrshire and South Ayrshire")</f>
        <v>5</v>
      </c>
      <c r="I52" s="66">
        <f>GETPIVOTDATA("Sum of Firefighter",WTFTERoleAreaPivot!$A$3,"ReportingLevel","2:LSO","lvl","East Ayrshire, North Ayrshire and South Ayrshire")</f>
        <v>0</v>
      </c>
      <c r="J52" s="67">
        <f t="shared" si="3"/>
        <v>25</v>
      </c>
    </row>
    <row r="53" spans="1:10" ht="13.5" customHeight="1" x14ac:dyDescent="0.25">
      <c r="A53" s="400" t="s">
        <v>340</v>
      </c>
      <c r="B53" s="681" t="s">
        <v>67</v>
      </c>
      <c r="C53" s="444">
        <f>GETPIVOTDATA("Sum of Brigade Manager",WTFTERoleAreaPivot!$A$3,"ReportingLevel","2:LSO","lvl","East Lothian, Midlothian and the Scottish Borders")</f>
        <v>0</v>
      </c>
      <c r="D53" s="66">
        <f>GETPIVOTDATA("Sum of Area Manager",WTFTERoleAreaPivot!$A$3,"ReportingLevel","2:LSO","lvl","East Lothian, Midlothian and the Scottish Borders")</f>
        <v>1</v>
      </c>
      <c r="E53" s="66">
        <f>GETPIVOTDATA("Sum of Group Manager",WTFTERoleAreaPivot!$A$3,"ReportingLevel","2:LSO","lvl","East Lothian, Midlothian and the Scottish Borders")</f>
        <v>3</v>
      </c>
      <c r="F53" s="66">
        <f>GETPIVOTDATA("Sum of Station Manager",WTFTERoleAreaPivot!$A$3,"ReportingLevel","2:LSO","lvl","East Lothian, Midlothian and the Scottish Borders")</f>
        <v>6</v>
      </c>
      <c r="G53" s="66">
        <f>GETPIVOTDATA("Sum of Watch Manager",WTFTERoleAreaPivot!$A$3,"ReportingLevel","2:LSO","lvl","East Lothian, Midlothian and the Scottish Borders")</f>
        <v>9</v>
      </c>
      <c r="H53" s="66">
        <f>GETPIVOTDATA("Sum of Crew Manager",WTFTERoleAreaPivot!$A$3,"ReportingLevel","2:LSO","lvl","East Lothian, Midlothian and the Scottish Borders")</f>
        <v>3</v>
      </c>
      <c r="I53" s="66">
        <f>GETPIVOTDATA("Sum of Firefighter",WTFTERoleAreaPivot!$A$3,"ReportingLevel","2:LSO","lvl","East Lothian, Midlothian and the Scottish Borders")</f>
        <v>4</v>
      </c>
      <c r="J53" s="67">
        <f t="shared" si="3"/>
        <v>26</v>
      </c>
    </row>
    <row r="54" spans="1:10" ht="13.5" customHeight="1" x14ac:dyDescent="0.25">
      <c r="A54" s="343" t="s">
        <v>341</v>
      </c>
      <c r="B54" s="681" t="s">
        <v>68</v>
      </c>
      <c r="C54" s="444">
        <f>GETPIVOTDATA("Sum of Brigade Manager",WTFTERoleAreaPivot!$A$3,"ReportingLevel","2:LSO","lvl","East Renfrewshire, Renfrewshire and Inverclyde")</f>
        <v>0</v>
      </c>
      <c r="D54" s="66">
        <f>GETPIVOTDATA("Sum of Area Manager",WTFTERoleAreaPivot!$A$3,"ReportingLevel","2:LSO","lvl","East Renfrewshire, Renfrewshire and Inverclyde")</f>
        <v>1</v>
      </c>
      <c r="E54" s="66">
        <f>GETPIVOTDATA("Sum of Group Manager",WTFTERoleAreaPivot!$A$3,"ReportingLevel","2:LSO","lvl","East Renfrewshire, Renfrewshire and Inverclyde")</f>
        <v>3</v>
      </c>
      <c r="F54" s="66">
        <f>GETPIVOTDATA("Sum of Station Manager",WTFTERoleAreaPivot!$A$3,"ReportingLevel","2:LSO","lvl","East Renfrewshire, Renfrewshire and Inverclyde")</f>
        <v>6</v>
      </c>
      <c r="G54" s="66">
        <f>GETPIVOTDATA("Sum of Watch Manager",WTFTERoleAreaPivot!$A$3,"ReportingLevel","2:LSO","lvl","East Renfrewshire, Renfrewshire and Inverclyde")</f>
        <v>4</v>
      </c>
      <c r="H54" s="66">
        <f>GETPIVOTDATA("Sum of Crew Manager",WTFTERoleAreaPivot!$A$3,"ReportingLevel","2:LSO","lvl","East Renfrewshire, Renfrewshire and Inverclyde")</f>
        <v>3</v>
      </c>
      <c r="I54" s="66">
        <f>GETPIVOTDATA("Sum of Firefighter",WTFTERoleAreaPivot!$A$3,"ReportingLevel","2:LSO","lvl","East Renfrewshire, Renfrewshire and Inverclyde")</f>
        <v>1</v>
      </c>
      <c r="J54" s="67">
        <f t="shared" si="3"/>
        <v>18</v>
      </c>
    </row>
    <row r="55" spans="1:10" ht="13.5" customHeight="1" x14ac:dyDescent="0.25">
      <c r="A55" s="400" t="s">
        <v>342</v>
      </c>
      <c r="B55" s="681" t="s">
        <v>165</v>
      </c>
      <c r="C55" s="444">
        <f>GETPIVOTDATA("Sum of Brigade Manager",WTFTERoleAreaPivot!$A$3,"ReportingLevel","2:LSO","lvl","Edinburgh City")</f>
        <v>0</v>
      </c>
      <c r="D55" s="66">
        <f>GETPIVOTDATA("Sum of Area Manager",WTFTERoleAreaPivot!$A$3,"ReportingLevel","2:LSO","lvl","Edinburgh City")</f>
        <v>1</v>
      </c>
      <c r="E55" s="66">
        <f>GETPIVOTDATA("Sum of Group Manager",WTFTERoleAreaPivot!$A$3,"ReportingLevel","2:LSO","lvl","Edinburgh City")</f>
        <v>3</v>
      </c>
      <c r="F55" s="66">
        <f>GETPIVOTDATA("Sum of Station Manager",WTFTERoleAreaPivot!$A$3,"ReportingLevel","2:LSO","lvl","Edinburgh City")</f>
        <v>7</v>
      </c>
      <c r="G55" s="66">
        <f>GETPIVOTDATA("Sum of Watch Manager",WTFTERoleAreaPivot!$A$3,"ReportingLevel","2:LSO","lvl","Edinburgh City")</f>
        <v>9</v>
      </c>
      <c r="H55" s="66">
        <f>GETPIVOTDATA("Sum of Crew Manager",WTFTERoleAreaPivot!$A$3,"ReportingLevel","2:LSO","lvl","Edinburgh City")</f>
        <v>4</v>
      </c>
      <c r="I55" s="66">
        <f>GETPIVOTDATA("Sum of Firefighter",WTFTERoleAreaPivot!$A$3,"ReportingLevel","2:LSO","lvl","Edinburgh City")</f>
        <v>3</v>
      </c>
      <c r="J55" s="67">
        <f t="shared" si="3"/>
        <v>27</v>
      </c>
    </row>
    <row r="56" spans="1:10" ht="13.5" customHeight="1" x14ac:dyDescent="0.25">
      <c r="A56" s="400" t="s">
        <v>343</v>
      </c>
      <c r="B56" s="681" t="s">
        <v>69</v>
      </c>
      <c r="C56" s="444">
        <f>GETPIVOTDATA("Sum of Brigade Manager",WTFTERoleAreaPivot!$A$3,"ReportingLevel","2:LSO","lvl","Falkirk and West Lothian")</f>
        <v>0</v>
      </c>
      <c r="D56" s="66">
        <f>GETPIVOTDATA("Sum of Area Manager",WTFTERoleAreaPivot!$A$3,"ReportingLevel","2:LSO","lvl","Falkirk and West Lothian")</f>
        <v>1</v>
      </c>
      <c r="E56" s="66">
        <f>GETPIVOTDATA("Sum of Group Manager",WTFTERoleAreaPivot!$A$3,"ReportingLevel","2:LSO","lvl","Falkirk and West Lothian")</f>
        <v>2</v>
      </c>
      <c r="F56" s="66">
        <f>GETPIVOTDATA("Sum of Station Manager",WTFTERoleAreaPivot!$A$3,"ReportingLevel","2:LSO","lvl","Falkirk and West Lothian")</f>
        <v>6</v>
      </c>
      <c r="G56" s="66">
        <f>GETPIVOTDATA("Sum of Watch Manager",WTFTERoleAreaPivot!$A$3,"ReportingLevel","2:LSO","lvl","Falkirk and West Lothian")</f>
        <v>6</v>
      </c>
      <c r="H56" s="66">
        <f>GETPIVOTDATA("Sum of Crew Manager",WTFTERoleAreaPivot!$A$3,"ReportingLevel","2:LSO","lvl","Falkirk and West Lothian")</f>
        <v>3</v>
      </c>
      <c r="I56" s="66">
        <f>GETPIVOTDATA("Sum of Firefighter",WTFTERoleAreaPivot!$A$3,"ReportingLevel","2:LSO","lvl","Falkirk and West Lothian")</f>
        <v>1</v>
      </c>
      <c r="J56" s="67">
        <f t="shared" si="3"/>
        <v>19</v>
      </c>
    </row>
    <row r="57" spans="1:10" ht="13.5" customHeight="1" x14ac:dyDescent="0.25">
      <c r="A57" s="400" t="str">
        <f>IF(OR(A9 = "2018-19", A9 = "2017-18", A9 = "2016-17", A9 = "2015-16", A9 = "2014-15", A9 = "2013-14"),"S39000019","")</f>
        <v/>
      </c>
      <c r="B57" s="317" t="str">
        <f>IF(OR(A9 = "2018-19", A9 = "2017-18", A9 = "2016-17", A9 = "2015-16", A9 = "2014-15", A9 = "2013-14"), "Fife", "")</f>
        <v/>
      </c>
      <c r="C57" s="444" t="str">
        <f>IF(OR(A9 = "2018-19", A9 = "2017-18", A9 = "2016-17", A9 = "2015-16", A9 = "2014-15", A9 = "2013-14"),GETPIVOTDATA("Sum of Brigade Manager",WTFTERoleAreaPivot!$A$3,"ReportingLevel","2:LSO","lvl","Fife"), "")</f>
        <v/>
      </c>
      <c r="D57" s="66" t="str">
        <f>IF(OR(A9 = "2018-19", A9 = "2017-18", A9 = "2016-17", A9 = "2015-16", A9 = "2014-15", A9 = "2013-14"),GETPIVOTDATA("Sum of Area Manager",WTFTERoleAreaPivot!$A$3,"ReportingLevel","2:LSO","lvl","Fife"), "")</f>
        <v/>
      </c>
      <c r="E57" s="66" t="str">
        <f>IF(OR(A9 = "2018-19", A9 = "2017-18", A9 = "2016-17", A9 = "2015-16", A9 = "2014-15", A9 = "2013-14"),GETPIVOTDATA("Sum of Group Manager",WTFTERoleAreaPivot!$A$3,"ReportingLevel","2:LSO","lvl","Fife"), "")</f>
        <v/>
      </c>
      <c r="F57" s="66" t="str">
        <f>IF(OR(A9 = "2018-19", A9 = "2017-18", A9 = "2016-17", A9 = "2015-16", A9 = "2014-15", A9 = "2013-14"),GETPIVOTDATA("Sum of Station Manager",WTFTERoleAreaPivot!$A$3,"ReportingLevel","2:LSO","lvl","Fife"), "")</f>
        <v/>
      </c>
      <c r="G57" s="66" t="str">
        <f>IF(OR(A9 = "2018-19", A9 = "2017-18", A9 = "2016-17", A9 = "2015-16", A9 = "2014-15", A9 = "2013-14"),GETPIVOTDATA("Sum of Watch Manager",WTFTERoleAreaPivot!$A$3,"ReportingLevel","2:LSO","lvl","Fife"), "")</f>
        <v/>
      </c>
      <c r="H57" s="66" t="str">
        <f>IF(OR(A9 = "2018-19", A9 = "2017-18", A9 = "2016-17", A9 = "2015-16", A9 = "2014-15", A9 = "2013-14"),GETPIVOTDATA("Sum of Crew Manager",WTFTERoleAreaPivot!$A$3,"ReportingLevel","2:LSO","lvl","Fife"), "")</f>
        <v/>
      </c>
      <c r="I57" s="66" t="str">
        <f>IF(OR(A9 = "2018-19", A9 = "2017-18", A9 = "2016-17", A9 = "2015-16", A9 = "2014-15", A9 = "2013-14"),GETPIVOTDATA("Sum of Firefighter",WTFTERoleAreaPivot!$A$3,"ReportingLevel","2:LSO","lvl","Fife"), "")</f>
        <v/>
      </c>
      <c r="J57" s="67">
        <f t="shared" si="3"/>
        <v>0</v>
      </c>
    </row>
    <row r="58" spans="1:10" ht="13.5" customHeight="1" x14ac:dyDescent="0.25">
      <c r="A58" s="400" t="str">
        <f>IF(A9="2018-19","S39000012","S39000020")</f>
        <v>S39000020</v>
      </c>
      <c r="B58" s="681" t="s">
        <v>117</v>
      </c>
      <c r="C58" s="444">
        <f>GETPIVOTDATA("Sum of Brigade Manager",WTFTERoleAreaPivot!$A$3,"ReportingLevel","2:LSO","lvl","Glasgow City")</f>
        <v>0</v>
      </c>
      <c r="D58" s="66">
        <f>GETPIVOTDATA("Sum of Area Manager",WTFTERoleAreaPivot!$A$3,"ReportingLevel","2:LSO","lvl","Glasgow City")</f>
        <v>1</v>
      </c>
      <c r="E58" s="66">
        <f>GETPIVOTDATA("Sum of Group Manager",WTFTERoleAreaPivot!$A$3,"ReportingLevel","2:LSO","lvl","Glasgow City")</f>
        <v>4</v>
      </c>
      <c r="F58" s="66">
        <f>GETPIVOTDATA("Sum of Station Manager",WTFTERoleAreaPivot!$A$3,"ReportingLevel","2:LSO","lvl","Glasgow City")</f>
        <v>8</v>
      </c>
      <c r="G58" s="66">
        <f>GETPIVOTDATA("Sum of Watch Manager",WTFTERoleAreaPivot!$A$3,"ReportingLevel","2:LSO","lvl","Glasgow City")</f>
        <v>7</v>
      </c>
      <c r="H58" s="66">
        <f>GETPIVOTDATA("Sum of Crew Manager",WTFTERoleAreaPivot!$A$3,"ReportingLevel","2:LSO","lvl","Glasgow City")</f>
        <v>2</v>
      </c>
      <c r="I58" s="66">
        <f>GETPIVOTDATA("Sum of Firefighter",WTFTERoleAreaPivot!$A$3,"ReportingLevel","2:LSO","lvl","Glasgow City")</f>
        <v>1</v>
      </c>
      <c r="J58" s="67">
        <f t="shared" si="3"/>
        <v>23</v>
      </c>
    </row>
    <row r="59" spans="1:10" ht="13.5" customHeight="1" x14ac:dyDescent="0.25">
      <c r="A59" s="400" t="s">
        <v>344</v>
      </c>
      <c r="B59" s="681" t="s">
        <v>70</v>
      </c>
      <c r="C59" s="444">
        <f>GETPIVOTDATA("Sum of Brigade Manager",WTFTERoleAreaPivot!$A$3,"ReportingLevel","2:LSO","lvl","Highlands")</f>
        <v>0</v>
      </c>
      <c r="D59" s="66">
        <f>GETPIVOTDATA("Sum of Area Manager",WTFTERoleAreaPivot!$A$3,"ReportingLevel","2:LSO","lvl","Highlands")</f>
        <v>1</v>
      </c>
      <c r="E59" s="66">
        <f>GETPIVOTDATA("Sum of Group Manager",WTFTERoleAreaPivot!$A$3,"ReportingLevel","2:LSO","lvl","Highlands")</f>
        <v>4</v>
      </c>
      <c r="F59" s="66">
        <f>GETPIVOTDATA("Sum of Station Manager",WTFTERoleAreaPivot!$A$3,"ReportingLevel","2:LSO","lvl","Highlands")</f>
        <v>12</v>
      </c>
      <c r="G59" s="66">
        <f>GETPIVOTDATA("Sum of Watch Manager",WTFTERoleAreaPivot!$A$3,"ReportingLevel","2:LSO","lvl","Highlands")</f>
        <v>4</v>
      </c>
      <c r="H59" s="66">
        <f>GETPIVOTDATA("Sum of Crew Manager",WTFTERoleAreaPivot!$A$3,"ReportingLevel","2:LSO","lvl","Highlands")</f>
        <v>1</v>
      </c>
      <c r="I59" s="66">
        <f>GETPIVOTDATA("Sum of Firefighter",WTFTERoleAreaPivot!$A$3,"ReportingLevel","2:LSO","lvl","Highlands")</f>
        <v>1</v>
      </c>
      <c r="J59" s="67">
        <f t="shared" si="3"/>
        <v>23</v>
      </c>
    </row>
    <row r="60" spans="1:10" ht="13.5" customHeight="1" x14ac:dyDescent="0.25">
      <c r="A60" s="400" t="str">
        <f>IF(OR(A9="2021-22", A9 = "2022-23"), "S39000021","S39000014")</f>
        <v>S39000014</v>
      </c>
      <c r="B60" s="681" t="str">
        <f>IF(OR(A9="2021-22", A9 = "2022-23", A9 = "2023-24"), "Lanarkshire", "North Lanarkshire")</f>
        <v>Lanarkshire</v>
      </c>
      <c r="C60" s="444">
        <f>IF(OR(A9="2021-22", A9 = "2022-23", A9 = "2023-24"), GETPIVOTDATA("Sum of Brigade Manager",WTFTERoleAreaPivot!$A$3,"ReportingLevel","2:LSO","lvl","Lanarkshire"), GETPIVOTDATA("Sum of Brigade Manager",WTFTERoleAreaPivot!$A$3,"ReportingLevel","2:LSO","lvl","North Lanarkshire"))</f>
        <v>0</v>
      </c>
      <c r="D60" s="66">
        <f>IF(OR(A9="2021-22", A9 = "2022-23", A9 = "2023-24"), GETPIVOTDATA("Sum of Area Manager",WTFTERoleAreaPivot!$A$3,"ReportingLevel","2:LSO","lvl","Lanarkshire"), GETPIVOTDATA("Sum of Area Manager",WTFTERoleAreaPivot!$A$3,"ReportingLevel","2:LSO","lvl","North Lanarkshire"))</f>
        <v>1</v>
      </c>
      <c r="E60" s="66">
        <f>IF(OR(A9="2021-22", A9 = "2022-23", A9 = "2023-24"), GETPIVOTDATA("Sum of Group Manager",WTFTERoleAreaPivot!$A$3,"ReportingLevel","2:LSO","lvl","Lanarkshire"), GETPIVOTDATA("Sum of Group Manager",WTFTERoleAreaPivot!$A$3,"ReportingLevel","2:LSO","lvl","North Lanarkshire"))</f>
        <v>3</v>
      </c>
      <c r="F60" s="66">
        <f>IF(OR(A9="2021-22", A9 = "2022-23", A9 = "2023-24"), GETPIVOTDATA("Sum of Station Manager",WTFTERoleAreaPivot!$A$3,"ReportingLevel","2:LSO","lvl","Lanarkshire"), GETPIVOTDATA("Sum of Station Manager",WTFTERoleAreaPivot!$A$3,"ReportingLevel","2:LSO","lvl","North Lanarkshire"))</f>
        <v>10</v>
      </c>
      <c r="G60" s="66">
        <f>IF(OR(A9="2021-22", A9 = "2022-23", A9 = "2023-24"), GETPIVOTDATA("Sum of Watch Manager",WTFTERoleAreaPivot!$A$3,"ReportingLevel","2:LSO","lvl","Lanarkshire"), GETPIVOTDATA("Sum of Watch Manager",WTFTERoleAreaPivot!$A$3,"ReportingLevel","2:LSO","lvl","North Lanarkshire"))</f>
        <v>9</v>
      </c>
      <c r="H60" s="66">
        <f>IF(OR(A9="2021-22", A9 = "2022-23", A9 = "2023-24"), GETPIVOTDATA("Sum of Crew Manager",wtroleareapivot!$A$3,"ReportingLevel","2:LSO","lvl","Lanarkshire"), GETPIVOTDATA("Sum of Crew Manager",WTFTERoleAreaPivot!$A$3,"ReportingLevel","2:LSO","lvl","North Lanarkshire"))</f>
        <v>3</v>
      </c>
      <c r="I60" s="66">
        <f>IF(OR(A9="2021-22", A9 = "2022-23", A9 = "2023-24"), GETPIVOTDATA("Sum of Firefighter",WTFTERoleAreaPivot!$A$3,"ReportingLevel","2:LSO","lvl","Lanarkshire"), GETPIVOTDATA("Sum of Firefighter",WTFTERoleAreaPivot!$A$3,"ReportingLevel","2:LSO","lvl","North Lanarkshire"))</f>
        <v>1</v>
      </c>
      <c r="J60" s="67">
        <f t="shared" si="3"/>
        <v>27</v>
      </c>
    </row>
    <row r="61" spans="1:10" ht="13.5" customHeight="1" x14ac:dyDescent="0.25">
      <c r="A61" s="400" t="s">
        <v>345</v>
      </c>
      <c r="B61" s="681" t="str">
        <f>IF(OR(A9="2021-22", A9 = "2022-23", A9 = "2023-24"),"","South Lanarkshire")</f>
        <v/>
      </c>
      <c r="C61" s="444" t="str">
        <f>IF(OR(A9="2021-22", A9 = "2022-23", A9 = "2023-24"), "",GETPIVOTDATA("Sum of Brigade Manager",WTFTERoleAreaPivot!$A$3,"ReportingLevel","2:LSO","lvl","South Lanarkshire"))</f>
        <v/>
      </c>
      <c r="D61" s="66" t="str">
        <f>IF(OR(A9="2021-22", A9 = "2022-23", A9 = "2023-24"), "",GETPIVOTDATA("Sum of Area Manager",WTFTERoleAreaPivot!$A$3,"ReportingLevel","2:LSO","lvl","South Lanarkshire"))</f>
        <v/>
      </c>
      <c r="E61" s="66" t="str">
        <f>IF(OR(A9="2021-22", A9 = "2022-23", A9 = "2023-24"), "",GETPIVOTDATA("Sum of Group Manager",WTFTERoleAreaPivot!$A$3,"ReportingLevel","2:LSO","lvl","South Lanarkshire"))</f>
        <v/>
      </c>
      <c r="F61" s="66" t="str">
        <f>IF(OR(A9="2021-22", A9 = "2022-23", A9 = "2023-24"), "",GETPIVOTDATA("Sum of Station Manager",WTFTERoleAreaPivot!$A$3,"ReportingLevel","2:LSO","lvl","South Lanarkshire"))</f>
        <v/>
      </c>
      <c r="G61" s="66" t="str">
        <f>IF(OR(A9="2021-22", A9 = "2022-23", A9 = "2023-24"), "",GETPIVOTDATA("Sum of Watch Manager",WTFTERoleAreaPivot!$A$3,"ReportingLevel","2:LSO","lvl","South Lanarkshire"))</f>
        <v/>
      </c>
      <c r="H61" s="66" t="str">
        <f>IF(OR(A9="2021-22", A9 = "2022-23", A9 = "2023-24"), "",GETPIVOTDATA("Sum of Crew Manager",WTFTERoleAreaPivot!$A$3,"ReportingLevel","2:LSO","lvl","South Lanarkshire"))</f>
        <v/>
      </c>
      <c r="I61" s="66" t="str">
        <f>IF(OR(A9="2021-22", A9 = "2022-23", A9 = "2023-24"), "",GETPIVOTDATA("Sum of Firefighter",WTFTERoleAreaPivot!$A$3,"ReportingLevel","2:LSO","lvl","South Lanarkshire"))</f>
        <v/>
      </c>
      <c r="J61" s="67">
        <f t="shared" si="3"/>
        <v>0</v>
      </c>
    </row>
    <row r="62" spans="1:10" ht="13.5" customHeight="1" x14ac:dyDescent="0.25">
      <c r="A62" s="400" t="str">
        <f>IF(OR(A9 = "2018-19", A9 = "2017-18", A9 = "2016-17", A9 = "2015-16", A9 = "2014-15", A9 = "2013-14"),"S39000016","S39000022")</f>
        <v>S39000022</v>
      </c>
      <c r="B62" s="593" t="str">
        <f>IF(OR(A9 = "2018-19", A9 = "2017-18", A9 = "2016-17", A9 = "2015-16", A9 = "2014-15", A9 = "2013-14"), "Stirling and Clackmannanshire", "Clackmannanshire, Fife and Stirling")</f>
        <v>Clackmannanshire, Fife and Stirling</v>
      </c>
      <c r="C62" s="444">
        <f>IF(OR(A9 = "2018-19", A9 = "2017-18", A9 = "2016-17", A9 = "2015-16", A9 = "2014-15", A9 = "2013-14"),GETPIVOTDATA("Sum of Brigade Manager",WTFTERoleAreaPivot!$A$3,"ReportingLevel","2:LSO","lvl","Stirling and Clackmannanshire"), GETPIVOTDATA("Sum of Brigade Manager",WTFTERoleAreaPivot!$A$3,"ReportingLevel","2:LSO","lvl","Stirling, Clackmannanshire and Fife"))</f>
        <v>0</v>
      </c>
      <c r="D62" s="66">
        <f>IF(OR(A9 = "2018-19", A9 = "2017-18", A9 = "2016-17", A9 = "2015-16", A9 = "2014-15", A9 = "2013-14"),GETPIVOTDATA("Sum of Area Manager",WTFTERoleAreaPivot!$A$3,"ReportingLevel","2:LSO","lvl","Stirling and Clackmannanshire"), GETPIVOTDATA("Sum of Area Manager",WTFTERoleAreaPivot!$A$3,"ReportingLevel","2:LSO","lvl","Stirling, Clackmannanshire and Fife"))</f>
        <v>1</v>
      </c>
      <c r="E62" s="66">
        <f>IF(OR(A9 = "2018-19", A9 = "2017-18", A9 = "2016-17", A9 = "2015-16", A9 = "2014-15", A9 = "2013-14"),GETPIVOTDATA("Sum of Group Manager",WTFTERoleAreaPivot!$A$3,"ReportingLevel","2:LSO","lvl","Stirling and Clackmannanshire"), GETPIVOTDATA("Sum of Group Manager",WTFTERoleAreaPivot!$A$3,"ReportingLevel","2:LSO","lvl","Stirling, Clackmannanshire and Fife"))</f>
        <v>4</v>
      </c>
      <c r="F62" s="66">
        <f>IF(OR(A9 = "2018-19", A9 = "2017-18", A9 = "2016-17", A9 = "2015-16", A9 = "2014-15", A9 = "2013-14"),GETPIVOTDATA("Sum of Station Manager",WTFTERoleAreaPivot!$A$3,"ReportingLevel","2:LSO","lvl","Stirling and Clackmannanshire"), GETPIVOTDATA("Sum of Station Manager",WTFTERoleAreaPivot!$A$3,"ReportingLevel","2:LSO","lvl","Stirling, Clackmannanshire and Fife"))</f>
        <v>9</v>
      </c>
      <c r="G62" s="66">
        <f>IF(OR(A9 = "2018-19", A9 = "2017-18", A9 = "2016-17", A9 = "2015-16", A9 = "2014-15", A9 = "2013-14"),GETPIVOTDATA("Sum of Watch Manager",WTFTERoleAreaPivot!$A$3,"ReportingLevel","2:LSO","lvl","Stirling and Clackmannanshire"), GETPIVOTDATA("Sum of Watch Manager",WTFTERoleAreaPivot!$A$3,"ReportingLevel","2:LSO","lvl","Stirling, Clackmannanshire and Fife"))</f>
        <v>10</v>
      </c>
      <c r="H62" s="66">
        <f>IF(OR(A9 = "2018-19", A9 = "2017-18", A9 = "2016-17", A9 = "2015-16", A9 = "2014-15", A9 = "2013-14"),GETPIVOTDATA("Sum of Crew Manager",WTFTERoleAreaPivot!$A$3,"ReportingLevel","2:LSO","lvl","Stirling and Clackmannanshire"), GETPIVOTDATA("Sum of Crew Manager",WTFTERoleAreaPivot!$A$3,"ReportingLevel","2:LSO","lvl","Stirling, Clackmannanshire and Fife"))</f>
        <v>7</v>
      </c>
      <c r="I62" s="66">
        <f>IF(OR(A9 = "2018-19", A9 = "2017-18", A9 = "2016-17", A9 = "2015-16", A9 = "2014-15", A9 = "2013-14"),GETPIVOTDATA("Sum of Firefighter",WTFTERoleAreaPivot!$A$3,"ReportingLevel","2:LSO","lvl","Stirling and Clackmannanshire"), GETPIVOTDATA("Sum of Firefighter",WTFTERoleAreaPivot!$A$3,"ReportingLevel","2:LSO","lvl","Stirling, Clackmannanshire and Fife"))</f>
        <v>2</v>
      </c>
      <c r="J62" s="67">
        <f t="shared" si="3"/>
        <v>33</v>
      </c>
    </row>
    <row r="63" spans="1:10" ht="13.5" customHeight="1" x14ac:dyDescent="0.25">
      <c r="A63" s="400" t="s">
        <v>346</v>
      </c>
      <c r="B63" s="681" t="s">
        <v>71</v>
      </c>
      <c r="C63" s="444">
        <f>GETPIVOTDATA("Sum of Brigade Manager",WTFTERoleAreaPivot!$A$3,"ReportingLevel","2:LSO","lvl","Western Isles, Orkney and Shetland Islands")</f>
        <v>0</v>
      </c>
      <c r="D63" s="66">
        <f>GETPIVOTDATA("Sum of Area Manager",WTFTERoleAreaPivot!$A$3,"ReportingLevel","2:LSO","lvl","Western Isles, Orkney and Shetland Islands")</f>
        <v>1</v>
      </c>
      <c r="E63" s="66">
        <f>GETPIVOTDATA("Sum of Group Manager",WTFTERoleAreaPivot!$A$3,"ReportingLevel","2:LSO","lvl","Western Isles, Orkney and Shetland Islands")</f>
        <v>4</v>
      </c>
      <c r="F63" s="66">
        <f>GETPIVOTDATA("Sum of Station Manager",WTFTERoleAreaPivot!$A$3,"ReportingLevel","2:LSO","lvl","Western Isles, Orkney and Shetland Islands")</f>
        <v>6</v>
      </c>
      <c r="G63" s="66">
        <f>GETPIVOTDATA("Sum of Watch Manager",WTFTERoleAreaPivot!$A$3,"ReportingLevel","2:LSO","lvl","Western Isles, Orkney and Shetland Islands")</f>
        <v>0</v>
      </c>
      <c r="H63" s="66">
        <f>GETPIVOTDATA("Sum of Crew Manager",WTFTERoleAreaPivot!$A$3,"ReportingLevel","2:LSO","lvl","Western Isles, Orkney and Shetland Islands")</f>
        <v>0</v>
      </c>
      <c r="I63" s="66">
        <f>GETPIVOTDATA("Sum of Firefighter",WTFTERoleAreaPivot!$A$3,"ReportingLevel","2:LSO","lvl","Western Isles, Orkney and Shetland Islands")</f>
        <v>0</v>
      </c>
      <c r="J63" s="67">
        <f t="shared" si="3"/>
        <v>11</v>
      </c>
    </row>
    <row r="64" spans="1:10" ht="30" customHeight="1" thickBot="1" x14ac:dyDescent="0.3">
      <c r="A64" s="58"/>
      <c r="B64" s="58" t="s">
        <v>72</v>
      </c>
      <c r="C64" s="445">
        <f t="shared" ref="C64" si="4">SUM(C47:C63)</f>
        <v>0</v>
      </c>
      <c r="D64" s="643">
        <f>GETPIVOTDATA("Sum of Area Manager",WTFTERoleAreaPivot!$A$3,"ReportingLevel","2:LSO")</f>
        <v>15</v>
      </c>
      <c r="E64" s="643">
        <f>GETPIVOTDATA("Sum of Group Manager",WTFTERoleAreaPivot!$A$3,"ReportingLevel","2:LSO")</f>
        <v>47</v>
      </c>
      <c r="F64" s="643">
        <f>GETPIVOTDATA("Sum of Station Manager",WTFTERoleAreaPivot!$A$3,"ReportingLevel","2:LSO")</f>
        <v>112</v>
      </c>
      <c r="G64" s="643">
        <f>GETPIVOTDATA("Sum of Watch Manager",WTFTERoleAreaPivot!$A$3,"ReportingLevel","2:LSO")</f>
        <v>92.77</v>
      </c>
      <c r="H64" s="643">
        <f>GETPIVOTDATA("Sum of Crew Manager",WTFTERoleAreaPivot!$A$3,"ReportingLevel","2:LSO")</f>
        <v>42</v>
      </c>
      <c r="I64" s="643">
        <f>GETPIVOTDATA("Sum of Firefighter",WTFTERoleAreaPivot!$A$3,"ReportingLevel","2:LSO")</f>
        <v>17.829999999999998</v>
      </c>
      <c r="J64" s="70">
        <f>SUM(J47:J63)</f>
        <v>326.60000000000002</v>
      </c>
    </row>
    <row r="65" spans="1:10" ht="13.5" customHeight="1" x14ac:dyDescent="0.25">
      <c r="A65" s="48"/>
      <c r="B65" s="48"/>
      <c r="C65" s="68"/>
      <c r="D65" s="68"/>
      <c r="E65" s="68"/>
      <c r="F65" s="68"/>
      <c r="G65" s="68"/>
      <c r="H65" s="68"/>
      <c r="I65" s="68"/>
      <c r="J65" s="68"/>
    </row>
    <row r="66" spans="1:10" ht="18.75" customHeight="1" x14ac:dyDescent="0.25">
      <c r="A66" s="78" t="s">
        <v>333</v>
      </c>
      <c r="B66" s="36" t="s">
        <v>15</v>
      </c>
      <c r="C66" s="43"/>
      <c r="D66" s="43"/>
      <c r="E66" s="43"/>
      <c r="F66" s="43"/>
      <c r="G66" s="43"/>
      <c r="H66" s="43"/>
      <c r="I66" s="43"/>
      <c r="J66" s="75"/>
    </row>
    <row r="67" spans="1:10" ht="22.5" customHeight="1" x14ac:dyDescent="0.25">
      <c r="A67" s="50" t="s">
        <v>361</v>
      </c>
      <c r="B67" s="60" t="s">
        <v>164</v>
      </c>
      <c r="C67" s="444">
        <f>GETPIVOTDATA("Sum of Brigade Manager",WTFTERoleAreaPivot!$A$3,"ReportingLevel","3:SDA","lvl","East")</f>
        <v>0</v>
      </c>
      <c r="D67" s="66">
        <f>GETPIVOTDATA("Sum of Area Manager",WTFTERoleAreaPivot!$A$3,"ReportingLevel","3:SDA","lvl","East")</f>
        <v>1</v>
      </c>
      <c r="E67" s="66">
        <f>GETPIVOTDATA("Sum of Group Manager",WTFTERoleAreaPivot!$A$3,"ReportingLevel","3:SDA","lvl","East")</f>
        <v>2</v>
      </c>
      <c r="F67" s="66">
        <f>GETPIVOTDATA("Sum of Station Manager",WTFTERoleAreaPivot!$A$3,"ReportingLevel","3:SDA","lvl","East")</f>
        <v>5</v>
      </c>
      <c r="G67" s="66">
        <f>GETPIVOTDATA("Sum of Watch Manager",WTFTERoleAreaPivot!$A$3,"ReportingLevel","3:SDA","lvl","East")</f>
        <v>18</v>
      </c>
      <c r="H67" s="66">
        <f>GETPIVOTDATA("Sum of Crew Manager",WTFTERoleAreaPivot!$A$3,"ReportingLevel","3:SDA","lvl","East")</f>
        <v>3</v>
      </c>
      <c r="I67" s="66">
        <f>GETPIVOTDATA("Sum of Firefighter",WTFTERoleAreaPivot!$A$3,"ReportingLevel","3:SDA","lvl","East")</f>
        <v>0</v>
      </c>
      <c r="J67" s="67">
        <f>SUM(C67:I67)</f>
        <v>29</v>
      </c>
    </row>
    <row r="68" spans="1:10" ht="13.5" customHeight="1" x14ac:dyDescent="0.25">
      <c r="A68" s="50" t="s">
        <v>363</v>
      </c>
      <c r="B68" s="48" t="s">
        <v>162</v>
      </c>
      <c r="C68" s="444">
        <f>GETPIVOTDATA("Sum of Brigade Manager",WTFTERoleAreaPivot!$A$3,"ReportingLevel","3:SDA","lvl","North")</f>
        <v>0</v>
      </c>
      <c r="D68" s="66">
        <f>GETPIVOTDATA("Sum of Area Manager",WTFTERoleAreaPivot!$A$3,"ReportingLevel","3:SDA","lvl","North")</f>
        <v>2</v>
      </c>
      <c r="E68" s="66">
        <f>GETPIVOTDATA("Sum of Group Manager",WTFTERoleAreaPivot!$A$3,"ReportingLevel","3:SDA","lvl","North")</f>
        <v>2</v>
      </c>
      <c r="F68" s="66">
        <f>GETPIVOTDATA("Sum of Station Manager",WTFTERoleAreaPivot!$A$3,"ReportingLevel","3:SDA","lvl","North")</f>
        <v>8</v>
      </c>
      <c r="G68" s="66">
        <f>GETPIVOTDATA("Sum of Watch Manager",WTFTERoleAreaPivot!$A$3,"ReportingLevel","3:SDA","lvl","North")</f>
        <v>23</v>
      </c>
      <c r="H68" s="66">
        <f>GETPIVOTDATA("Sum of Crew Manager",WTFTERoleAreaPivot!$A$3,"ReportingLevel","3:SDA","lvl","North")</f>
        <v>17</v>
      </c>
      <c r="I68" s="66">
        <f>GETPIVOTDATA("Sum of Firefighter",WTFTERoleAreaPivot!$A$3,"ReportingLevel","3:SDA","lvl","North")</f>
        <v>0</v>
      </c>
      <c r="J68" s="67">
        <f>SUM(C68:I68)</f>
        <v>52</v>
      </c>
    </row>
    <row r="69" spans="1:10" ht="13.5" customHeight="1" x14ac:dyDescent="0.25">
      <c r="A69" s="462" t="s">
        <v>362</v>
      </c>
      <c r="B69" s="48" t="s">
        <v>163</v>
      </c>
      <c r="C69" s="444">
        <f>GETPIVOTDATA("Sum of Brigade Manager",WTFTERoleAreaPivot!$A$3,"ReportingLevel","3:SDA","lvl","West")</f>
        <v>0</v>
      </c>
      <c r="D69" s="66">
        <f>GETPIVOTDATA("Sum of Area Manager",WTFTERoleAreaPivot!$A$3,"ReportingLevel","3:SDA","lvl","West")</f>
        <v>2</v>
      </c>
      <c r="E69" s="66">
        <f>GETPIVOTDATA("Sum of Group Manager",WTFTERoleAreaPivot!$A$3,"ReportingLevel","3:SDA","lvl","West")</f>
        <v>4</v>
      </c>
      <c r="F69" s="66">
        <f>GETPIVOTDATA("Sum of Station Manager",WTFTERoleAreaPivot!$A$3,"ReportingLevel","3:SDA","lvl","West")</f>
        <v>7</v>
      </c>
      <c r="G69" s="66">
        <f>GETPIVOTDATA("Sum of Watch Manager",WTFTERoleAreaPivot!$A$3,"ReportingLevel","3:SDA","lvl","West")</f>
        <v>38</v>
      </c>
      <c r="H69" s="66">
        <f>GETPIVOTDATA("Sum of Crew Manager",WTFTERoleAreaPivot!$A$3,"ReportingLevel","3:SDA","lvl","West")</f>
        <v>8</v>
      </c>
      <c r="I69" s="66">
        <f>GETPIVOTDATA("Sum of Firefighter",WTFTERoleAreaPivot!$A$3,"ReportingLevel","3:SDA","lvl","West")</f>
        <v>1</v>
      </c>
      <c r="J69" s="67">
        <f>SUM(C69:I69)</f>
        <v>60</v>
      </c>
    </row>
    <row r="70" spans="1:10" ht="30" customHeight="1" thickBot="1" x14ac:dyDescent="0.3">
      <c r="A70" s="52"/>
      <c r="B70" s="52" t="s">
        <v>73</v>
      </c>
      <c r="C70" s="464">
        <f t="shared" ref="C70:J70" si="5">SUM(C67:C69)</f>
        <v>0</v>
      </c>
      <c r="D70" s="304">
        <f>SUM(D67:D69)</f>
        <v>5</v>
      </c>
      <c r="E70" s="304">
        <f t="shared" ref="E70:I70" si="6">SUM(E67:E69)</f>
        <v>8</v>
      </c>
      <c r="F70" s="304">
        <f t="shared" si="6"/>
        <v>20</v>
      </c>
      <c r="G70" s="304">
        <f t="shared" si="6"/>
        <v>79</v>
      </c>
      <c r="H70" s="304">
        <f t="shared" si="6"/>
        <v>28</v>
      </c>
      <c r="I70" s="304">
        <f t="shared" si="6"/>
        <v>1</v>
      </c>
      <c r="J70" s="322">
        <f t="shared" si="5"/>
        <v>141</v>
      </c>
    </row>
    <row r="71" spans="1:10" ht="18.75" customHeight="1" x14ac:dyDescent="0.25">
      <c r="A71" s="36" t="s">
        <v>456</v>
      </c>
      <c r="B71" s="48"/>
      <c r="C71" s="15"/>
      <c r="D71" s="15"/>
      <c r="E71" s="15"/>
      <c r="F71" s="15"/>
      <c r="G71" s="15"/>
      <c r="H71" s="15"/>
      <c r="I71" s="15"/>
      <c r="J71" s="15"/>
    </row>
    <row r="72" spans="1:10" ht="18.75" customHeight="1" thickBot="1" x14ac:dyDescent="0.3">
      <c r="A72" s="52" t="s">
        <v>347</v>
      </c>
      <c r="B72" s="76" t="s">
        <v>74</v>
      </c>
      <c r="C72" s="304">
        <f>GETPIVOTDATA("Sum of Brigade Manager",WTFTERoleAreaPivot!$A$3,"ReportingLevel","4:National","lvl","Scotland")</f>
        <v>5</v>
      </c>
      <c r="D72" s="304">
        <f>GETPIVOTDATA("Sum of Area Manager",WTFTERoleAreaPivot!$A$3,"ReportingLevel","4:National","lvl","Scotland")</f>
        <v>11</v>
      </c>
      <c r="E72" s="304">
        <f>GETPIVOTDATA("Sum of Group Manager",WTFTERoleAreaPivot!$A$3,"ReportingLevel","4:National","lvl","Scotland")</f>
        <v>16</v>
      </c>
      <c r="F72" s="304">
        <f>GETPIVOTDATA("Sum of Station Manager",WTFTERoleAreaPivot!$A$3,"ReportingLevel","4:National","lvl","Scotland")</f>
        <v>24</v>
      </c>
      <c r="G72" s="304">
        <f>GETPIVOTDATA("Sum of Watch Manager",WTFTERoleAreaPivot!$A$3,"ReportingLevel","4:National","lvl","Scotland")</f>
        <v>27</v>
      </c>
      <c r="H72" s="304">
        <f>GETPIVOTDATA("Sum of Crew Manager",WTFTERoleAreaPivot!$A$3,"ReportingLevel","4:National","lvl","Scotland")</f>
        <v>1</v>
      </c>
      <c r="I72" s="304">
        <f>GETPIVOTDATA("Sum of Firefighter",WTFTERoleAreaPivot!$A$3,"ReportingLevel","4:National","lvl","Scotland")</f>
        <v>0</v>
      </c>
      <c r="J72" s="70">
        <f>SUM(C72:I72)</f>
        <v>84</v>
      </c>
    </row>
    <row r="73" spans="1:10" x14ac:dyDescent="0.25">
      <c r="C73" s="68"/>
      <c r="D73" s="68"/>
      <c r="E73" s="68"/>
      <c r="F73" s="68"/>
      <c r="G73" s="68"/>
      <c r="H73" s="68"/>
      <c r="I73" s="68"/>
      <c r="J73" s="68"/>
    </row>
    <row r="74" spans="1:10" x14ac:dyDescent="0.25">
      <c r="A74" s="353" t="s">
        <v>8</v>
      </c>
    </row>
    <row r="75" spans="1:10" x14ac:dyDescent="0.25">
      <c r="A75" s="350" t="s">
        <v>217</v>
      </c>
    </row>
    <row r="76" spans="1:10" ht="30" customHeight="1" x14ac:dyDescent="0.25">
      <c r="A76" s="1003" t="s">
        <v>844</v>
      </c>
      <c r="B76" s="1003"/>
      <c r="C76" s="1003"/>
      <c r="D76" s="1003"/>
      <c r="E76" s="1003"/>
      <c r="F76" s="1003"/>
      <c r="G76" s="1003"/>
      <c r="H76" s="1003"/>
      <c r="I76" s="1003"/>
    </row>
    <row r="77" spans="1:10" ht="30" customHeight="1" x14ac:dyDescent="0.25">
      <c r="A77" s="1010" t="s">
        <v>214</v>
      </c>
      <c r="B77" s="1010"/>
      <c r="C77" s="1010"/>
      <c r="D77" s="1010"/>
      <c r="E77" s="1010"/>
      <c r="F77" s="1010"/>
      <c r="G77" s="1010"/>
      <c r="H77" s="1010"/>
      <c r="I77" s="1010"/>
      <c r="J77" s="1010"/>
    </row>
    <row r="78" spans="1:10" x14ac:dyDescent="0.25">
      <c r="A78" s="350" t="s">
        <v>457</v>
      </c>
    </row>
    <row r="79" spans="1:10" x14ac:dyDescent="0.25">
      <c r="A79" s="466" t="s">
        <v>212</v>
      </c>
    </row>
    <row r="80" spans="1:10" x14ac:dyDescent="0.25">
      <c r="A80" s="377" t="s">
        <v>213</v>
      </c>
    </row>
    <row r="82" spans="1:1" x14ac:dyDescent="0.25">
      <c r="A82" s="350"/>
    </row>
    <row r="84" spans="1:1" x14ac:dyDescent="0.25">
      <c r="A84" s="350"/>
    </row>
  </sheetData>
  <sheetProtection algorithmName="SHA-512" hashValue="UKRTIeljvZ6uh/x5W+20+F3iqAc3iVBnLlaE7TzbM/ZGRvCqFCDPmEbZVF3hVn6b16NwN+Pm3o3oK1UP+Hjh6w==" saltValue="eDsi1cHmHUhJVOOvqyCeuQ==" spinCount="100000" sheet="1" scenarios="1" formatCells="0" sort="0" autoFilter="0" pivotTables="0"/>
  <mergeCells count="3">
    <mergeCell ref="A1:G1"/>
    <mergeCell ref="A77:J77"/>
    <mergeCell ref="A76:I76"/>
  </mergeCells>
  <hyperlinks>
    <hyperlink ref="A2" location="'Table of Contents'!A1" display="Back to Table of Contents" xr:uid="{00000000-0004-0000-4600-000000000000}"/>
  </hyperlinks>
  <pageMargins left="0.70866141732283472" right="0.70866141732283472" top="0.74803149606299213" bottom="0.74803149606299213" header="0.31496062992125984" footer="0.31496062992125984"/>
  <pageSetup paperSize="9" scale="57" orientation="portrait" r:id="rId1"/>
  <drawing r:id="rId2"/>
  <extLst>
    <ext xmlns:x14="http://schemas.microsoft.com/office/spreadsheetml/2009/9/main" uri="{A8765BA9-456A-4dab-B4F3-ACF838C121DE}">
      <x14:slicerList>
        <x14:slicer r:id="rId3"/>
      </x14:slicerList>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9" tint="0.39997558519241921"/>
  </sheetPr>
  <dimension ref="A1:D36"/>
  <sheetViews>
    <sheetView zoomScale="90" zoomScaleNormal="90" workbookViewId="0">
      <selection activeCell="B10" sqref="B10"/>
    </sheetView>
  </sheetViews>
  <sheetFormatPr defaultRowHeight="15" x14ac:dyDescent="0.25"/>
  <cols>
    <col min="1" max="1" width="25.28515625" bestFit="1" customWidth="1"/>
    <col min="2" max="2" width="20.5703125" bestFit="1" customWidth="1"/>
    <col min="3" max="3" width="19.5703125" bestFit="1" customWidth="1"/>
    <col min="4" max="4" width="16.140625" bestFit="1" customWidth="1"/>
  </cols>
  <sheetData>
    <row r="1" spans="1:4" x14ac:dyDescent="0.25">
      <c r="A1" s="394" t="s">
        <v>1</v>
      </c>
      <c r="B1" t="s">
        <v>1108</v>
      </c>
    </row>
    <row r="3" spans="1:4" x14ac:dyDescent="0.25">
      <c r="A3" s="394" t="s">
        <v>231</v>
      </c>
      <c r="B3" t="s">
        <v>241</v>
      </c>
      <c r="C3" t="s">
        <v>253</v>
      </c>
      <c r="D3" t="s">
        <v>254</v>
      </c>
    </row>
    <row r="4" spans="1:4" x14ac:dyDescent="0.25">
      <c r="A4" s="395" t="s">
        <v>232</v>
      </c>
    </row>
    <row r="5" spans="1:4" x14ac:dyDescent="0.25">
      <c r="A5" s="396" t="s">
        <v>31</v>
      </c>
      <c r="B5">
        <v>1</v>
      </c>
      <c r="C5">
        <v>3</v>
      </c>
      <c r="D5">
        <v>4</v>
      </c>
    </row>
    <row r="6" spans="1:4" x14ac:dyDescent="0.25">
      <c r="A6" s="396" t="s">
        <v>32</v>
      </c>
      <c r="B6">
        <v>19.25</v>
      </c>
      <c r="C6">
        <v>57.5</v>
      </c>
      <c r="D6">
        <v>154</v>
      </c>
    </row>
    <row r="7" spans="1:4" x14ac:dyDescent="0.25">
      <c r="A7" s="396" t="s">
        <v>265</v>
      </c>
      <c r="B7">
        <v>222.3</v>
      </c>
      <c r="C7">
        <v>452.13</v>
      </c>
      <c r="D7">
        <v>1615.3400000000001</v>
      </c>
    </row>
    <row r="8" spans="1:4" x14ac:dyDescent="0.25">
      <c r="A8" s="396" t="s">
        <v>33</v>
      </c>
      <c r="B8">
        <v>5.75</v>
      </c>
      <c r="C8">
        <v>14.75</v>
      </c>
      <c r="D8">
        <v>60.75</v>
      </c>
    </row>
    <row r="9" spans="1:4" x14ac:dyDescent="0.25">
      <c r="A9" s="396" t="s">
        <v>34</v>
      </c>
      <c r="B9">
        <v>13.75</v>
      </c>
      <c r="C9">
        <v>21</v>
      </c>
      <c r="D9">
        <v>122.75</v>
      </c>
    </row>
    <row r="10" spans="1:4" x14ac:dyDescent="0.25">
      <c r="A10" s="396" t="s">
        <v>243</v>
      </c>
      <c r="B10">
        <v>0.5</v>
      </c>
      <c r="C10">
        <v>1</v>
      </c>
      <c r="D10">
        <v>3.75</v>
      </c>
    </row>
    <row r="11" spans="1:4" x14ac:dyDescent="0.25">
      <c r="A11" s="396" t="s">
        <v>35</v>
      </c>
      <c r="B11">
        <v>1.5</v>
      </c>
      <c r="C11">
        <v>3</v>
      </c>
      <c r="D11">
        <v>12.75</v>
      </c>
    </row>
    <row r="12" spans="1:4" x14ac:dyDescent="0.25">
      <c r="A12" s="396" t="s">
        <v>36</v>
      </c>
      <c r="B12">
        <v>13.75</v>
      </c>
      <c r="C12">
        <v>27.75</v>
      </c>
      <c r="D12">
        <v>107.75</v>
      </c>
    </row>
    <row r="13" spans="1:4" x14ac:dyDescent="0.25">
      <c r="A13" s="396" t="s">
        <v>37</v>
      </c>
      <c r="B13">
        <v>1</v>
      </c>
      <c r="C13">
        <v>1.5</v>
      </c>
      <c r="D13">
        <v>9.25</v>
      </c>
    </row>
    <row r="14" spans="1:4" x14ac:dyDescent="0.25">
      <c r="A14" s="396" t="s">
        <v>38</v>
      </c>
      <c r="B14">
        <v>5</v>
      </c>
      <c r="C14">
        <v>9.5</v>
      </c>
      <c r="D14">
        <v>41</v>
      </c>
    </row>
    <row r="15" spans="1:4" x14ac:dyDescent="0.25">
      <c r="A15" s="396" t="s">
        <v>40</v>
      </c>
      <c r="B15">
        <v>4</v>
      </c>
      <c r="C15">
        <v>9.75</v>
      </c>
      <c r="D15">
        <v>30.25</v>
      </c>
    </row>
    <row r="16" spans="1:4" x14ac:dyDescent="0.25">
      <c r="A16" s="396" t="s">
        <v>42</v>
      </c>
      <c r="B16">
        <v>3.75</v>
      </c>
      <c r="C16">
        <v>7.25</v>
      </c>
      <c r="D16">
        <v>35</v>
      </c>
    </row>
    <row r="17" spans="1:4" x14ac:dyDescent="0.25">
      <c r="A17" s="396" t="s">
        <v>43</v>
      </c>
      <c r="B17">
        <v>7.55</v>
      </c>
      <c r="C17">
        <v>17.63</v>
      </c>
      <c r="D17">
        <v>61.09</v>
      </c>
    </row>
    <row r="18" spans="1:4" x14ac:dyDescent="0.25">
      <c r="A18" s="396" t="s">
        <v>44</v>
      </c>
      <c r="B18">
        <v>40.25</v>
      </c>
      <c r="C18">
        <v>82.75</v>
      </c>
      <c r="D18">
        <v>281</v>
      </c>
    </row>
    <row r="19" spans="1:4" x14ac:dyDescent="0.25">
      <c r="A19" s="396" t="s">
        <v>45</v>
      </c>
      <c r="B19">
        <v>2.5</v>
      </c>
      <c r="C19">
        <v>5.5</v>
      </c>
      <c r="D19">
        <v>20.25</v>
      </c>
    </row>
    <row r="20" spans="1:4" x14ac:dyDescent="0.25">
      <c r="A20" s="396" t="s">
        <v>46</v>
      </c>
      <c r="B20">
        <v>1</v>
      </c>
      <c r="C20">
        <v>1.5</v>
      </c>
      <c r="D20">
        <v>7</v>
      </c>
    </row>
    <row r="21" spans="1:4" x14ac:dyDescent="0.25">
      <c r="A21" s="396" t="s">
        <v>47</v>
      </c>
      <c r="B21">
        <v>10.75</v>
      </c>
      <c r="C21">
        <v>25.75</v>
      </c>
      <c r="D21">
        <v>66.5</v>
      </c>
    </row>
    <row r="22" spans="1:4" x14ac:dyDescent="0.25">
      <c r="A22" s="396" t="s">
        <v>48</v>
      </c>
      <c r="B22">
        <v>13.75</v>
      </c>
      <c r="C22">
        <v>26.5</v>
      </c>
      <c r="D22">
        <v>78.25</v>
      </c>
    </row>
    <row r="23" spans="1:4" x14ac:dyDescent="0.25">
      <c r="A23" s="396" t="s">
        <v>49</v>
      </c>
      <c r="B23">
        <v>7.75</v>
      </c>
      <c r="C23">
        <v>10</v>
      </c>
      <c r="D23">
        <v>62</v>
      </c>
    </row>
    <row r="24" spans="1:4" x14ac:dyDescent="0.25">
      <c r="A24" s="396" t="s">
        <v>50</v>
      </c>
      <c r="B24">
        <v>2</v>
      </c>
      <c r="C24">
        <v>3.75</v>
      </c>
      <c r="D24">
        <v>13.75</v>
      </c>
    </row>
    <row r="25" spans="1:4" x14ac:dyDescent="0.25">
      <c r="A25" s="396" t="s">
        <v>51</v>
      </c>
      <c r="B25">
        <v>11.5</v>
      </c>
      <c r="C25">
        <v>22</v>
      </c>
      <c r="D25">
        <v>73.75</v>
      </c>
    </row>
    <row r="26" spans="1:4" x14ac:dyDescent="0.25">
      <c r="A26" s="396" t="s">
        <v>52</v>
      </c>
      <c r="B26">
        <v>10</v>
      </c>
      <c r="C26">
        <v>18.25</v>
      </c>
      <c r="D26">
        <v>72.75</v>
      </c>
    </row>
    <row r="27" spans="1:4" x14ac:dyDescent="0.25">
      <c r="A27" s="396" t="s">
        <v>53</v>
      </c>
      <c r="B27">
        <v>0.75</v>
      </c>
      <c r="C27">
        <v>1.5</v>
      </c>
      <c r="D27">
        <v>6</v>
      </c>
    </row>
    <row r="28" spans="1:4" x14ac:dyDescent="0.25">
      <c r="A28" s="396" t="s">
        <v>54</v>
      </c>
      <c r="B28">
        <v>10.75</v>
      </c>
      <c r="C28">
        <v>22.75</v>
      </c>
      <c r="D28">
        <v>78</v>
      </c>
    </row>
    <row r="29" spans="1:4" x14ac:dyDescent="0.25">
      <c r="A29" s="396" t="s">
        <v>55</v>
      </c>
      <c r="B29">
        <v>13</v>
      </c>
      <c r="C29">
        <v>21.25</v>
      </c>
      <c r="D29">
        <v>68</v>
      </c>
    </row>
    <row r="30" spans="1:4" x14ac:dyDescent="0.25">
      <c r="A30" s="396" t="s">
        <v>56</v>
      </c>
      <c r="B30">
        <v>3.25</v>
      </c>
      <c r="C30">
        <v>6.25</v>
      </c>
      <c r="D30">
        <v>25.5</v>
      </c>
    </row>
    <row r="31" spans="1:4" x14ac:dyDescent="0.25">
      <c r="A31" s="396" t="s">
        <v>57</v>
      </c>
      <c r="B31">
        <v>6.25</v>
      </c>
      <c r="C31">
        <v>9.5</v>
      </c>
      <c r="D31">
        <v>38.25</v>
      </c>
    </row>
    <row r="32" spans="1:4" x14ac:dyDescent="0.25">
      <c r="A32" s="396" t="s">
        <v>58</v>
      </c>
      <c r="B32">
        <v>6</v>
      </c>
      <c r="C32">
        <v>12</v>
      </c>
      <c r="D32">
        <v>38.25</v>
      </c>
    </row>
    <row r="33" spans="1:4" x14ac:dyDescent="0.25">
      <c r="A33" s="396" t="s">
        <v>59</v>
      </c>
      <c r="B33">
        <v>1.5</v>
      </c>
      <c r="C33">
        <v>1.5</v>
      </c>
      <c r="D33">
        <v>13.75</v>
      </c>
    </row>
    <row r="34" spans="1:4" x14ac:dyDescent="0.25">
      <c r="A34" s="396" t="s">
        <v>60</v>
      </c>
      <c r="B34">
        <v>4.5</v>
      </c>
      <c r="C34">
        <v>7.75</v>
      </c>
      <c r="D34">
        <v>30</v>
      </c>
    </row>
    <row r="35" spans="1:4" x14ac:dyDescent="0.25">
      <c r="A35" s="395" t="s">
        <v>832</v>
      </c>
      <c r="B35">
        <v>444.6</v>
      </c>
      <c r="C35">
        <v>904.26</v>
      </c>
      <c r="D35">
        <v>3230.6800000000003</v>
      </c>
    </row>
    <row r="36" spans="1:4" x14ac:dyDescent="0.25">
      <c r="A36" s="395" t="s">
        <v>236</v>
      </c>
      <c r="B36">
        <v>444.6</v>
      </c>
      <c r="C36">
        <v>904.26</v>
      </c>
      <c r="D36">
        <v>3230.6800000000003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9" tint="0.39997558519241921"/>
  </sheetPr>
  <dimension ref="A1:H344"/>
  <sheetViews>
    <sheetView workbookViewId="0">
      <selection activeCell="D11" sqref="D11"/>
    </sheetView>
  </sheetViews>
  <sheetFormatPr defaultRowHeight="15" x14ac:dyDescent="0.25"/>
  <cols>
    <col min="1" max="1" width="7.42578125" bestFit="1" customWidth="1"/>
    <col min="2" max="2" width="15.5703125" bestFit="1" customWidth="1"/>
    <col min="3" max="3" width="9.7109375" bestFit="1" customWidth="1"/>
    <col min="4" max="4" width="20.42578125" bestFit="1" customWidth="1"/>
    <col min="5" max="5" width="11.85546875" bestFit="1" customWidth="1"/>
    <col min="6" max="6" width="16.5703125" bestFit="1" customWidth="1"/>
    <col min="7" max="7" width="15.42578125" bestFit="1" customWidth="1"/>
    <col min="8" max="8" width="11.85546875" bestFit="1" customWidth="1"/>
  </cols>
  <sheetData>
    <row r="1" spans="1:8" x14ac:dyDescent="0.25">
      <c r="A1" t="s">
        <v>1</v>
      </c>
      <c r="B1" t="s">
        <v>982</v>
      </c>
      <c r="C1" t="s">
        <v>242</v>
      </c>
      <c r="D1" t="s">
        <v>983</v>
      </c>
      <c r="E1" t="s">
        <v>26</v>
      </c>
      <c r="F1" t="s">
        <v>21</v>
      </c>
      <c r="G1" t="s">
        <v>22</v>
      </c>
      <c r="H1" t="s">
        <v>23</v>
      </c>
    </row>
    <row r="3" spans="1:8" x14ac:dyDescent="0.25">
      <c r="A3" t="s">
        <v>192</v>
      </c>
      <c r="B3" t="s">
        <v>232</v>
      </c>
      <c r="C3" t="s">
        <v>992</v>
      </c>
      <c r="D3" t="s">
        <v>265</v>
      </c>
      <c r="E3">
        <v>2665.13</v>
      </c>
      <c r="F3">
        <v>262.12</v>
      </c>
      <c r="G3">
        <v>489.46</v>
      </c>
      <c r="H3">
        <v>1913.55</v>
      </c>
    </row>
    <row r="4" spans="1:8" x14ac:dyDescent="0.25">
      <c r="A4" t="s">
        <v>192</v>
      </c>
      <c r="B4" t="s">
        <v>232</v>
      </c>
      <c r="C4" t="s">
        <v>266</v>
      </c>
      <c r="D4" t="s">
        <v>35</v>
      </c>
      <c r="E4">
        <v>16.71</v>
      </c>
      <c r="F4">
        <v>1.52</v>
      </c>
      <c r="G4">
        <v>3.29</v>
      </c>
      <c r="H4">
        <v>11.9</v>
      </c>
    </row>
    <row r="5" spans="1:8" x14ac:dyDescent="0.25">
      <c r="A5" t="s">
        <v>192</v>
      </c>
      <c r="B5" t="s">
        <v>232</v>
      </c>
      <c r="C5" t="s">
        <v>267</v>
      </c>
      <c r="D5" t="s">
        <v>36</v>
      </c>
      <c r="E5">
        <v>177.25</v>
      </c>
      <c r="F5">
        <v>15.25</v>
      </c>
      <c r="G5">
        <v>31.25</v>
      </c>
      <c r="H5">
        <v>130.75</v>
      </c>
    </row>
    <row r="6" spans="1:8" x14ac:dyDescent="0.25">
      <c r="A6" t="s">
        <v>192</v>
      </c>
      <c r="B6" t="s">
        <v>232</v>
      </c>
      <c r="C6" t="s">
        <v>268</v>
      </c>
      <c r="D6" t="s">
        <v>38</v>
      </c>
      <c r="E6">
        <v>66.86</v>
      </c>
      <c r="F6">
        <v>8.25</v>
      </c>
      <c r="G6">
        <v>8.5</v>
      </c>
      <c r="H6">
        <v>50.11</v>
      </c>
    </row>
    <row r="7" spans="1:8" x14ac:dyDescent="0.25">
      <c r="A7" t="s">
        <v>192</v>
      </c>
      <c r="B7" t="s">
        <v>232</v>
      </c>
      <c r="C7" t="s">
        <v>269</v>
      </c>
      <c r="D7" t="s">
        <v>40</v>
      </c>
      <c r="E7">
        <v>46.75</v>
      </c>
      <c r="F7">
        <v>5</v>
      </c>
      <c r="G7">
        <v>8.75</v>
      </c>
      <c r="H7">
        <v>33</v>
      </c>
    </row>
    <row r="8" spans="1:8" x14ac:dyDescent="0.25">
      <c r="A8" t="s">
        <v>192</v>
      </c>
      <c r="B8" t="s">
        <v>232</v>
      </c>
      <c r="C8" t="s">
        <v>270</v>
      </c>
      <c r="D8" t="s">
        <v>41</v>
      </c>
    </row>
    <row r="9" spans="1:8" x14ac:dyDescent="0.25">
      <c r="A9" t="s">
        <v>192</v>
      </c>
      <c r="B9" t="s">
        <v>232</v>
      </c>
      <c r="C9" t="s">
        <v>271</v>
      </c>
      <c r="D9" t="s">
        <v>48</v>
      </c>
      <c r="E9">
        <v>124</v>
      </c>
      <c r="F9">
        <v>12.5</v>
      </c>
      <c r="G9">
        <v>24</v>
      </c>
      <c r="H9">
        <v>87.5</v>
      </c>
    </row>
    <row r="10" spans="1:8" x14ac:dyDescent="0.25">
      <c r="A10" t="s">
        <v>192</v>
      </c>
      <c r="B10" t="s">
        <v>232</v>
      </c>
      <c r="C10" t="s">
        <v>272</v>
      </c>
      <c r="D10" t="s">
        <v>42</v>
      </c>
      <c r="E10">
        <v>49.69</v>
      </c>
      <c r="F10">
        <v>3.81</v>
      </c>
      <c r="G10">
        <v>7.6</v>
      </c>
      <c r="H10">
        <v>38.28</v>
      </c>
    </row>
    <row r="11" spans="1:8" x14ac:dyDescent="0.25">
      <c r="A11" t="s">
        <v>192</v>
      </c>
      <c r="B11" t="s">
        <v>232</v>
      </c>
      <c r="C11" t="s">
        <v>273</v>
      </c>
      <c r="D11" t="s">
        <v>44</v>
      </c>
      <c r="E11">
        <v>525.5</v>
      </c>
      <c r="F11">
        <v>52.25</v>
      </c>
      <c r="G11">
        <v>108.25</v>
      </c>
      <c r="H11">
        <v>365</v>
      </c>
    </row>
    <row r="12" spans="1:8" x14ac:dyDescent="0.25">
      <c r="A12" t="s">
        <v>192</v>
      </c>
      <c r="B12" t="s">
        <v>232</v>
      </c>
      <c r="C12" t="s">
        <v>274</v>
      </c>
      <c r="D12" t="s">
        <v>45</v>
      </c>
      <c r="E12">
        <v>35.5</v>
      </c>
      <c r="F12">
        <v>3</v>
      </c>
      <c r="G12">
        <v>3.75</v>
      </c>
      <c r="H12">
        <v>28.75</v>
      </c>
    </row>
    <row r="13" spans="1:8" x14ac:dyDescent="0.25">
      <c r="A13" t="s">
        <v>192</v>
      </c>
      <c r="B13" t="s">
        <v>232</v>
      </c>
      <c r="C13" t="s">
        <v>275</v>
      </c>
      <c r="D13" t="s">
        <v>46</v>
      </c>
      <c r="E13">
        <v>8.75</v>
      </c>
      <c r="F13">
        <v>1</v>
      </c>
      <c r="G13">
        <v>1.75</v>
      </c>
      <c r="H13">
        <v>6</v>
      </c>
    </row>
    <row r="14" spans="1:8" x14ac:dyDescent="0.25">
      <c r="A14" t="s">
        <v>192</v>
      </c>
      <c r="B14" t="s">
        <v>232</v>
      </c>
      <c r="C14" t="s">
        <v>276</v>
      </c>
      <c r="D14" t="s">
        <v>47</v>
      </c>
      <c r="E14">
        <v>95.38</v>
      </c>
      <c r="F14">
        <v>8</v>
      </c>
      <c r="G14">
        <v>19.5</v>
      </c>
      <c r="H14">
        <v>67.88</v>
      </c>
    </row>
    <row r="15" spans="1:8" x14ac:dyDescent="0.25">
      <c r="A15" t="s">
        <v>192</v>
      </c>
      <c r="B15" t="s">
        <v>232</v>
      </c>
      <c r="C15" t="s">
        <v>277</v>
      </c>
      <c r="D15" t="s">
        <v>49</v>
      </c>
      <c r="E15">
        <v>86.25</v>
      </c>
      <c r="F15">
        <v>8.5</v>
      </c>
      <c r="G15">
        <v>14</v>
      </c>
      <c r="H15">
        <v>63.75</v>
      </c>
    </row>
    <row r="16" spans="1:8" x14ac:dyDescent="0.25">
      <c r="A16" t="s">
        <v>192</v>
      </c>
      <c r="B16" t="s">
        <v>232</v>
      </c>
      <c r="C16" t="s">
        <v>278</v>
      </c>
      <c r="D16" t="s">
        <v>51</v>
      </c>
      <c r="E16">
        <v>111</v>
      </c>
      <c r="F16">
        <v>12</v>
      </c>
      <c r="G16">
        <v>21.25</v>
      </c>
      <c r="H16">
        <v>77.75</v>
      </c>
    </row>
    <row r="17" spans="1:8" x14ac:dyDescent="0.25">
      <c r="A17" t="s">
        <v>192</v>
      </c>
      <c r="B17" t="s">
        <v>232</v>
      </c>
      <c r="C17" t="s">
        <v>279</v>
      </c>
      <c r="D17" t="s">
        <v>52</v>
      </c>
      <c r="E17">
        <v>128</v>
      </c>
      <c r="F17">
        <v>9.5</v>
      </c>
      <c r="G17">
        <v>24</v>
      </c>
      <c r="H17">
        <v>94.5</v>
      </c>
    </row>
    <row r="18" spans="1:8" x14ac:dyDescent="0.25">
      <c r="A18" t="s">
        <v>192</v>
      </c>
      <c r="B18" t="s">
        <v>232</v>
      </c>
      <c r="C18" t="s">
        <v>280</v>
      </c>
      <c r="D18" t="s">
        <v>54</v>
      </c>
      <c r="E18">
        <v>119.5</v>
      </c>
      <c r="F18">
        <v>12.5</v>
      </c>
      <c r="G18">
        <v>22</v>
      </c>
      <c r="H18">
        <v>85</v>
      </c>
    </row>
    <row r="19" spans="1:8" x14ac:dyDescent="0.25">
      <c r="A19" t="s">
        <v>192</v>
      </c>
      <c r="B19" t="s">
        <v>232</v>
      </c>
      <c r="C19" t="s">
        <v>281</v>
      </c>
      <c r="D19" t="s">
        <v>55</v>
      </c>
      <c r="E19">
        <v>126</v>
      </c>
      <c r="F19">
        <v>12.25</v>
      </c>
      <c r="G19">
        <v>28.25</v>
      </c>
      <c r="H19">
        <v>85.5</v>
      </c>
    </row>
    <row r="20" spans="1:8" x14ac:dyDescent="0.25">
      <c r="A20" t="s">
        <v>192</v>
      </c>
      <c r="B20" t="s">
        <v>232</v>
      </c>
      <c r="C20" t="s">
        <v>282</v>
      </c>
      <c r="D20" t="s">
        <v>56</v>
      </c>
      <c r="E20">
        <v>49.25</v>
      </c>
      <c r="F20">
        <v>5</v>
      </c>
      <c r="G20">
        <v>8.25</v>
      </c>
      <c r="H20">
        <v>36</v>
      </c>
    </row>
    <row r="21" spans="1:8" x14ac:dyDescent="0.25">
      <c r="A21" t="s">
        <v>192</v>
      </c>
      <c r="B21" t="s">
        <v>232</v>
      </c>
      <c r="C21" t="s">
        <v>283</v>
      </c>
      <c r="D21" t="s">
        <v>57</v>
      </c>
      <c r="E21">
        <v>79.25</v>
      </c>
      <c r="F21">
        <v>8.75</v>
      </c>
      <c r="G21">
        <v>8</v>
      </c>
      <c r="H21">
        <v>62.5</v>
      </c>
    </row>
    <row r="22" spans="1:8" x14ac:dyDescent="0.25">
      <c r="A22" t="s">
        <v>192</v>
      </c>
      <c r="B22" t="s">
        <v>232</v>
      </c>
      <c r="C22" t="s">
        <v>284</v>
      </c>
      <c r="D22" t="s">
        <v>58</v>
      </c>
      <c r="E22">
        <v>58.03</v>
      </c>
      <c r="F22">
        <v>7.33</v>
      </c>
      <c r="G22">
        <v>11.9</v>
      </c>
      <c r="H22">
        <v>38.799999999999997</v>
      </c>
    </row>
    <row r="23" spans="1:8" x14ac:dyDescent="0.25">
      <c r="A23" t="s">
        <v>192</v>
      </c>
      <c r="B23" t="s">
        <v>232</v>
      </c>
      <c r="C23" t="s">
        <v>285</v>
      </c>
      <c r="D23" t="s">
        <v>31</v>
      </c>
      <c r="E23">
        <v>6.5</v>
      </c>
      <c r="F23">
        <v>1</v>
      </c>
      <c r="G23">
        <v>1.75</v>
      </c>
      <c r="H23">
        <v>3.75</v>
      </c>
    </row>
    <row r="24" spans="1:8" x14ac:dyDescent="0.25">
      <c r="A24" t="s">
        <v>192</v>
      </c>
      <c r="B24" t="s">
        <v>232</v>
      </c>
      <c r="C24" t="s">
        <v>286</v>
      </c>
      <c r="D24" t="s">
        <v>32</v>
      </c>
      <c r="E24">
        <v>269.71000000000004</v>
      </c>
      <c r="F24">
        <v>27.46</v>
      </c>
      <c r="G24">
        <v>57.67</v>
      </c>
      <c r="H24">
        <v>184.58</v>
      </c>
    </row>
    <row r="25" spans="1:8" x14ac:dyDescent="0.25">
      <c r="A25" t="s">
        <v>192</v>
      </c>
      <c r="B25" t="s">
        <v>232</v>
      </c>
      <c r="C25" t="s">
        <v>287</v>
      </c>
      <c r="D25" t="s">
        <v>34</v>
      </c>
      <c r="E25">
        <v>178.25</v>
      </c>
      <c r="F25">
        <v>16.75</v>
      </c>
      <c r="G25">
        <v>22.75</v>
      </c>
      <c r="H25">
        <v>138.75</v>
      </c>
    </row>
    <row r="26" spans="1:8" x14ac:dyDescent="0.25">
      <c r="A26" t="s">
        <v>192</v>
      </c>
      <c r="B26" t="s">
        <v>232</v>
      </c>
      <c r="C26" t="s">
        <v>288</v>
      </c>
      <c r="D26" t="s">
        <v>243</v>
      </c>
      <c r="E26">
        <v>9.75</v>
      </c>
      <c r="F26">
        <v>0.75</v>
      </c>
      <c r="G26">
        <v>1.75</v>
      </c>
      <c r="H26">
        <v>7.25</v>
      </c>
    </row>
    <row r="27" spans="1:8" x14ac:dyDescent="0.25">
      <c r="A27" t="s">
        <v>192</v>
      </c>
      <c r="B27" t="s">
        <v>232</v>
      </c>
      <c r="C27" t="s">
        <v>289</v>
      </c>
      <c r="D27" t="s">
        <v>53</v>
      </c>
      <c r="E27">
        <v>11.75</v>
      </c>
      <c r="F27">
        <v>1</v>
      </c>
      <c r="G27">
        <v>2</v>
      </c>
      <c r="H27">
        <v>8.75</v>
      </c>
    </row>
    <row r="28" spans="1:8" x14ac:dyDescent="0.25">
      <c r="A28" t="s">
        <v>192</v>
      </c>
      <c r="B28" t="s">
        <v>232</v>
      </c>
      <c r="C28" t="s">
        <v>290</v>
      </c>
      <c r="D28" t="s">
        <v>59</v>
      </c>
      <c r="E28">
        <v>15.75</v>
      </c>
      <c r="F28">
        <v>1.75</v>
      </c>
      <c r="G28">
        <v>1</v>
      </c>
      <c r="H28">
        <v>13</v>
      </c>
    </row>
    <row r="29" spans="1:8" x14ac:dyDescent="0.25">
      <c r="A29" t="s">
        <v>192</v>
      </c>
      <c r="B29" t="s">
        <v>232</v>
      </c>
      <c r="C29" t="s">
        <v>291</v>
      </c>
      <c r="D29" t="s">
        <v>60</v>
      </c>
      <c r="E29">
        <v>49.75</v>
      </c>
      <c r="F29">
        <v>5.75</v>
      </c>
      <c r="G29">
        <v>9.5</v>
      </c>
      <c r="H29">
        <v>34.5</v>
      </c>
    </row>
    <row r="30" spans="1:8" x14ac:dyDescent="0.25">
      <c r="A30" t="s">
        <v>192</v>
      </c>
      <c r="B30" t="s">
        <v>232</v>
      </c>
      <c r="C30" t="s">
        <v>292</v>
      </c>
      <c r="D30" t="s">
        <v>33</v>
      </c>
      <c r="E30">
        <v>86.75</v>
      </c>
      <c r="F30">
        <v>7</v>
      </c>
      <c r="G30">
        <v>17</v>
      </c>
      <c r="H30">
        <v>62.75</v>
      </c>
    </row>
    <row r="31" spans="1:8" x14ac:dyDescent="0.25">
      <c r="A31" t="s">
        <v>192</v>
      </c>
      <c r="B31" t="s">
        <v>232</v>
      </c>
      <c r="C31" t="s">
        <v>293</v>
      </c>
      <c r="D31" t="s">
        <v>37</v>
      </c>
      <c r="E31">
        <v>12.25</v>
      </c>
      <c r="F31">
        <v>0.75</v>
      </c>
      <c r="G31">
        <v>2.75</v>
      </c>
      <c r="H31">
        <v>8.75</v>
      </c>
    </row>
    <row r="32" spans="1:8" x14ac:dyDescent="0.25">
      <c r="A32" t="s">
        <v>192</v>
      </c>
      <c r="B32" t="s">
        <v>232</v>
      </c>
      <c r="C32" t="s">
        <v>294</v>
      </c>
      <c r="D32" t="s">
        <v>50</v>
      </c>
      <c r="E32">
        <v>27</v>
      </c>
      <c r="F32">
        <v>2.75</v>
      </c>
      <c r="G32">
        <v>3</v>
      </c>
      <c r="H32">
        <v>21.25</v>
      </c>
    </row>
    <row r="33" spans="1:8" x14ac:dyDescent="0.25">
      <c r="A33" t="s">
        <v>192</v>
      </c>
      <c r="B33" t="s">
        <v>232</v>
      </c>
      <c r="C33" t="s">
        <v>295</v>
      </c>
      <c r="D33" t="s">
        <v>39</v>
      </c>
    </row>
    <row r="34" spans="1:8" x14ac:dyDescent="0.25">
      <c r="A34" t="s">
        <v>192</v>
      </c>
      <c r="B34" t="s">
        <v>232</v>
      </c>
      <c r="C34" t="s">
        <v>296</v>
      </c>
      <c r="D34" t="s">
        <v>117</v>
      </c>
      <c r="G34">
        <v>1</v>
      </c>
      <c r="H34">
        <v>1</v>
      </c>
    </row>
    <row r="35" spans="1:8" x14ac:dyDescent="0.25">
      <c r="A35" t="s">
        <v>192</v>
      </c>
      <c r="B35" t="s">
        <v>232</v>
      </c>
      <c r="C35" t="s">
        <v>297</v>
      </c>
      <c r="D35" t="s">
        <v>43</v>
      </c>
      <c r="E35">
        <v>92</v>
      </c>
      <c r="F35">
        <v>10.75</v>
      </c>
      <c r="G35">
        <v>15</v>
      </c>
      <c r="H35">
        <v>66.25</v>
      </c>
    </row>
    <row r="36" spans="1:8" x14ac:dyDescent="0.25">
      <c r="A36" t="s">
        <v>191</v>
      </c>
      <c r="B36" t="s">
        <v>232</v>
      </c>
      <c r="C36" t="s">
        <v>992</v>
      </c>
      <c r="D36" t="s">
        <v>265</v>
      </c>
      <c r="E36">
        <v>2668.5</v>
      </c>
      <c r="F36">
        <v>263.75</v>
      </c>
      <c r="G36">
        <v>498</v>
      </c>
      <c r="H36">
        <v>1906.75</v>
      </c>
    </row>
    <row r="37" spans="1:8" x14ac:dyDescent="0.25">
      <c r="A37" t="s">
        <v>191</v>
      </c>
      <c r="B37" t="s">
        <v>232</v>
      </c>
      <c r="C37" t="s">
        <v>266</v>
      </c>
      <c r="D37" t="s">
        <v>35</v>
      </c>
      <c r="E37">
        <v>18.25</v>
      </c>
      <c r="F37">
        <v>1.5</v>
      </c>
      <c r="G37">
        <v>4</v>
      </c>
      <c r="H37">
        <v>12.75</v>
      </c>
    </row>
    <row r="38" spans="1:8" x14ac:dyDescent="0.25">
      <c r="A38" t="s">
        <v>191</v>
      </c>
      <c r="B38" t="s">
        <v>232</v>
      </c>
      <c r="C38" t="s">
        <v>267</v>
      </c>
      <c r="D38" t="s">
        <v>36</v>
      </c>
      <c r="E38">
        <v>185</v>
      </c>
      <c r="F38">
        <v>15.25</v>
      </c>
      <c r="G38">
        <v>32.75</v>
      </c>
      <c r="H38">
        <v>137</v>
      </c>
    </row>
    <row r="39" spans="1:8" x14ac:dyDescent="0.25">
      <c r="A39" t="s">
        <v>191</v>
      </c>
      <c r="B39" t="s">
        <v>232</v>
      </c>
      <c r="C39" t="s">
        <v>268</v>
      </c>
      <c r="D39" t="s">
        <v>38</v>
      </c>
      <c r="E39">
        <v>71.25</v>
      </c>
      <c r="F39">
        <v>7.5</v>
      </c>
      <c r="G39">
        <v>7.25</v>
      </c>
      <c r="H39">
        <v>56.5</v>
      </c>
    </row>
    <row r="40" spans="1:8" x14ac:dyDescent="0.25">
      <c r="A40" t="s">
        <v>191</v>
      </c>
      <c r="B40" t="s">
        <v>232</v>
      </c>
      <c r="C40" t="s">
        <v>269</v>
      </c>
      <c r="D40" t="s">
        <v>40</v>
      </c>
      <c r="E40">
        <v>52.75</v>
      </c>
      <c r="F40">
        <v>5</v>
      </c>
      <c r="G40">
        <v>11.5</v>
      </c>
      <c r="H40">
        <v>36.25</v>
      </c>
    </row>
    <row r="41" spans="1:8" x14ac:dyDescent="0.25">
      <c r="A41" t="s">
        <v>191</v>
      </c>
      <c r="B41" t="s">
        <v>232</v>
      </c>
      <c r="C41" t="s">
        <v>270</v>
      </c>
      <c r="D41" t="s">
        <v>41</v>
      </c>
      <c r="E41">
        <v>0</v>
      </c>
      <c r="F41">
        <v>0</v>
      </c>
      <c r="G41">
        <v>0</v>
      </c>
      <c r="H41">
        <v>0</v>
      </c>
    </row>
    <row r="42" spans="1:8" x14ac:dyDescent="0.25">
      <c r="A42" t="s">
        <v>191</v>
      </c>
      <c r="B42" t="s">
        <v>232</v>
      </c>
      <c r="C42" t="s">
        <v>271</v>
      </c>
      <c r="D42" t="s">
        <v>48</v>
      </c>
      <c r="E42">
        <v>140.25</v>
      </c>
      <c r="F42">
        <v>15.5</v>
      </c>
      <c r="G42">
        <v>26.5</v>
      </c>
      <c r="H42">
        <v>98.25</v>
      </c>
    </row>
    <row r="43" spans="1:8" x14ac:dyDescent="0.25">
      <c r="A43" t="s">
        <v>191</v>
      </c>
      <c r="B43" t="s">
        <v>232</v>
      </c>
      <c r="C43" t="s">
        <v>272</v>
      </c>
      <c r="D43" t="s">
        <v>42</v>
      </c>
      <c r="E43">
        <v>51.75</v>
      </c>
      <c r="F43">
        <v>4.5</v>
      </c>
      <c r="G43">
        <v>6.75</v>
      </c>
      <c r="H43">
        <v>40.5</v>
      </c>
    </row>
    <row r="44" spans="1:8" x14ac:dyDescent="0.25">
      <c r="A44" t="s">
        <v>191</v>
      </c>
      <c r="B44" t="s">
        <v>232</v>
      </c>
      <c r="C44" t="s">
        <v>273</v>
      </c>
      <c r="D44" t="s">
        <v>44</v>
      </c>
      <c r="E44">
        <v>512.75</v>
      </c>
      <c r="F44">
        <v>52.25</v>
      </c>
      <c r="G44">
        <v>100.25</v>
      </c>
      <c r="H44">
        <v>360.25</v>
      </c>
    </row>
    <row r="45" spans="1:8" x14ac:dyDescent="0.25">
      <c r="A45" t="s">
        <v>191</v>
      </c>
      <c r="B45" t="s">
        <v>232</v>
      </c>
      <c r="C45" t="s">
        <v>274</v>
      </c>
      <c r="D45" t="s">
        <v>45</v>
      </c>
      <c r="E45">
        <v>33.5</v>
      </c>
      <c r="F45">
        <v>3</v>
      </c>
      <c r="G45">
        <v>3.75</v>
      </c>
      <c r="H45">
        <v>26.75</v>
      </c>
    </row>
    <row r="46" spans="1:8" x14ac:dyDescent="0.25">
      <c r="A46" t="s">
        <v>191</v>
      </c>
      <c r="B46" t="s">
        <v>232</v>
      </c>
      <c r="C46" t="s">
        <v>275</v>
      </c>
      <c r="D46" t="s">
        <v>46</v>
      </c>
      <c r="E46">
        <v>11.75</v>
      </c>
      <c r="F46">
        <v>1</v>
      </c>
      <c r="G46">
        <v>1.75</v>
      </c>
      <c r="H46">
        <v>9</v>
      </c>
    </row>
    <row r="47" spans="1:8" x14ac:dyDescent="0.25">
      <c r="A47" t="s">
        <v>191</v>
      </c>
      <c r="B47" t="s">
        <v>232</v>
      </c>
      <c r="C47" t="s">
        <v>276</v>
      </c>
      <c r="D47" t="s">
        <v>47</v>
      </c>
      <c r="E47">
        <v>111.75</v>
      </c>
      <c r="F47">
        <v>10</v>
      </c>
      <c r="G47">
        <v>23</v>
      </c>
      <c r="H47">
        <v>78.75</v>
      </c>
    </row>
    <row r="48" spans="1:8" x14ac:dyDescent="0.25">
      <c r="A48" t="s">
        <v>191</v>
      </c>
      <c r="B48" t="s">
        <v>232</v>
      </c>
      <c r="C48" t="s">
        <v>277</v>
      </c>
      <c r="D48" t="s">
        <v>49</v>
      </c>
      <c r="E48">
        <v>82.5</v>
      </c>
      <c r="F48">
        <v>8.5</v>
      </c>
      <c r="G48">
        <v>15.5</v>
      </c>
      <c r="H48">
        <v>58.5</v>
      </c>
    </row>
    <row r="49" spans="1:8" x14ac:dyDescent="0.25">
      <c r="A49" t="s">
        <v>191</v>
      </c>
      <c r="B49" t="s">
        <v>232</v>
      </c>
      <c r="C49" t="s">
        <v>278</v>
      </c>
      <c r="D49" t="s">
        <v>51</v>
      </c>
      <c r="E49">
        <v>107.25</v>
      </c>
      <c r="F49">
        <v>12</v>
      </c>
      <c r="G49">
        <v>25</v>
      </c>
      <c r="H49">
        <v>70.25</v>
      </c>
    </row>
    <row r="50" spans="1:8" x14ac:dyDescent="0.25">
      <c r="A50" t="s">
        <v>191</v>
      </c>
      <c r="B50" t="s">
        <v>232</v>
      </c>
      <c r="C50" t="s">
        <v>279</v>
      </c>
      <c r="D50" t="s">
        <v>52</v>
      </c>
      <c r="E50">
        <v>116.75</v>
      </c>
      <c r="F50">
        <v>12.75</v>
      </c>
      <c r="G50">
        <v>24.25</v>
      </c>
      <c r="H50">
        <v>79.75</v>
      </c>
    </row>
    <row r="51" spans="1:8" x14ac:dyDescent="0.25">
      <c r="A51" t="s">
        <v>191</v>
      </c>
      <c r="B51" t="s">
        <v>232</v>
      </c>
      <c r="C51" t="s">
        <v>280</v>
      </c>
      <c r="D51" t="s">
        <v>54</v>
      </c>
      <c r="E51">
        <v>132.25</v>
      </c>
      <c r="F51">
        <v>13.25</v>
      </c>
      <c r="G51">
        <v>22.75</v>
      </c>
      <c r="H51">
        <v>96.25</v>
      </c>
    </row>
    <row r="52" spans="1:8" x14ac:dyDescent="0.25">
      <c r="A52" t="s">
        <v>191</v>
      </c>
      <c r="B52" t="s">
        <v>232</v>
      </c>
      <c r="C52" t="s">
        <v>281</v>
      </c>
      <c r="D52" t="s">
        <v>55</v>
      </c>
      <c r="E52">
        <v>119</v>
      </c>
      <c r="F52">
        <v>11.25</v>
      </c>
      <c r="G52">
        <v>28</v>
      </c>
      <c r="H52">
        <v>79.75</v>
      </c>
    </row>
    <row r="53" spans="1:8" x14ac:dyDescent="0.25">
      <c r="A53" t="s">
        <v>191</v>
      </c>
      <c r="B53" t="s">
        <v>232</v>
      </c>
      <c r="C53" t="s">
        <v>282</v>
      </c>
      <c r="D53" t="s">
        <v>56</v>
      </c>
      <c r="E53">
        <v>49</v>
      </c>
      <c r="F53">
        <v>5</v>
      </c>
      <c r="G53">
        <v>8.25</v>
      </c>
      <c r="H53">
        <v>35.75</v>
      </c>
    </row>
    <row r="54" spans="1:8" x14ac:dyDescent="0.25">
      <c r="A54" t="s">
        <v>191</v>
      </c>
      <c r="B54" t="s">
        <v>232</v>
      </c>
      <c r="C54" t="s">
        <v>283</v>
      </c>
      <c r="D54" t="s">
        <v>57</v>
      </c>
      <c r="E54">
        <v>76.75</v>
      </c>
      <c r="F54">
        <v>8.75</v>
      </c>
      <c r="G54">
        <v>8</v>
      </c>
      <c r="H54">
        <v>60</v>
      </c>
    </row>
    <row r="55" spans="1:8" x14ac:dyDescent="0.25">
      <c r="A55" t="s">
        <v>191</v>
      </c>
      <c r="B55" t="s">
        <v>232</v>
      </c>
      <c r="C55" t="s">
        <v>284</v>
      </c>
      <c r="D55" t="s">
        <v>58</v>
      </c>
      <c r="E55">
        <v>58.5</v>
      </c>
      <c r="F55">
        <v>7.25</v>
      </c>
      <c r="G55">
        <v>11</v>
      </c>
      <c r="H55">
        <v>40.25</v>
      </c>
    </row>
    <row r="56" spans="1:8" x14ac:dyDescent="0.25">
      <c r="A56" t="s">
        <v>191</v>
      </c>
      <c r="B56" t="s">
        <v>232</v>
      </c>
      <c r="C56" t="s">
        <v>285</v>
      </c>
      <c r="D56" t="s">
        <v>31</v>
      </c>
      <c r="E56">
        <v>6.5</v>
      </c>
      <c r="F56">
        <v>1</v>
      </c>
      <c r="G56">
        <v>1.75</v>
      </c>
      <c r="H56">
        <v>3.75</v>
      </c>
    </row>
    <row r="57" spans="1:8" x14ac:dyDescent="0.25">
      <c r="A57" t="s">
        <v>191</v>
      </c>
      <c r="B57" t="s">
        <v>232</v>
      </c>
      <c r="C57" t="s">
        <v>286</v>
      </c>
      <c r="D57" t="s">
        <v>32</v>
      </c>
      <c r="E57">
        <v>253.25</v>
      </c>
      <c r="F57">
        <v>25.25</v>
      </c>
      <c r="G57">
        <v>56</v>
      </c>
      <c r="H57">
        <v>172</v>
      </c>
    </row>
    <row r="58" spans="1:8" x14ac:dyDescent="0.25">
      <c r="A58" t="s">
        <v>191</v>
      </c>
      <c r="B58" t="s">
        <v>232</v>
      </c>
      <c r="C58" t="s">
        <v>287</v>
      </c>
      <c r="D58" t="s">
        <v>34</v>
      </c>
      <c r="E58">
        <v>166.5</v>
      </c>
      <c r="F58">
        <v>14.75</v>
      </c>
      <c r="G58">
        <v>22.75</v>
      </c>
      <c r="H58">
        <v>129</v>
      </c>
    </row>
    <row r="59" spans="1:8" x14ac:dyDescent="0.25">
      <c r="A59" t="s">
        <v>191</v>
      </c>
      <c r="B59" t="s">
        <v>232</v>
      </c>
      <c r="C59" t="s">
        <v>288</v>
      </c>
      <c r="D59" t="s">
        <v>243</v>
      </c>
      <c r="E59">
        <v>10.5</v>
      </c>
      <c r="F59">
        <v>0.75</v>
      </c>
      <c r="G59">
        <v>1.75</v>
      </c>
      <c r="H59">
        <v>8</v>
      </c>
    </row>
    <row r="60" spans="1:8" x14ac:dyDescent="0.25">
      <c r="A60" t="s">
        <v>191</v>
      </c>
      <c r="B60" t="s">
        <v>232</v>
      </c>
      <c r="C60" t="s">
        <v>289</v>
      </c>
      <c r="D60" t="s">
        <v>53</v>
      </c>
      <c r="E60">
        <v>11.75</v>
      </c>
      <c r="F60">
        <v>1</v>
      </c>
      <c r="G60">
        <v>2</v>
      </c>
      <c r="H60">
        <v>8.75</v>
      </c>
    </row>
    <row r="61" spans="1:8" x14ac:dyDescent="0.25">
      <c r="A61" t="s">
        <v>191</v>
      </c>
      <c r="B61" t="s">
        <v>232</v>
      </c>
      <c r="C61" t="s">
        <v>290</v>
      </c>
      <c r="D61" t="s">
        <v>59</v>
      </c>
      <c r="E61">
        <v>18.5</v>
      </c>
      <c r="F61">
        <v>1.75</v>
      </c>
      <c r="G61">
        <v>1</v>
      </c>
      <c r="H61">
        <v>15.75</v>
      </c>
    </row>
    <row r="62" spans="1:8" x14ac:dyDescent="0.25">
      <c r="A62" t="s">
        <v>191</v>
      </c>
      <c r="B62" t="s">
        <v>232</v>
      </c>
      <c r="C62" t="s">
        <v>291</v>
      </c>
      <c r="D62" t="s">
        <v>60</v>
      </c>
      <c r="E62">
        <v>53</v>
      </c>
      <c r="F62">
        <v>5</v>
      </c>
      <c r="G62">
        <v>10</v>
      </c>
      <c r="H62">
        <v>38</v>
      </c>
    </row>
    <row r="63" spans="1:8" x14ac:dyDescent="0.25">
      <c r="A63" t="s">
        <v>191</v>
      </c>
      <c r="B63" t="s">
        <v>232</v>
      </c>
      <c r="C63" t="s">
        <v>292</v>
      </c>
      <c r="D63" t="s">
        <v>33</v>
      </c>
      <c r="E63">
        <v>83.5</v>
      </c>
      <c r="F63">
        <v>7</v>
      </c>
      <c r="G63">
        <v>18</v>
      </c>
      <c r="H63">
        <v>58.5</v>
      </c>
    </row>
    <row r="64" spans="1:8" x14ac:dyDescent="0.25">
      <c r="A64" t="s">
        <v>191</v>
      </c>
      <c r="B64" t="s">
        <v>232</v>
      </c>
      <c r="C64" t="s">
        <v>293</v>
      </c>
      <c r="D64" t="s">
        <v>37</v>
      </c>
      <c r="E64">
        <v>11.75</v>
      </c>
      <c r="F64">
        <v>0.75</v>
      </c>
      <c r="G64">
        <v>2.75</v>
      </c>
      <c r="H64">
        <v>8.25</v>
      </c>
    </row>
    <row r="65" spans="1:8" x14ac:dyDescent="0.25">
      <c r="A65" t="s">
        <v>191</v>
      </c>
      <c r="B65" t="s">
        <v>232</v>
      </c>
      <c r="C65" t="s">
        <v>294</v>
      </c>
      <c r="D65" t="s">
        <v>50</v>
      </c>
      <c r="E65">
        <v>28.25</v>
      </c>
      <c r="F65">
        <v>2.5</v>
      </c>
      <c r="G65">
        <v>3</v>
      </c>
      <c r="H65">
        <v>22.75</v>
      </c>
    </row>
    <row r="66" spans="1:8" x14ac:dyDescent="0.25">
      <c r="A66" t="s">
        <v>191</v>
      </c>
      <c r="B66" t="s">
        <v>232</v>
      </c>
      <c r="C66" t="s">
        <v>295</v>
      </c>
      <c r="D66" t="s">
        <v>39</v>
      </c>
      <c r="E66">
        <v>0</v>
      </c>
      <c r="F66">
        <v>0</v>
      </c>
      <c r="G66">
        <v>0</v>
      </c>
      <c r="H66">
        <v>0</v>
      </c>
    </row>
    <row r="67" spans="1:8" x14ac:dyDescent="0.25">
      <c r="A67" t="s">
        <v>191</v>
      </c>
      <c r="B67" t="s">
        <v>232</v>
      </c>
      <c r="C67" t="s">
        <v>296</v>
      </c>
      <c r="D67" t="s">
        <v>117</v>
      </c>
      <c r="E67">
        <v>0</v>
      </c>
      <c r="F67">
        <v>0</v>
      </c>
      <c r="G67">
        <v>0</v>
      </c>
      <c r="H67">
        <v>0</v>
      </c>
    </row>
    <row r="68" spans="1:8" x14ac:dyDescent="0.25">
      <c r="A68" t="s">
        <v>191</v>
      </c>
      <c r="B68" t="s">
        <v>232</v>
      </c>
      <c r="C68" t="s">
        <v>297</v>
      </c>
      <c r="D68" t="s">
        <v>43</v>
      </c>
      <c r="E68">
        <v>94</v>
      </c>
      <c r="F68">
        <v>9.75</v>
      </c>
      <c r="G68">
        <v>18.75</v>
      </c>
      <c r="H68">
        <v>65.5</v>
      </c>
    </row>
    <row r="69" spans="1:8" x14ac:dyDescent="0.25">
      <c r="A69" t="s">
        <v>190</v>
      </c>
      <c r="B69" t="s">
        <v>232</v>
      </c>
      <c r="C69" t="s">
        <v>992</v>
      </c>
      <c r="D69" t="s">
        <v>265</v>
      </c>
      <c r="E69">
        <v>2527</v>
      </c>
      <c r="F69">
        <v>248</v>
      </c>
      <c r="G69">
        <v>486</v>
      </c>
      <c r="H69">
        <v>1793</v>
      </c>
    </row>
    <row r="70" spans="1:8" x14ac:dyDescent="0.25">
      <c r="A70" t="s">
        <v>190</v>
      </c>
      <c r="B70" t="s">
        <v>232</v>
      </c>
      <c r="C70" t="s">
        <v>266</v>
      </c>
      <c r="D70" t="s">
        <v>35</v>
      </c>
      <c r="E70">
        <v>16.25</v>
      </c>
      <c r="F70">
        <v>2</v>
      </c>
      <c r="G70">
        <v>3</v>
      </c>
      <c r="H70">
        <v>11.25</v>
      </c>
    </row>
    <row r="71" spans="1:8" x14ac:dyDescent="0.25">
      <c r="A71" t="s">
        <v>190</v>
      </c>
      <c r="B71" t="s">
        <v>232</v>
      </c>
      <c r="C71" t="s">
        <v>267</v>
      </c>
      <c r="D71" t="s">
        <v>36</v>
      </c>
      <c r="E71">
        <v>169</v>
      </c>
      <c r="F71">
        <v>14.5</v>
      </c>
      <c r="G71">
        <v>30.75</v>
      </c>
      <c r="H71">
        <v>123.75</v>
      </c>
    </row>
    <row r="72" spans="1:8" x14ac:dyDescent="0.25">
      <c r="A72" t="s">
        <v>190</v>
      </c>
      <c r="B72" t="s">
        <v>232</v>
      </c>
      <c r="C72" t="s">
        <v>268</v>
      </c>
      <c r="D72" t="s">
        <v>38</v>
      </c>
      <c r="E72">
        <v>71</v>
      </c>
      <c r="F72">
        <v>6.25</v>
      </c>
      <c r="G72">
        <v>8.75</v>
      </c>
      <c r="H72">
        <v>56</v>
      </c>
    </row>
    <row r="73" spans="1:8" x14ac:dyDescent="0.25">
      <c r="A73" t="s">
        <v>190</v>
      </c>
      <c r="B73" t="s">
        <v>232</v>
      </c>
      <c r="C73" t="s">
        <v>269</v>
      </c>
      <c r="D73" t="s">
        <v>40</v>
      </c>
      <c r="E73">
        <v>45.25</v>
      </c>
      <c r="F73">
        <v>4</v>
      </c>
      <c r="G73">
        <v>9.75</v>
      </c>
      <c r="H73">
        <v>31.5</v>
      </c>
    </row>
    <row r="74" spans="1:8" x14ac:dyDescent="0.25">
      <c r="A74" t="s">
        <v>190</v>
      </c>
      <c r="B74" t="s">
        <v>232</v>
      </c>
      <c r="C74" t="s">
        <v>270</v>
      </c>
      <c r="D74" t="s">
        <v>41</v>
      </c>
      <c r="E74">
        <v>1</v>
      </c>
      <c r="F74">
        <v>0</v>
      </c>
      <c r="G74">
        <v>0</v>
      </c>
      <c r="H74">
        <v>1</v>
      </c>
    </row>
    <row r="75" spans="1:8" x14ac:dyDescent="0.25">
      <c r="A75" t="s">
        <v>190</v>
      </c>
      <c r="B75" t="s">
        <v>232</v>
      </c>
      <c r="C75" t="s">
        <v>271</v>
      </c>
      <c r="D75" t="s">
        <v>48</v>
      </c>
      <c r="E75">
        <v>134.25</v>
      </c>
      <c r="F75">
        <v>11.75</v>
      </c>
      <c r="G75">
        <v>33</v>
      </c>
      <c r="H75">
        <v>89.5</v>
      </c>
    </row>
    <row r="76" spans="1:8" x14ac:dyDescent="0.25">
      <c r="A76" t="s">
        <v>190</v>
      </c>
      <c r="B76" t="s">
        <v>232</v>
      </c>
      <c r="C76" t="s">
        <v>272</v>
      </c>
      <c r="D76" t="s">
        <v>42</v>
      </c>
      <c r="E76">
        <v>39.75</v>
      </c>
      <c r="F76">
        <v>3.75</v>
      </c>
      <c r="G76">
        <v>7</v>
      </c>
      <c r="H76">
        <v>29</v>
      </c>
    </row>
    <row r="77" spans="1:8" x14ac:dyDescent="0.25">
      <c r="A77" t="s">
        <v>190</v>
      </c>
      <c r="B77" t="s">
        <v>232</v>
      </c>
      <c r="C77" t="s">
        <v>273</v>
      </c>
      <c r="D77" t="s">
        <v>44</v>
      </c>
      <c r="E77">
        <v>489.75</v>
      </c>
      <c r="F77">
        <v>51</v>
      </c>
      <c r="G77">
        <v>102.5</v>
      </c>
      <c r="H77">
        <v>336.25</v>
      </c>
    </row>
    <row r="78" spans="1:8" x14ac:dyDescent="0.25">
      <c r="A78" t="s">
        <v>190</v>
      </c>
      <c r="B78" t="s">
        <v>232</v>
      </c>
      <c r="C78" t="s">
        <v>274</v>
      </c>
      <c r="D78" t="s">
        <v>45</v>
      </c>
      <c r="E78">
        <v>33.75</v>
      </c>
      <c r="F78">
        <v>3.5</v>
      </c>
      <c r="G78">
        <v>5.5</v>
      </c>
      <c r="H78">
        <v>24.75</v>
      </c>
    </row>
    <row r="79" spans="1:8" x14ac:dyDescent="0.25">
      <c r="A79" t="s">
        <v>190</v>
      </c>
      <c r="B79" t="s">
        <v>232</v>
      </c>
      <c r="C79" t="s">
        <v>275</v>
      </c>
      <c r="D79" t="s">
        <v>46</v>
      </c>
      <c r="E79">
        <v>9.25</v>
      </c>
      <c r="F79">
        <v>1</v>
      </c>
      <c r="G79">
        <v>1.75</v>
      </c>
      <c r="H79">
        <v>6.5</v>
      </c>
    </row>
    <row r="80" spans="1:8" x14ac:dyDescent="0.25">
      <c r="A80" t="s">
        <v>190</v>
      </c>
      <c r="B80" t="s">
        <v>232</v>
      </c>
      <c r="C80" t="s">
        <v>276</v>
      </c>
      <c r="D80" t="s">
        <v>47</v>
      </c>
      <c r="E80">
        <v>97.25</v>
      </c>
      <c r="F80">
        <v>11</v>
      </c>
      <c r="G80">
        <v>21</v>
      </c>
      <c r="H80">
        <v>65.25</v>
      </c>
    </row>
    <row r="81" spans="1:8" x14ac:dyDescent="0.25">
      <c r="A81" t="s">
        <v>190</v>
      </c>
      <c r="B81" t="s">
        <v>232</v>
      </c>
      <c r="C81" t="s">
        <v>277</v>
      </c>
      <c r="D81" t="s">
        <v>49</v>
      </c>
      <c r="E81">
        <v>91.5</v>
      </c>
      <c r="F81">
        <v>9</v>
      </c>
      <c r="G81">
        <v>10</v>
      </c>
      <c r="H81">
        <v>72.5</v>
      </c>
    </row>
    <row r="82" spans="1:8" x14ac:dyDescent="0.25">
      <c r="A82" t="s">
        <v>190</v>
      </c>
      <c r="B82" t="s">
        <v>232</v>
      </c>
      <c r="C82" t="s">
        <v>278</v>
      </c>
      <c r="D82" t="s">
        <v>51</v>
      </c>
      <c r="E82">
        <v>96.5</v>
      </c>
      <c r="F82">
        <v>12</v>
      </c>
      <c r="G82">
        <v>18.75</v>
      </c>
      <c r="H82">
        <v>65.75</v>
      </c>
    </row>
    <row r="83" spans="1:8" x14ac:dyDescent="0.25">
      <c r="A83" t="s">
        <v>190</v>
      </c>
      <c r="B83" t="s">
        <v>232</v>
      </c>
      <c r="C83" t="s">
        <v>279</v>
      </c>
      <c r="D83" t="s">
        <v>52</v>
      </c>
      <c r="E83">
        <v>110.5</v>
      </c>
      <c r="F83">
        <v>8.75</v>
      </c>
      <c r="G83">
        <v>22.5</v>
      </c>
      <c r="H83">
        <v>79.25</v>
      </c>
    </row>
    <row r="84" spans="1:8" x14ac:dyDescent="0.25">
      <c r="A84" t="s">
        <v>190</v>
      </c>
      <c r="B84" t="s">
        <v>232</v>
      </c>
      <c r="C84" t="s">
        <v>280</v>
      </c>
      <c r="D84" t="s">
        <v>54</v>
      </c>
      <c r="E84">
        <v>123.25</v>
      </c>
      <c r="F84">
        <v>11.5</v>
      </c>
      <c r="G84">
        <v>22.5</v>
      </c>
      <c r="H84">
        <v>89.25</v>
      </c>
    </row>
    <row r="85" spans="1:8" x14ac:dyDescent="0.25">
      <c r="A85" t="s">
        <v>190</v>
      </c>
      <c r="B85" t="s">
        <v>232</v>
      </c>
      <c r="C85" t="s">
        <v>281</v>
      </c>
      <c r="D85" t="s">
        <v>55</v>
      </c>
      <c r="E85">
        <v>116.75</v>
      </c>
      <c r="F85">
        <v>13.25</v>
      </c>
      <c r="G85">
        <v>23.25</v>
      </c>
      <c r="H85">
        <v>80.25</v>
      </c>
    </row>
    <row r="86" spans="1:8" x14ac:dyDescent="0.25">
      <c r="A86" t="s">
        <v>190</v>
      </c>
      <c r="B86" t="s">
        <v>232</v>
      </c>
      <c r="C86" t="s">
        <v>282</v>
      </c>
      <c r="D86" t="s">
        <v>56</v>
      </c>
      <c r="E86">
        <v>46</v>
      </c>
      <c r="F86">
        <v>4.75</v>
      </c>
      <c r="G86">
        <v>5.75</v>
      </c>
      <c r="H86">
        <v>35.5</v>
      </c>
    </row>
    <row r="87" spans="1:8" x14ac:dyDescent="0.25">
      <c r="A87" t="s">
        <v>190</v>
      </c>
      <c r="B87" t="s">
        <v>232</v>
      </c>
      <c r="C87" t="s">
        <v>283</v>
      </c>
      <c r="D87" t="s">
        <v>57</v>
      </c>
      <c r="E87">
        <v>64</v>
      </c>
      <c r="F87">
        <v>7.75</v>
      </c>
      <c r="G87">
        <v>8.75</v>
      </c>
      <c r="H87">
        <v>47.5</v>
      </c>
    </row>
    <row r="88" spans="1:8" x14ac:dyDescent="0.25">
      <c r="A88" t="s">
        <v>190</v>
      </c>
      <c r="B88" t="s">
        <v>232</v>
      </c>
      <c r="C88" t="s">
        <v>284</v>
      </c>
      <c r="D88" t="s">
        <v>58</v>
      </c>
      <c r="E88">
        <v>62.25</v>
      </c>
      <c r="F88">
        <v>8.25</v>
      </c>
      <c r="G88">
        <v>15</v>
      </c>
      <c r="H88">
        <v>39</v>
      </c>
    </row>
    <row r="89" spans="1:8" x14ac:dyDescent="0.25">
      <c r="A89" t="s">
        <v>190</v>
      </c>
      <c r="B89" t="s">
        <v>232</v>
      </c>
      <c r="C89" t="s">
        <v>285</v>
      </c>
      <c r="D89" t="s">
        <v>31</v>
      </c>
      <c r="E89">
        <v>15.25</v>
      </c>
      <c r="F89">
        <v>1.75</v>
      </c>
      <c r="G89">
        <v>5.5</v>
      </c>
      <c r="H89">
        <v>8</v>
      </c>
    </row>
    <row r="90" spans="1:8" x14ac:dyDescent="0.25">
      <c r="A90" t="s">
        <v>190</v>
      </c>
      <c r="B90" t="s">
        <v>232</v>
      </c>
      <c r="C90" t="s">
        <v>286</v>
      </c>
      <c r="D90" t="s">
        <v>32</v>
      </c>
      <c r="E90">
        <v>226.25</v>
      </c>
      <c r="F90">
        <v>24</v>
      </c>
      <c r="G90">
        <v>56.25</v>
      </c>
      <c r="H90">
        <v>146</v>
      </c>
    </row>
    <row r="91" spans="1:8" x14ac:dyDescent="0.25">
      <c r="A91" t="s">
        <v>190</v>
      </c>
      <c r="B91" t="s">
        <v>232</v>
      </c>
      <c r="C91" t="s">
        <v>287</v>
      </c>
      <c r="D91" t="s">
        <v>34</v>
      </c>
      <c r="E91">
        <v>171.39285714285714</v>
      </c>
      <c r="F91">
        <v>11.75</v>
      </c>
      <c r="G91">
        <v>24.75</v>
      </c>
      <c r="H91">
        <v>134.89285714285714</v>
      </c>
    </row>
    <row r="92" spans="1:8" x14ac:dyDescent="0.25">
      <c r="A92" t="s">
        <v>190</v>
      </c>
      <c r="B92" t="s">
        <v>232</v>
      </c>
      <c r="C92" t="s">
        <v>288</v>
      </c>
      <c r="D92" t="s">
        <v>243</v>
      </c>
      <c r="E92">
        <v>10</v>
      </c>
      <c r="F92">
        <v>1</v>
      </c>
      <c r="G92">
        <v>1.75</v>
      </c>
      <c r="H92">
        <v>7.25</v>
      </c>
    </row>
    <row r="93" spans="1:8" x14ac:dyDescent="0.25">
      <c r="A93" t="s">
        <v>190</v>
      </c>
      <c r="B93" t="s">
        <v>232</v>
      </c>
      <c r="C93" t="s">
        <v>289</v>
      </c>
      <c r="D93" t="s">
        <v>53</v>
      </c>
      <c r="E93">
        <v>10.5</v>
      </c>
      <c r="F93">
        <v>1</v>
      </c>
      <c r="G93">
        <v>1</v>
      </c>
      <c r="H93">
        <v>8.5</v>
      </c>
    </row>
    <row r="94" spans="1:8" x14ac:dyDescent="0.25">
      <c r="A94" t="s">
        <v>190</v>
      </c>
      <c r="B94" t="s">
        <v>232</v>
      </c>
      <c r="C94" t="s">
        <v>290</v>
      </c>
      <c r="D94" t="s">
        <v>59</v>
      </c>
      <c r="E94">
        <v>16.75</v>
      </c>
      <c r="F94">
        <v>1.75</v>
      </c>
      <c r="G94">
        <v>1.75</v>
      </c>
      <c r="H94">
        <v>13.25</v>
      </c>
    </row>
    <row r="95" spans="1:8" x14ac:dyDescent="0.25">
      <c r="A95" t="s">
        <v>190</v>
      </c>
      <c r="B95" t="s">
        <v>232</v>
      </c>
      <c r="C95" t="s">
        <v>291</v>
      </c>
      <c r="D95" t="s">
        <v>60</v>
      </c>
      <c r="E95">
        <v>44.25</v>
      </c>
      <c r="F95">
        <v>4.25</v>
      </c>
      <c r="G95">
        <v>8.25</v>
      </c>
      <c r="H95">
        <v>31.75</v>
      </c>
    </row>
    <row r="96" spans="1:8" x14ac:dyDescent="0.25">
      <c r="A96" t="s">
        <v>190</v>
      </c>
      <c r="B96" t="s">
        <v>232</v>
      </c>
      <c r="C96" t="s">
        <v>292</v>
      </c>
      <c r="D96" t="s">
        <v>33</v>
      </c>
      <c r="E96">
        <v>82</v>
      </c>
      <c r="F96">
        <v>6</v>
      </c>
      <c r="G96">
        <v>13.5</v>
      </c>
      <c r="H96">
        <v>62.5</v>
      </c>
    </row>
    <row r="97" spans="1:8" x14ac:dyDescent="0.25">
      <c r="A97" t="s">
        <v>190</v>
      </c>
      <c r="B97" t="s">
        <v>232</v>
      </c>
      <c r="C97" t="s">
        <v>293</v>
      </c>
      <c r="D97" t="s">
        <v>37</v>
      </c>
      <c r="E97">
        <v>9.5</v>
      </c>
      <c r="F97">
        <v>0.75</v>
      </c>
      <c r="G97">
        <v>2.5</v>
      </c>
      <c r="H97">
        <v>6.25</v>
      </c>
    </row>
    <row r="98" spans="1:8" x14ac:dyDescent="0.25">
      <c r="A98" t="s">
        <v>190</v>
      </c>
      <c r="B98" t="s">
        <v>232</v>
      </c>
      <c r="C98" t="s">
        <v>294</v>
      </c>
      <c r="D98" t="s">
        <v>50</v>
      </c>
      <c r="E98">
        <v>27</v>
      </c>
      <c r="F98">
        <v>2.5</v>
      </c>
      <c r="G98">
        <v>2.5</v>
      </c>
      <c r="H98">
        <v>22</v>
      </c>
    </row>
    <row r="99" spans="1:8" x14ac:dyDescent="0.25">
      <c r="A99" t="s">
        <v>190</v>
      </c>
      <c r="B99" t="s">
        <v>232</v>
      </c>
      <c r="C99" t="s">
        <v>295</v>
      </c>
      <c r="D99" t="s">
        <v>39</v>
      </c>
      <c r="E99">
        <v>0</v>
      </c>
      <c r="F99">
        <v>0</v>
      </c>
      <c r="G99">
        <v>0</v>
      </c>
      <c r="H99">
        <v>0</v>
      </c>
    </row>
    <row r="100" spans="1:8" x14ac:dyDescent="0.25">
      <c r="A100" t="s">
        <v>190</v>
      </c>
      <c r="B100" t="s">
        <v>232</v>
      </c>
      <c r="C100" t="s">
        <v>296</v>
      </c>
      <c r="D100" t="s">
        <v>117</v>
      </c>
      <c r="E100">
        <v>3.25</v>
      </c>
      <c r="F100">
        <v>0</v>
      </c>
      <c r="G100">
        <v>0</v>
      </c>
      <c r="H100">
        <v>3.25</v>
      </c>
    </row>
    <row r="101" spans="1:8" x14ac:dyDescent="0.25">
      <c r="A101" t="s">
        <v>190</v>
      </c>
      <c r="B101" t="s">
        <v>232</v>
      </c>
      <c r="C101" t="s">
        <v>297</v>
      </c>
      <c r="D101" t="s">
        <v>43</v>
      </c>
      <c r="E101">
        <v>93.37</v>
      </c>
      <c r="F101">
        <v>9</v>
      </c>
      <c r="G101">
        <v>18.93</v>
      </c>
      <c r="H101">
        <v>65.44</v>
      </c>
    </row>
    <row r="102" spans="1:8" x14ac:dyDescent="0.25">
      <c r="A102" t="s">
        <v>257</v>
      </c>
      <c r="B102" t="s">
        <v>232</v>
      </c>
      <c r="C102" t="s">
        <v>992</v>
      </c>
      <c r="D102" t="s">
        <v>265</v>
      </c>
      <c r="E102">
        <v>2545</v>
      </c>
      <c r="F102">
        <v>246</v>
      </c>
      <c r="G102">
        <v>499</v>
      </c>
      <c r="H102">
        <v>1800</v>
      </c>
    </row>
    <row r="103" spans="1:8" x14ac:dyDescent="0.25">
      <c r="A103" t="s">
        <v>257</v>
      </c>
      <c r="B103" t="s">
        <v>232</v>
      </c>
      <c r="C103" t="s">
        <v>266</v>
      </c>
      <c r="D103" t="s">
        <v>35</v>
      </c>
      <c r="E103">
        <v>17</v>
      </c>
      <c r="F103">
        <v>2</v>
      </c>
      <c r="G103">
        <v>2</v>
      </c>
      <c r="H103">
        <v>13</v>
      </c>
    </row>
    <row r="104" spans="1:8" x14ac:dyDescent="0.25">
      <c r="A104" t="s">
        <v>257</v>
      </c>
      <c r="B104" t="s">
        <v>232</v>
      </c>
      <c r="C104" t="s">
        <v>267</v>
      </c>
      <c r="D104" t="s">
        <v>36</v>
      </c>
      <c r="E104">
        <v>177</v>
      </c>
      <c r="F104">
        <v>14</v>
      </c>
      <c r="G104">
        <v>34</v>
      </c>
      <c r="H104">
        <v>129</v>
      </c>
    </row>
    <row r="105" spans="1:8" x14ac:dyDescent="0.25">
      <c r="A105" t="s">
        <v>257</v>
      </c>
      <c r="B105" t="s">
        <v>232</v>
      </c>
      <c r="C105" t="s">
        <v>268</v>
      </c>
      <c r="D105" t="s">
        <v>38</v>
      </c>
      <c r="E105">
        <v>69</v>
      </c>
      <c r="F105">
        <v>6</v>
      </c>
      <c r="G105">
        <v>9</v>
      </c>
      <c r="H105">
        <v>54</v>
      </c>
    </row>
    <row r="106" spans="1:8" x14ac:dyDescent="0.25">
      <c r="A106" t="s">
        <v>257</v>
      </c>
      <c r="B106" t="s">
        <v>232</v>
      </c>
      <c r="C106" t="s">
        <v>269</v>
      </c>
      <c r="D106" t="s">
        <v>40</v>
      </c>
      <c r="E106">
        <v>45</v>
      </c>
      <c r="F106">
        <v>4</v>
      </c>
      <c r="G106">
        <v>11</v>
      </c>
      <c r="H106">
        <v>30</v>
      </c>
    </row>
    <row r="107" spans="1:8" x14ac:dyDescent="0.25">
      <c r="A107" t="s">
        <v>257</v>
      </c>
      <c r="B107" t="s">
        <v>232</v>
      </c>
      <c r="C107" t="s">
        <v>270</v>
      </c>
      <c r="D107" t="s">
        <v>41</v>
      </c>
      <c r="E107">
        <v>0</v>
      </c>
      <c r="F107">
        <v>0</v>
      </c>
      <c r="G107">
        <v>0</v>
      </c>
      <c r="H107">
        <v>0</v>
      </c>
    </row>
    <row r="108" spans="1:8" x14ac:dyDescent="0.25">
      <c r="A108" t="s">
        <v>257</v>
      </c>
      <c r="B108" t="s">
        <v>232</v>
      </c>
      <c r="C108" t="s">
        <v>271</v>
      </c>
      <c r="D108" t="s">
        <v>48</v>
      </c>
      <c r="E108">
        <v>130</v>
      </c>
      <c r="F108">
        <v>12</v>
      </c>
      <c r="G108">
        <v>32</v>
      </c>
      <c r="H108">
        <v>86</v>
      </c>
    </row>
    <row r="109" spans="1:8" x14ac:dyDescent="0.25">
      <c r="A109" t="s">
        <v>257</v>
      </c>
      <c r="B109" t="s">
        <v>232</v>
      </c>
      <c r="C109" t="s">
        <v>272</v>
      </c>
      <c r="D109" t="s">
        <v>42</v>
      </c>
      <c r="E109">
        <v>39</v>
      </c>
      <c r="F109">
        <v>3</v>
      </c>
      <c r="G109">
        <v>7</v>
      </c>
      <c r="H109">
        <v>29</v>
      </c>
    </row>
    <row r="110" spans="1:8" x14ac:dyDescent="0.25">
      <c r="A110" t="s">
        <v>257</v>
      </c>
      <c r="B110" t="s">
        <v>232</v>
      </c>
      <c r="C110" t="s">
        <v>273</v>
      </c>
      <c r="D110" t="s">
        <v>44</v>
      </c>
      <c r="E110">
        <v>485</v>
      </c>
      <c r="F110">
        <v>50</v>
      </c>
      <c r="G110">
        <v>97</v>
      </c>
      <c r="H110">
        <v>338</v>
      </c>
    </row>
    <row r="111" spans="1:8" x14ac:dyDescent="0.25">
      <c r="A111" t="s">
        <v>257</v>
      </c>
      <c r="B111" t="s">
        <v>232</v>
      </c>
      <c r="C111" t="s">
        <v>274</v>
      </c>
      <c r="D111" t="s">
        <v>45</v>
      </c>
      <c r="E111">
        <v>31</v>
      </c>
      <c r="F111">
        <v>2</v>
      </c>
      <c r="G111">
        <v>5</v>
      </c>
      <c r="H111">
        <v>24</v>
      </c>
    </row>
    <row r="112" spans="1:8" x14ac:dyDescent="0.25">
      <c r="A112" t="s">
        <v>257</v>
      </c>
      <c r="B112" t="s">
        <v>232</v>
      </c>
      <c r="C112" t="s">
        <v>275</v>
      </c>
      <c r="D112" t="s">
        <v>46</v>
      </c>
      <c r="E112">
        <v>8</v>
      </c>
      <c r="F112">
        <v>1</v>
      </c>
      <c r="G112">
        <v>1</v>
      </c>
      <c r="H112">
        <v>6</v>
      </c>
    </row>
    <row r="113" spans="1:8" x14ac:dyDescent="0.25">
      <c r="A113" t="s">
        <v>257</v>
      </c>
      <c r="B113" t="s">
        <v>232</v>
      </c>
      <c r="C113" t="s">
        <v>276</v>
      </c>
      <c r="D113" t="s">
        <v>47</v>
      </c>
      <c r="E113">
        <v>112</v>
      </c>
      <c r="F113">
        <v>11</v>
      </c>
      <c r="G113">
        <v>22</v>
      </c>
      <c r="H113">
        <v>79</v>
      </c>
    </row>
    <row r="114" spans="1:8" x14ac:dyDescent="0.25">
      <c r="A114" t="s">
        <v>257</v>
      </c>
      <c r="B114" t="s">
        <v>232</v>
      </c>
      <c r="C114" t="s">
        <v>277</v>
      </c>
      <c r="D114" t="s">
        <v>49</v>
      </c>
      <c r="E114">
        <v>89</v>
      </c>
      <c r="F114">
        <v>9</v>
      </c>
      <c r="G114">
        <v>10</v>
      </c>
      <c r="H114">
        <v>70</v>
      </c>
    </row>
    <row r="115" spans="1:8" x14ac:dyDescent="0.25">
      <c r="A115" t="s">
        <v>257</v>
      </c>
      <c r="B115" t="s">
        <v>232</v>
      </c>
      <c r="C115" t="s">
        <v>278</v>
      </c>
      <c r="D115" t="s">
        <v>51</v>
      </c>
      <c r="E115">
        <v>92</v>
      </c>
      <c r="F115">
        <v>11</v>
      </c>
      <c r="G115">
        <v>20</v>
      </c>
      <c r="H115">
        <v>61</v>
      </c>
    </row>
    <row r="116" spans="1:8" x14ac:dyDescent="0.25">
      <c r="A116" t="s">
        <v>257</v>
      </c>
      <c r="B116" t="s">
        <v>232</v>
      </c>
      <c r="C116" t="s">
        <v>279</v>
      </c>
      <c r="D116" t="s">
        <v>52</v>
      </c>
      <c r="E116">
        <v>107</v>
      </c>
      <c r="F116">
        <v>8</v>
      </c>
      <c r="G116">
        <v>21</v>
      </c>
      <c r="H116">
        <v>78</v>
      </c>
    </row>
    <row r="117" spans="1:8" x14ac:dyDescent="0.25">
      <c r="A117" t="s">
        <v>257</v>
      </c>
      <c r="B117" t="s">
        <v>232</v>
      </c>
      <c r="C117" t="s">
        <v>280</v>
      </c>
      <c r="D117" t="s">
        <v>54</v>
      </c>
      <c r="E117">
        <v>118</v>
      </c>
      <c r="F117">
        <v>12</v>
      </c>
      <c r="G117">
        <v>23</v>
      </c>
      <c r="H117">
        <v>83</v>
      </c>
    </row>
    <row r="118" spans="1:8" x14ac:dyDescent="0.25">
      <c r="A118" t="s">
        <v>257</v>
      </c>
      <c r="B118" t="s">
        <v>232</v>
      </c>
      <c r="C118" t="s">
        <v>281</v>
      </c>
      <c r="D118" t="s">
        <v>55</v>
      </c>
      <c r="E118">
        <v>112</v>
      </c>
      <c r="F118">
        <v>11</v>
      </c>
      <c r="G118">
        <v>25</v>
      </c>
      <c r="H118">
        <v>76</v>
      </c>
    </row>
    <row r="119" spans="1:8" x14ac:dyDescent="0.25">
      <c r="A119" t="s">
        <v>257</v>
      </c>
      <c r="B119" t="s">
        <v>232</v>
      </c>
      <c r="C119" t="s">
        <v>282</v>
      </c>
      <c r="D119" t="s">
        <v>56</v>
      </c>
      <c r="E119">
        <v>42</v>
      </c>
      <c r="F119">
        <v>5</v>
      </c>
      <c r="G119">
        <v>7</v>
      </c>
      <c r="H119">
        <v>30</v>
      </c>
    </row>
    <row r="120" spans="1:8" x14ac:dyDescent="0.25">
      <c r="A120" t="s">
        <v>257</v>
      </c>
      <c r="B120" t="s">
        <v>232</v>
      </c>
      <c r="C120" t="s">
        <v>283</v>
      </c>
      <c r="D120" t="s">
        <v>57</v>
      </c>
      <c r="E120">
        <v>64</v>
      </c>
      <c r="F120">
        <v>7</v>
      </c>
      <c r="G120">
        <v>8</v>
      </c>
      <c r="H120">
        <v>49</v>
      </c>
    </row>
    <row r="121" spans="1:8" x14ac:dyDescent="0.25">
      <c r="A121" t="s">
        <v>257</v>
      </c>
      <c r="B121" t="s">
        <v>232</v>
      </c>
      <c r="C121" t="s">
        <v>284</v>
      </c>
      <c r="D121" t="s">
        <v>58</v>
      </c>
      <c r="E121">
        <v>63</v>
      </c>
      <c r="F121">
        <v>7</v>
      </c>
      <c r="G121">
        <v>15</v>
      </c>
      <c r="H121">
        <v>41</v>
      </c>
    </row>
    <row r="122" spans="1:8" x14ac:dyDescent="0.25">
      <c r="A122" t="s">
        <v>257</v>
      </c>
      <c r="B122" t="s">
        <v>232</v>
      </c>
      <c r="C122" t="s">
        <v>285</v>
      </c>
      <c r="D122" t="s">
        <v>31</v>
      </c>
      <c r="E122">
        <v>5</v>
      </c>
      <c r="F122">
        <v>1</v>
      </c>
      <c r="G122">
        <v>1</v>
      </c>
      <c r="H122">
        <v>3</v>
      </c>
    </row>
    <row r="123" spans="1:8" x14ac:dyDescent="0.25">
      <c r="A123" t="s">
        <v>257</v>
      </c>
      <c r="B123" t="s">
        <v>232</v>
      </c>
      <c r="C123" t="s">
        <v>286</v>
      </c>
      <c r="D123" t="s">
        <v>32</v>
      </c>
      <c r="E123">
        <v>250</v>
      </c>
      <c r="F123">
        <v>24</v>
      </c>
      <c r="G123">
        <v>61</v>
      </c>
      <c r="H123">
        <v>165</v>
      </c>
    </row>
    <row r="124" spans="1:8" x14ac:dyDescent="0.25">
      <c r="A124" t="s">
        <v>257</v>
      </c>
      <c r="B124" t="s">
        <v>232</v>
      </c>
      <c r="C124" t="s">
        <v>287</v>
      </c>
      <c r="D124" t="s">
        <v>34</v>
      </c>
      <c r="E124">
        <v>171</v>
      </c>
      <c r="F124">
        <v>13</v>
      </c>
      <c r="G124">
        <v>25</v>
      </c>
      <c r="H124">
        <v>133</v>
      </c>
    </row>
    <row r="125" spans="1:8" x14ac:dyDescent="0.25">
      <c r="A125" t="s">
        <v>257</v>
      </c>
      <c r="B125" t="s">
        <v>232</v>
      </c>
      <c r="C125" t="s">
        <v>288</v>
      </c>
      <c r="D125" t="s">
        <v>243</v>
      </c>
      <c r="E125">
        <v>9</v>
      </c>
      <c r="F125">
        <v>1</v>
      </c>
      <c r="G125">
        <v>1</v>
      </c>
      <c r="H125">
        <v>7</v>
      </c>
    </row>
    <row r="126" spans="1:8" x14ac:dyDescent="0.25">
      <c r="A126" t="s">
        <v>257</v>
      </c>
      <c r="B126" t="s">
        <v>232</v>
      </c>
      <c r="C126" t="s">
        <v>289</v>
      </c>
      <c r="D126" t="s">
        <v>53</v>
      </c>
      <c r="E126">
        <v>10</v>
      </c>
      <c r="F126">
        <v>1</v>
      </c>
      <c r="G126">
        <v>1</v>
      </c>
      <c r="H126">
        <v>8</v>
      </c>
    </row>
    <row r="127" spans="1:8" x14ac:dyDescent="0.25">
      <c r="A127" t="s">
        <v>257</v>
      </c>
      <c r="B127" t="s">
        <v>232</v>
      </c>
      <c r="C127" t="s">
        <v>290</v>
      </c>
      <c r="D127" t="s">
        <v>59</v>
      </c>
      <c r="E127">
        <v>12</v>
      </c>
      <c r="F127">
        <v>0</v>
      </c>
      <c r="G127">
        <v>0</v>
      </c>
      <c r="H127">
        <v>12</v>
      </c>
    </row>
    <row r="128" spans="1:8" x14ac:dyDescent="0.25">
      <c r="A128" t="s">
        <v>257</v>
      </c>
      <c r="B128" t="s">
        <v>232</v>
      </c>
      <c r="C128" t="s">
        <v>291</v>
      </c>
      <c r="D128" t="s">
        <v>60</v>
      </c>
      <c r="E128">
        <v>48</v>
      </c>
      <c r="F128">
        <v>4</v>
      </c>
      <c r="G128">
        <v>9</v>
      </c>
      <c r="H128">
        <v>35</v>
      </c>
    </row>
    <row r="129" spans="1:8" x14ac:dyDescent="0.25">
      <c r="A129" t="s">
        <v>257</v>
      </c>
      <c r="B129" t="s">
        <v>232</v>
      </c>
      <c r="C129" t="s">
        <v>292</v>
      </c>
      <c r="D129" t="s">
        <v>33</v>
      </c>
      <c r="E129">
        <v>78</v>
      </c>
      <c r="F129">
        <v>6</v>
      </c>
      <c r="G129">
        <v>14</v>
      </c>
      <c r="H129">
        <v>58</v>
      </c>
    </row>
    <row r="130" spans="1:8" x14ac:dyDescent="0.25">
      <c r="A130" t="s">
        <v>257</v>
      </c>
      <c r="B130" t="s">
        <v>232</v>
      </c>
      <c r="C130" t="s">
        <v>293</v>
      </c>
      <c r="D130" t="s">
        <v>37</v>
      </c>
      <c r="E130">
        <v>11</v>
      </c>
      <c r="F130">
        <v>1</v>
      </c>
      <c r="G130">
        <v>2</v>
      </c>
      <c r="H130">
        <v>8</v>
      </c>
    </row>
    <row r="131" spans="1:8" x14ac:dyDescent="0.25">
      <c r="A131" t="s">
        <v>257</v>
      </c>
      <c r="B131" t="s">
        <v>232</v>
      </c>
      <c r="C131" t="s">
        <v>294</v>
      </c>
      <c r="D131" t="s">
        <v>50</v>
      </c>
      <c r="E131">
        <v>25</v>
      </c>
      <c r="F131">
        <v>3</v>
      </c>
      <c r="G131">
        <v>5</v>
      </c>
      <c r="H131">
        <v>17</v>
      </c>
    </row>
    <row r="132" spans="1:8" x14ac:dyDescent="0.25">
      <c r="A132" t="s">
        <v>257</v>
      </c>
      <c r="B132" t="s">
        <v>232</v>
      </c>
      <c r="C132" t="s">
        <v>295</v>
      </c>
      <c r="D132" t="s">
        <v>39</v>
      </c>
      <c r="E132">
        <v>0</v>
      </c>
      <c r="F132">
        <v>0</v>
      </c>
      <c r="G132">
        <v>0</v>
      </c>
      <c r="H132">
        <v>0</v>
      </c>
    </row>
    <row r="133" spans="1:8" x14ac:dyDescent="0.25">
      <c r="A133" t="s">
        <v>257</v>
      </c>
      <c r="B133" t="s">
        <v>232</v>
      </c>
      <c r="C133" t="s">
        <v>296</v>
      </c>
      <c r="D133" t="s">
        <v>117</v>
      </c>
      <c r="E133">
        <v>0</v>
      </c>
      <c r="F133">
        <v>0</v>
      </c>
      <c r="G133">
        <v>0</v>
      </c>
      <c r="H133">
        <v>0</v>
      </c>
    </row>
    <row r="134" spans="1:8" x14ac:dyDescent="0.25">
      <c r="A134" t="s">
        <v>257</v>
      </c>
      <c r="B134" t="s">
        <v>232</v>
      </c>
      <c r="C134" t="s">
        <v>297</v>
      </c>
      <c r="D134" t="s">
        <v>43</v>
      </c>
      <c r="E134">
        <v>93</v>
      </c>
      <c r="F134">
        <v>9</v>
      </c>
      <c r="G134">
        <v>18</v>
      </c>
      <c r="H134">
        <v>66</v>
      </c>
    </row>
    <row r="135" spans="1:8" x14ac:dyDescent="0.25">
      <c r="A135" t="s">
        <v>240</v>
      </c>
      <c r="B135" t="s">
        <v>232</v>
      </c>
      <c r="C135" t="s">
        <v>992</v>
      </c>
      <c r="D135" t="s">
        <v>265</v>
      </c>
      <c r="E135">
        <v>2545</v>
      </c>
      <c r="F135">
        <v>246</v>
      </c>
      <c r="G135">
        <v>477</v>
      </c>
      <c r="H135">
        <v>1822</v>
      </c>
    </row>
    <row r="136" spans="1:8" x14ac:dyDescent="0.25">
      <c r="A136" t="s">
        <v>240</v>
      </c>
      <c r="B136" t="s">
        <v>232</v>
      </c>
      <c r="C136" t="s">
        <v>266</v>
      </c>
      <c r="D136" t="s">
        <v>35</v>
      </c>
      <c r="E136">
        <v>17</v>
      </c>
      <c r="F136">
        <v>2</v>
      </c>
      <c r="G136">
        <v>2</v>
      </c>
      <c r="H136">
        <v>13</v>
      </c>
    </row>
    <row r="137" spans="1:8" x14ac:dyDescent="0.25">
      <c r="A137" t="s">
        <v>240</v>
      </c>
      <c r="B137" t="s">
        <v>232</v>
      </c>
      <c r="C137" t="s">
        <v>267</v>
      </c>
      <c r="D137" t="s">
        <v>36</v>
      </c>
      <c r="E137">
        <v>167</v>
      </c>
      <c r="F137">
        <v>14</v>
      </c>
      <c r="G137">
        <v>31</v>
      </c>
      <c r="H137">
        <v>122</v>
      </c>
    </row>
    <row r="138" spans="1:8" x14ac:dyDescent="0.25">
      <c r="A138" t="s">
        <v>240</v>
      </c>
      <c r="B138" t="s">
        <v>232</v>
      </c>
      <c r="C138" t="s">
        <v>268</v>
      </c>
      <c r="D138" t="s">
        <v>38</v>
      </c>
      <c r="E138">
        <v>69</v>
      </c>
      <c r="F138">
        <v>6</v>
      </c>
      <c r="G138">
        <v>7</v>
      </c>
      <c r="H138">
        <v>56</v>
      </c>
    </row>
    <row r="139" spans="1:8" x14ac:dyDescent="0.25">
      <c r="A139" t="s">
        <v>240</v>
      </c>
      <c r="B139" t="s">
        <v>232</v>
      </c>
      <c r="C139" t="s">
        <v>269</v>
      </c>
      <c r="D139" t="s">
        <v>40</v>
      </c>
      <c r="E139">
        <v>48</v>
      </c>
      <c r="F139">
        <v>5</v>
      </c>
      <c r="G139">
        <v>9</v>
      </c>
      <c r="H139">
        <v>34</v>
      </c>
    </row>
    <row r="140" spans="1:8" x14ac:dyDescent="0.25">
      <c r="A140" t="s">
        <v>240</v>
      </c>
      <c r="B140" t="s">
        <v>232</v>
      </c>
      <c r="C140" t="s">
        <v>271</v>
      </c>
      <c r="D140" t="s">
        <v>48</v>
      </c>
      <c r="E140">
        <v>125</v>
      </c>
      <c r="F140">
        <v>13</v>
      </c>
      <c r="G140">
        <v>24</v>
      </c>
      <c r="H140">
        <v>88</v>
      </c>
    </row>
    <row r="141" spans="1:8" x14ac:dyDescent="0.25">
      <c r="A141" t="s">
        <v>240</v>
      </c>
      <c r="B141" t="s">
        <v>232</v>
      </c>
      <c r="C141" t="s">
        <v>272</v>
      </c>
      <c r="D141" t="s">
        <v>42</v>
      </c>
      <c r="E141">
        <v>40</v>
      </c>
      <c r="F141">
        <v>4</v>
      </c>
      <c r="G141">
        <v>8</v>
      </c>
      <c r="H141">
        <v>28</v>
      </c>
    </row>
    <row r="142" spans="1:8" x14ac:dyDescent="0.25">
      <c r="A142" t="s">
        <v>240</v>
      </c>
      <c r="B142" t="s">
        <v>232</v>
      </c>
      <c r="C142" t="s">
        <v>273</v>
      </c>
      <c r="D142" t="s">
        <v>44</v>
      </c>
      <c r="E142">
        <v>494</v>
      </c>
      <c r="F142">
        <v>53</v>
      </c>
      <c r="G142">
        <v>101</v>
      </c>
      <c r="H142">
        <v>340</v>
      </c>
    </row>
    <row r="143" spans="1:8" x14ac:dyDescent="0.25">
      <c r="A143" t="s">
        <v>240</v>
      </c>
      <c r="B143" t="s">
        <v>232</v>
      </c>
      <c r="C143" t="s">
        <v>274</v>
      </c>
      <c r="D143" t="s">
        <v>45</v>
      </c>
      <c r="E143">
        <v>34</v>
      </c>
      <c r="F143">
        <v>3</v>
      </c>
      <c r="G143">
        <v>5</v>
      </c>
      <c r="H143">
        <v>26</v>
      </c>
    </row>
    <row r="144" spans="1:8" x14ac:dyDescent="0.25">
      <c r="A144" t="s">
        <v>240</v>
      </c>
      <c r="B144" t="s">
        <v>232</v>
      </c>
      <c r="C144" t="s">
        <v>275</v>
      </c>
      <c r="D144" t="s">
        <v>46</v>
      </c>
      <c r="E144">
        <v>10</v>
      </c>
      <c r="F144">
        <v>1</v>
      </c>
      <c r="G144">
        <v>2</v>
      </c>
      <c r="H144">
        <v>7</v>
      </c>
    </row>
    <row r="145" spans="1:8" x14ac:dyDescent="0.25">
      <c r="A145" t="s">
        <v>240</v>
      </c>
      <c r="B145" t="s">
        <v>232</v>
      </c>
      <c r="C145" t="s">
        <v>276</v>
      </c>
      <c r="D145" t="s">
        <v>47</v>
      </c>
      <c r="E145">
        <v>111</v>
      </c>
      <c r="F145">
        <v>11</v>
      </c>
      <c r="G145">
        <v>24</v>
      </c>
      <c r="H145">
        <v>76</v>
      </c>
    </row>
    <row r="146" spans="1:8" x14ac:dyDescent="0.25">
      <c r="A146" t="s">
        <v>240</v>
      </c>
      <c r="B146" t="s">
        <v>232</v>
      </c>
      <c r="C146" t="s">
        <v>277</v>
      </c>
      <c r="D146" t="s">
        <v>49</v>
      </c>
      <c r="E146">
        <v>92</v>
      </c>
      <c r="F146">
        <v>10</v>
      </c>
      <c r="G146">
        <v>9</v>
      </c>
      <c r="H146">
        <v>73</v>
      </c>
    </row>
    <row r="147" spans="1:8" x14ac:dyDescent="0.25">
      <c r="A147" t="s">
        <v>240</v>
      </c>
      <c r="B147" t="s">
        <v>232</v>
      </c>
      <c r="C147" t="s">
        <v>278</v>
      </c>
      <c r="D147" t="s">
        <v>51</v>
      </c>
      <c r="E147">
        <v>99</v>
      </c>
      <c r="F147">
        <v>9</v>
      </c>
      <c r="G147">
        <v>22</v>
      </c>
      <c r="H147">
        <v>68</v>
      </c>
    </row>
    <row r="148" spans="1:8" x14ac:dyDescent="0.25">
      <c r="A148" t="s">
        <v>240</v>
      </c>
      <c r="B148" t="s">
        <v>232</v>
      </c>
      <c r="C148" t="s">
        <v>279</v>
      </c>
      <c r="D148" t="s">
        <v>52</v>
      </c>
      <c r="E148">
        <v>110</v>
      </c>
      <c r="F148">
        <v>8</v>
      </c>
      <c r="G148">
        <v>22</v>
      </c>
      <c r="H148">
        <v>80</v>
      </c>
    </row>
    <row r="149" spans="1:8" x14ac:dyDescent="0.25">
      <c r="A149" t="s">
        <v>240</v>
      </c>
      <c r="B149" t="s">
        <v>232</v>
      </c>
      <c r="C149" t="s">
        <v>280</v>
      </c>
      <c r="D149" t="s">
        <v>54</v>
      </c>
      <c r="E149">
        <v>118</v>
      </c>
      <c r="F149">
        <v>12</v>
      </c>
      <c r="G149">
        <v>24</v>
      </c>
      <c r="H149">
        <v>82</v>
      </c>
    </row>
    <row r="150" spans="1:8" x14ac:dyDescent="0.25">
      <c r="A150" t="s">
        <v>240</v>
      </c>
      <c r="B150" t="s">
        <v>232</v>
      </c>
      <c r="C150" t="s">
        <v>281</v>
      </c>
      <c r="D150" t="s">
        <v>55</v>
      </c>
      <c r="E150">
        <v>110</v>
      </c>
      <c r="F150">
        <v>11</v>
      </c>
      <c r="G150">
        <v>23</v>
      </c>
      <c r="H150">
        <v>76</v>
      </c>
    </row>
    <row r="151" spans="1:8" x14ac:dyDescent="0.25">
      <c r="A151" t="s">
        <v>240</v>
      </c>
      <c r="B151" t="s">
        <v>232</v>
      </c>
      <c r="C151" t="s">
        <v>282</v>
      </c>
      <c r="D151" t="s">
        <v>56</v>
      </c>
      <c r="E151">
        <v>44</v>
      </c>
      <c r="F151">
        <v>5</v>
      </c>
      <c r="G151">
        <v>5</v>
      </c>
      <c r="H151">
        <v>34</v>
      </c>
    </row>
    <row r="152" spans="1:8" x14ac:dyDescent="0.25">
      <c r="A152" t="s">
        <v>240</v>
      </c>
      <c r="B152" t="s">
        <v>232</v>
      </c>
      <c r="C152" t="s">
        <v>283</v>
      </c>
      <c r="D152" t="s">
        <v>57</v>
      </c>
      <c r="E152">
        <v>66</v>
      </c>
      <c r="F152">
        <v>9</v>
      </c>
      <c r="G152">
        <v>7</v>
      </c>
      <c r="H152">
        <v>50</v>
      </c>
    </row>
    <row r="153" spans="1:8" x14ac:dyDescent="0.25">
      <c r="A153" t="s">
        <v>240</v>
      </c>
      <c r="B153" t="s">
        <v>232</v>
      </c>
      <c r="C153" t="s">
        <v>284</v>
      </c>
      <c r="D153" t="s">
        <v>58</v>
      </c>
      <c r="E153">
        <v>66</v>
      </c>
      <c r="F153">
        <v>8</v>
      </c>
      <c r="G153">
        <v>14</v>
      </c>
      <c r="H153">
        <v>44</v>
      </c>
    </row>
    <row r="154" spans="1:8" x14ac:dyDescent="0.25">
      <c r="A154" t="s">
        <v>240</v>
      </c>
      <c r="B154" t="s">
        <v>232</v>
      </c>
      <c r="C154" t="s">
        <v>285</v>
      </c>
      <c r="D154" t="s">
        <v>31</v>
      </c>
      <c r="E154">
        <v>6</v>
      </c>
      <c r="F154">
        <v>1</v>
      </c>
      <c r="G154">
        <v>1</v>
      </c>
      <c r="H154">
        <v>4</v>
      </c>
    </row>
    <row r="155" spans="1:8" x14ac:dyDescent="0.25">
      <c r="A155" t="s">
        <v>240</v>
      </c>
      <c r="B155" t="s">
        <v>232</v>
      </c>
      <c r="C155" t="s">
        <v>286</v>
      </c>
      <c r="D155" t="s">
        <v>32</v>
      </c>
      <c r="E155">
        <v>248</v>
      </c>
      <c r="F155">
        <v>23</v>
      </c>
      <c r="G155">
        <v>63</v>
      </c>
      <c r="H155">
        <v>162</v>
      </c>
    </row>
    <row r="156" spans="1:8" x14ac:dyDescent="0.25">
      <c r="A156" t="s">
        <v>240</v>
      </c>
      <c r="B156" t="s">
        <v>232</v>
      </c>
      <c r="C156" t="s">
        <v>287</v>
      </c>
      <c r="D156" t="s">
        <v>34</v>
      </c>
      <c r="E156">
        <v>166</v>
      </c>
      <c r="F156">
        <v>14</v>
      </c>
      <c r="G156">
        <v>24</v>
      </c>
      <c r="H156">
        <v>128</v>
      </c>
    </row>
    <row r="157" spans="1:8" x14ac:dyDescent="0.25">
      <c r="A157" t="s">
        <v>240</v>
      </c>
      <c r="B157" t="s">
        <v>232</v>
      </c>
      <c r="C157" t="s">
        <v>288</v>
      </c>
      <c r="D157" t="s">
        <v>243</v>
      </c>
      <c r="E157">
        <v>8</v>
      </c>
      <c r="F157">
        <v>1</v>
      </c>
      <c r="G157">
        <v>1</v>
      </c>
      <c r="H157">
        <v>6</v>
      </c>
    </row>
    <row r="158" spans="1:8" x14ac:dyDescent="0.25">
      <c r="A158" t="s">
        <v>240</v>
      </c>
      <c r="B158" t="s">
        <v>232</v>
      </c>
      <c r="C158" t="s">
        <v>289</v>
      </c>
      <c r="D158" t="s">
        <v>53</v>
      </c>
      <c r="E158">
        <v>13</v>
      </c>
      <c r="F158">
        <v>1</v>
      </c>
      <c r="G158">
        <v>2</v>
      </c>
      <c r="H158">
        <v>10</v>
      </c>
    </row>
    <row r="159" spans="1:8" x14ac:dyDescent="0.25">
      <c r="A159" t="s">
        <v>240</v>
      </c>
      <c r="B159" t="s">
        <v>232</v>
      </c>
      <c r="C159" t="s">
        <v>290</v>
      </c>
      <c r="D159" t="s">
        <v>59</v>
      </c>
      <c r="E159">
        <v>16</v>
      </c>
      <c r="F159">
        <v>2</v>
      </c>
      <c r="G159">
        <v>2</v>
      </c>
      <c r="H159">
        <v>12</v>
      </c>
    </row>
    <row r="160" spans="1:8" x14ac:dyDescent="0.25">
      <c r="A160" t="s">
        <v>240</v>
      </c>
      <c r="B160" t="s">
        <v>232</v>
      </c>
      <c r="C160" t="s">
        <v>291</v>
      </c>
      <c r="D160" t="s">
        <v>60</v>
      </c>
      <c r="E160">
        <v>49</v>
      </c>
      <c r="F160">
        <v>4</v>
      </c>
      <c r="G160">
        <v>9</v>
      </c>
      <c r="H160">
        <v>36</v>
      </c>
    </row>
    <row r="161" spans="1:8" x14ac:dyDescent="0.25">
      <c r="A161" t="s">
        <v>240</v>
      </c>
      <c r="B161" t="s">
        <v>232</v>
      </c>
      <c r="C161" t="s">
        <v>292</v>
      </c>
      <c r="D161" t="s">
        <v>33</v>
      </c>
      <c r="E161">
        <v>80</v>
      </c>
      <c r="F161">
        <v>6</v>
      </c>
      <c r="G161">
        <v>14</v>
      </c>
      <c r="H161">
        <v>60</v>
      </c>
    </row>
    <row r="162" spans="1:8" x14ac:dyDescent="0.25">
      <c r="A162" t="s">
        <v>240</v>
      </c>
      <c r="B162" t="s">
        <v>232</v>
      </c>
      <c r="C162" t="s">
        <v>293</v>
      </c>
      <c r="D162" t="s">
        <v>37</v>
      </c>
      <c r="E162">
        <v>12</v>
      </c>
      <c r="F162">
        <v>1</v>
      </c>
      <c r="G162">
        <v>2</v>
      </c>
      <c r="H162">
        <v>9</v>
      </c>
    </row>
    <row r="163" spans="1:8" x14ac:dyDescent="0.25">
      <c r="A163" t="s">
        <v>240</v>
      </c>
      <c r="B163" t="s">
        <v>232</v>
      </c>
      <c r="C163" t="s">
        <v>294</v>
      </c>
      <c r="D163" t="s">
        <v>50</v>
      </c>
      <c r="E163">
        <v>28</v>
      </c>
      <c r="F163">
        <v>2</v>
      </c>
      <c r="G163">
        <v>5</v>
      </c>
      <c r="H163">
        <v>21</v>
      </c>
    </row>
    <row r="164" spans="1:8" x14ac:dyDescent="0.25">
      <c r="A164" t="s">
        <v>240</v>
      </c>
      <c r="B164" t="s">
        <v>232</v>
      </c>
      <c r="C164" t="s">
        <v>297</v>
      </c>
      <c r="D164" t="s">
        <v>43</v>
      </c>
      <c r="E164">
        <v>102</v>
      </c>
      <c r="F164">
        <v>9</v>
      </c>
      <c r="G164">
        <v>18</v>
      </c>
      <c r="H164">
        <v>75</v>
      </c>
    </row>
    <row r="165" spans="1:8" x14ac:dyDescent="0.25">
      <c r="A165" t="s">
        <v>239</v>
      </c>
      <c r="B165" t="s">
        <v>232</v>
      </c>
      <c r="D165" t="s">
        <v>184</v>
      </c>
      <c r="E165">
        <v>2583.98</v>
      </c>
      <c r="F165">
        <v>241.25</v>
      </c>
      <c r="G165">
        <v>478.93</v>
      </c>
      <c r="H165">
        <v>1863.8</v>
      </c>
    </row>
    <row r="166" spans="1:8" x14ac:dyDescent="0.25">
      <c r="A166" t="s">
        <v>239</v>
      </c>
      <c r="B166" t="s">
        <v>232</v>
      </c>
      <c r="C166" t="s">
        <v>266</v>
      </c>
      <c r="D166" t="s">
        <v>35</v>
      </c>
      <c r="E166">
        <v>15</v>
      </c>
      <c r="F166">
        <v>1.25</v>
      </c>
      <c r="G166">
        <v>2.75</v>
      </c>
      <c r="H166">
        <v>11</v>
      </c>
    </row>
    <row r="167" spans="1:8" x14ac:dyDescent="0.25">
      <c r="A167" t="s">
        <v>239</v>
      </c>
      <c r="B167" t="s">
        <v>232</v>
      </c>
      <c r="C167" t="s">
        <v>267</v>
      </c>
      <c r="D167" t="s">
        <v>36</v>
      </c>
      <c r="E167">
        <v>173.25</v>
      </c>
      <c r="F167">
        <v>15.25</v>
      </c>
      <c r="G167">
        <v>31</v>
      </c>
      <c r="H167">
        <v>127</v>
      </c>
    </row>
    <row r="168" spans="1:8" x14ac:dyDescent="0.25">
      <c r="A168" t="s">
        <v>239</v>
      </c>
      <c r="B168" t="s">
        <v>232</v>
      </c>
      <c r="C168" t="s">
        <v>268</v>
      </c>
      <c r="D168" t="s">
        <v>38</v>
      </c>
      <c r="E168">
        <v>62</v>
      </c>
      <c r="F168">
        <v>4.5</v>
      </c>
      <c r="G168">
        <v>8.25</v>
      </c>
      <c r="H168">
        <v>49.25</v>
      </c>
    </row>
    <row r="169" spans="1:8" x14ac:dyDescent="0.25">
      <c r="A169" t="s">
        <v>239</v>
      </c>
      <c r="B169" t="s">
        <v>232</v>
      </c>
      <c r="C169" t="s">
        <v>269</v>
      </c>
      <c r="D169" t="s">
        <v>40</v>
      </c>
      <c r="E169">
        <v>51</v>
      </c>
      <c r="F169">
        <v>4</v>
      </c>
      <c r="G169">
        <v>10.5</v>
      </c>
      <c r="H169">
        <v>36.5</v>
      </c>
    </row>
    <row r="170" spans="1:8" x14ac:dyDescent="0.25">
      <c r="A170" t="s">
        <v>239</v>
      </c>
      <c r="B170" t="s">
        <v>232</v>
      </c>
      <c r="C170" t="s">
        <v>271</v>
      </c>
      <c r="D170" t="s">
        <v>48</v>
      </c>
      <c r="E170">
        <v>126.75</v>
      </c>
      <c r="F170">
        <v>12.5</v>
      </c>
      <c r="G170">
        <v>24.25</v>
      </c>
      <c r="H170">
        <v>90</v>
      </c>
    </row>
    <row r="171" spans="1:8" x14ac:dyDescent="0.25">
      <c r="A171" t="s">
        <v>239</v>
      </c>
      <c r="B171" t="s">
        <v>232</v>
      </c>
      <c r="C171" t="s">
        <v>272</v>
      </c>
      <c r="D171" t="s">
        <v>42</v>
      </c>
      <c r="E171">
        <v>41</v>
      </c>
      <c r="F171">
        <v>4</v>
      </c>
      <c r="G171">
        <v>7.75</v>
      </c>
      <c r="H171">
        <v>29.25</v>
      </c>
    </row>
    <row r="172" spans="1:8" x14ac:dyDescent="0.25">
      <c r="A172" t="s">
        <v>239</v>
      </c>
      <c r="B172" t="s">
        <v>232</v>
      </c>
      <c r="C172" t="s">
        <v>273</v>
      </c>
      <c r="D172" t="s">
        <v>44</v>
      </c>
      <c r="E172">
        <v>503</v>
      </c>
      <c r="F172">
        <v>53.5</v>
      </c>
      <c r="G172">
        <v>96.25</v>
      </c>
      <c r="H172">
        <v>353.25</v>
      </c>
    </row>
    <row r="173" spans="1:8" x14ac:dyDescent="0.25">
      <c r="A173" t="s">
        <v>239</v>
      </c>
      <c r="B173" t="s">
        <v>232</v>
      </c>
      <c r="C173" t="s">
        <v>274</v>
      </c>
      <c r="D173" t="s">
        <v>45</v>
      </c>
      <c r="E173">
        <v>36.5</v>
      </c>
      <c r="F173">
        <v>2.75</v>
      </c>
      <c r="G173">
        <v>4.75</v>
      </c>
      <c r="H173">
        <v>29</v>
      </c>
    </row>
    <row r="174" spans="1:8" x14ac:dyDescent="0.25">
      <c r="A174" t="s">
        <v>239</v>
      </c>
      <c r="B174" t="s">
        <v>232</v>
      </c>
      <c r="C174" t="s">
        <v>275</v>
      </c>
      <c r="D174" t="s">
        <v>46</v>
      </c>
      <c r="E174">
        <v>11</v>
      </c>
      <c r="F174">
        <v>1</v>
      </c>
      <c r="G174">
        <v>2.5</v>
      </c>
      <c r="H174">
        <v>7.5</v>
      </c>
    </row>
    <row r="175" spans="1:8" x14ac:dyDescent="0.25">
      <c r="A175" t="s">
        <v>239</v>
      </c>
      <c r="B175" t="s">
        <v>232</v>
      </c>
      <c r="C175" t="s">
        <v>276</v>
      </c>
      <c r="D175" t="s">
        <v>47</v>
      </c>
      <c r="E175">
        <v>109.25</v>
      </c>
      <c r="F175">
        <v>10.25</v>
      </c>
      <c r="G175">
        <v>24.25</v>
      </c>
      <c r="H175">
        <v>74.75</v>
      </c>
    </row>
    <row r="176" spans="1:8" x14ac:dyDescent="0.25">
      <c r="A176" t="s">
        <v>239</v>
      </c>
      <c r="B176" t="s">
        <v>232</v>
      </c>
      <c r="C176" t="s">
        <v>277</v>
      </c>
      <c r="D176" t="s">
        <v>49</v>
      </c>
      <c r="E176">
        <v>90.75</v>
      </c>
      <c r="F176">
        <v>10.75</v>
      </c>
      <c r="G176">
        <v>9.5</v>
      </c>
      <c r="H176">
        <v>70.5</v>
      </c>
    </row>
    <row r="177" spans="1:8" x14ac:dyDescent="0.25">
      <c r="A177" t="s">
        <v>239</v>
      </c>
      <c r="B177" t="s">
        <v>232</v>
      </c>
      <c r="C177" t="s">
        <v>278</v>
      </c>
      <c r="D177" t="s">
        <v>51</v>
      </c>
      <c r="E177">
        <v>106.5</v>
      </c>
      <c r="F177">
        <v>8.5</v>
      </c>
      <c r="G177">
        <v>23</v>
      </c>
      <c r="H177">
        <v>75</v>
      </c>
    </row>
    <row r="178" spans="1:8" x14ac:dyDescent="0.25">
      <c r="A178" t="s">
        <v>239</v>
      </c>
      <c r="B178" t="s">
        <v>232</v>
      </c>
      <c r="C178" t="s">
        <v>280</v>
      </c>
      <c r="D178" t="s">
        <v>54</v>
      </c>
      <c r="E178">
        <v>117.75</v>
      </c>
      <c r="F178">
        <v>11</v>
      </c>
      <c r="G178">
        <v>24.75</v>
      </c>
      <c r="H178">
        <v>82</v>
      </c>
    </row>
    <row r="179" spans="1:8" x14ac:dyDescent="0.25">
      <c r="A179" t="s">
        <v>239</v>
      </c>
      <c r="B179" t="s">
        <v>232</v>
      </c>
      <c r="C179" t="s">
        <v>281</v>
      </c>
      <c r="D179" t="s">
        <v>55</v>
      </c>
      <c r="E179">
        <v>118.25</v>
      </c>
      <c r="F179">
        <v>11.75</v>
      </c>
      <c r="G179">
        <v>23.75</v>
      </c>
      <c r="H179">
        <v>82.75</v>
      </c>
    </row>
    <row r="180" spans="1:8" x14ac:dyDescent="0.25">
      <c r="A180" t="s">
        <v>239</v>
      </c>
      <c r="B180" t="s">
        <v>232</v>
      </c>
      <c r="C180" t="s">
        <v>282</v>
      </c>
      <c r="D180" t="s">
        <v>56</v>
      </c>
      <c r="E180">
        <v>50.75</v>
      </c>
      <c r="F180">
        <v>5</v>
      </c>
      <c r="G180">
        <v>6.25</v>
      </c>
      <c r="H180">
        <v>39.5</v>
      </c>
    </row>
    <row r="181" spans="1:8" x14ac:dyDescent="0.25">
      <c r="A181" t="s">
        <v>239</v>
      </c>
      <c r="B181" t="s">
        <v>232</v>
      </c>
      <c r="C181" t="s">
        <v>283</v>
      </c>
      <c r="D181" t="s">
        <v>57</v>
      </c>
      <c r="E181">
        <v>65.25</v>
      </c>
      <c r="F181">
        <v>7.25</v>
      </c>
      <c r="G181">
        <v>7.25</v>
      </c>
      <c r="H181">
        <v>50.75</v>
      </c>
    </row>
    <row r="182" spans="1:8" x14ac:dyDescent="0.25">
      <c r="A182" t="s">
        <v>239</v>
      </c>
      <c r="B182" t="s">
        <v>232</v>
      </c>
      <c r="C182" t="s">
        <v>284</v>
      </c>
      <c r="D182" t="s">
        <v>58</v>
      </c>
      <c r="E182">
        <v>66.5</v>
      </c>
      <c r="F182">
        <v>7.5</v>
      </c>
      <c r="G182">
        <v>14.25</v>
      </c>
      <c r="H182">
        <v>44.75</v>
      </c>
    </row>
    <row r="183" spans="1:8" x14ac:dyDescent="0.25">
      <c r="A183" t="s">
        <v>239</v>
      </c>
      <c r="B183" t="s">
        <v>232</v>
      </c>
      <c r="C183" t="s">
        <v>285</v>
      </c>
      <c r="D183" t="s">
        <v>31</v>
      </c>
      <c r="E183">
        <v>6.75</v>
      </c>
      <c r="F183">
        <v>1</v>
      </c>
      <c r="G183">
        <v>2.5</v>
      </c>
      <c r="H183">
        <v>3.25</v>
      </c>
    </row>
    <row r="184" spans="1:8" x14ac:dyDescent="0.25">
      <c r="A184" t="s">
        <v>239</v>
      </c>
      <c r="B184" t="s">
        <v>232</v>
      </c>
      <c r="C184" t="s">
        <v>286</v>
      </c>
      <c r="D184" t="s">
        <v>32</v>
      </c>
      <c r="E184">
        <v>255.25</v>
      </c>
      <c r="F184">
        <v>22.5</v>
      </c>
      <c r="G184">
        <v>62.5</v>
      </c>
      <c r="H184">
        <v>170.25</v>
      </c>
    </row>
    <row r="185" spans="1:8" x14ac:dyDescent="0.25">
      <c r="A185" t="s">
        <v>239</v>
      </c>
      <c r="B185" t="s">
        <v>232</v>
      </c>
      <c r="C185" t="s">
        <v>287</v>
      </c>
      <c r="D185" t="s">
        <v>34</v>
      </c>
      <c r="E185">
        <v>163.75</v>
      </c>
      <c r="F185">
        <v>13.25</v>
      </c>
      <c r="G185">
        <v>23</v>
      </c>
      <c r="H185">
        <v>127.5</v>
      </c>
    </row>
    <row r="186" spans="1:8" x14ac:dyDescent="0.25">
      <c r="A186" t="s">
        <v>239</v>
      </c>
      <c r="B186" t="s">
        <v>232</v>
      </c>
      <c r="C186" t="s">
        <v>288</v>
      </c>
      <c r="D186" t="s">
        <v>243</v>
      </c>
      <c r="G186">
        <v>1.25</v>
      </c>
      <c r="H186">
        <v>4.25</v>
      </c>
    </row>
    <row r="187" spans="1:8" x14ac:dyDescent="0.25">
      <c r="A187" t="s">
        <v>239</v>
      </c>
      <c r="B187" t="s">
        <v>232</v>
      </c>
      <c r="C187" t="s">
        <v>289</v>
      </c>
      <c r="D187" t="s">
        <v>53</v>
      </c>
      <c r="E187">
        <v>12.25</v>
      </c>
      <c r="F187">
        <v>0.75</v>
      </c>
      <c r="G187">
        <v>1.5</v>
      </c>
      <c r="H187">
        <v>10</v>
      </c>
    </row>
    <row r="188" spans="1:8" x14ac:dyDescent="0.25">
      <c r="A188" t="s">
        <v>239</v>
      </c>
      <c r="B188" t="s">
        <v>232</v>
      </c>
      <c r="C188" t="s">
        <v>290</v>
      </c>
      <c r="D188" t="s">
        <v>59</v>
      </c>
      <c r="E188">
        <v>17.5</v>
      </c>
      <c r="F188">
        <v>1.75</v>
      </c>
      <c r="G188">
        <v>1.5</v>
      </c>
      <c r="H188">
        <v>14.25</v>
      </c>
    </row>
    <row r="189" spans="1:8" x14ac:dyDescent="0.25">
      <c r="A189" t="s">
        <v>239</v>
      </c>
      <c r="B189" t="s">
        <v>232</v>
      </c>
      <c r="C189" t="s">
        <v>291</v>
      </c>
      <c r="D189" t="s">
        <v>60</v>
      </c>
      <c r="E189">
        <v>45.25</v>
      </c>
      <c r="F189">
        <v>3.75</v>
      </c>
      <c r="G189">
        <v>8.75</v>
      </c>
      <c r="H189">
        <v>32.75</v>
      </c>
    </row>
    <row r="190" spans="1:8" x14ac:dyDescent="0.25">
      <c r="A190" t="s">
        <v>239</v>
      </c>
      <c r="B190" t="s">
        <v>232</v>
      </c>
      <c r="C190" t="s">
        <v>292</v>
      </c>
      <c r="D190" t="s">
        <v>33</v>
      </c>
      <c r="E190">
        <v>84</v>
      </c>
      <c r="F190">
        <v>6</v>
      </c>
      <c r="G190">
        <v>12.5</v>
      </c>
      <c r="H190">
        <v>65.5</v>
      </c>
    </row>
    <row r="191" spans="1:8" x14ac:dyDescent="0.25">
      <c r="A191" t="s">
        <v>239</v>
      </c>
      <c r="B191" t="s">
        <v>232</v>
      </c>
      <c r="C191" t="s">
        <v>293</v>
      </c>
      <c r="D191" t="s">
        <v>37</v>
      </c>
      <c r="E191">
        <v>10.25</v>
      </c>
      <c r="F191">
        <v>1</v>
      </c>
      <c r="G191">
        <v>1.5</v>
      </c>
      <c r="H191">
        <v>7.75</v>
      </c>
    </row>
    <row r="192" spans="1:8" x14ac:dyDescent="0.25">
      <c r="A192" t="s">
        <v>239</v>
      </c>
      <c r="B192" t="s">
        <v>232</v>
      </c>
      <c r="C192" t="s">
        <v>294</v>
      </c>
      <c r="D192" t="s">
        <v>50</v>
      </c>
      <c r="E192">
        <v>25.5</v>
      </c>
      <c r="F192">
        <v>2.5</v>
      </c>
      <c r="G192">
        <v>4.75</v>
      </c>
      <c r="H192">
        <v>18.25</v>
      </c>
    </row>
    <row r="193" spans="1:8" x14ac:dyDescent="0.25">
      <c r="A193" t="s">
        <v>239</v>
      </c>
      <c r="B193" t="s">
        <v>232</v>
      </c>
      <c r="C193" t="s">
        <v>297</v>
      </c>
      <c r="D193" t="s">
        <v>43</v>
      </c>
      <c r="E193">
        <v>101.48</v>
      </c>
      <c r="F193">
        <v>8.75</v>
      </c>
      <c r="G193">
        <v>17.929999999999996</v>
      </c>
      <c r="H193">
        <v>74.800000000000011</v>
      </c>
    </row>
    <row r="194" spans="1:8" x14ac:dyDescent="0.25">
      <c r="A194" t="s">
        <v>239</v>
      </c>
      <c r="B194" t="s">
        <v>232</v>
      </c>
      <c r="C194" t="s">
        <v>945</v>
      </c>
      <c r="D194" t="s">
        <v>52</v>
      </c>
      <c r="E194">
        <v>112</v>
      </c>
      <c r="F194">
        <v>9.25</v>
      </c>
      <c r="G194">
        <v>20.25</v>
      </c>
      <c r="H194">
        <v>82.5</v>
      </c>
    </row>
    <row r="195" spans="1:8" x14ac:dyDescent="0.25">
      <c r="A195" t="s">
        <v>760</v>
      </c>
      <c r="B195" t="s">
        <v>232</v>
      </c>
      <c r="D195" t="s">
        <v>184</v>
      </c>
      <c r="E195">
        <v>2551.73</v>
      </c>
      <c r="F195">
        <v>236.5</v>
      </c>
      <c r="G195">
        <v>459.93</v>
      </c>
      <c r="H195">
        <v>1855.3</v>
      </c>
    </row>
    <row r="196" spans="1:8" x14ac:dyDescent="0.25">
      <c r="A196" t="s">
        <v>760</v>
      </c>
      <c r="B196" t="s">
        <v>232</v>
      </c>
      <c r="C196" t="s">
        <v>362</v>
      </c>
      <c r="D196" t="s">
        <v>34</v>
      </c>
      <c r="E196">
        <v>160.5</v>
      </c>
      <c r="F196">
        <v>11.75</v>
      </c>
      <c r="G196">
        <v>22.25</v>
      </c>
      <c r="H196">
        <v>126.5</v>
      </c>
    </row>
    <row r="197" spans="1:8" x14ac:dyDescent="0.25">
      <c r="A197" t="s">
        <v>760</v>
      </c>
      <c r="B197" t="s">
        <v>232</v>
      </c>
      <c r="C197" t="s">
        <v>362</v>
      </c>
      <c r="D197" t="s">
        <v>36</v>
      </c>
      <c r="E197">
        <v>163</v>
      </c>
      <c r="F197">
        <v>14.25</v>
      </c>
      <c r="G197">
        <v>29.75</v>
      </c>
      <c r="H197">
        <v>119</v>
      </c>
    </row>
    <row r="198" spans="1:8" x14ac:dyDescent="0.25">
      <c r="A198" t="s">
        <v>760</v>
      </c>
      <c r="B198" t="s">
        <v>232</v>
      </c>
      <c r="C198" t="s">
        <v>362</v>
      </c>
      <c r="D198" t="s">
        <v>38</v>
      </c>
      <c r="E198">
        <v>64</v>
      </c>
      <c r="F198">
        <v>6</v>
      </c>
      <c r="G198">
        <v>6.75</v>
      </c>
      <c r="H198">
        <v>51.25</v>
      </c>
    </row>
    <row r="199" spans="1:8" x14ac:dyDescent="0.25">
      <c r="A199" t="s">
        <v>760</v>
      </c>
      <c r="B199" t="s">
        <v>232</v>
      </c>
      <c r="C199" t="s">
        <v>362</v>
      </c>
      <c r="D199" t="s">
        <v>45</v>
      </c>
      <c r="E199">
        <v>34.5</v>
      </c>
      <c r="F199">
        <v>2.75</v>
      </c>
      <c r="G199">
        <v>4.75</v>
      </c>
      <c r="H199">
        <v>27</v>
      </c>
    </row>
    <row r="200" spans="1:8" x14ac:dyDescent="0.25">
      <c r="A200" t="s">
        <v>760</v>
      </c>
      <c r="B200" t="s">
        <v>232</v>
      </c>
      <c r="C200" t="s">
        <v>362</v>
      </c>
      <c r="D200" t="s">
        <v>49</v>
      </c>
      <c r="E200">
        <v>88.25</v>
      </c>
      <c r="F200">
        <v>10.5</v>
      </c>
      <c r="G200">
        <v>9.5</v>
      </c>
      <c r="H200">
        <v>68.25</v>
      </c>
    </row>
    <row r="201" spans="1:8" x14ac:dyDescent="0.25">
      <c r="A201" t="s">
        <v>760</v>
      </c>
      <c r="B201" t="s">
        <v>232</v>
      </c>
      <c r="C201" t="s">
        <v>362</v>
      </c>
      <c r="D201" t="s">
        <v>50</v>
      </c>
      <c r="E201">
        <v>27</v>
      </c>
      <c r="F201">
        <v>2.5</v>
      </c>
      <c r="G201">
        <v>3.75</v>
      </c>
      <c r="H201">
        <v>20.75</v>
      </c>
    </row>
    <row r="202" spans="1:8" x14ac:dyDescent="0.25">
      <c r="A202" t="s">
        <v>760</v>
      </c>
      <c r="B202" t="s">
        <v>232</v>
      </c>
      <c r="C202" t="s">
        <v>362</v>
      </c>
      <c r="D202" t="s">
        <v>53</v>
      </c>
      <c r="E202">
        <v>11</v>
      </c>
      <c r="F202">
        <v>0.75</v>
      </c>
      <c r="G202">
        <v>1.5</v>
      </c>
      <c r="H202">
        <v>8.75</v>
      </c>
    </row>
    <row r="203" spans="1:8" x14ac:dyDescent="0.25">
      <c r="A203" t="s">
        <v>760</v>
      </c>
      <c r="B203" t="s">
        <v>232</v>
      </c>
      <c r="C203" t="s">
        <v>362</v>
      </c>
      <c r="D203" t="s">
        <v>56</v>
      </c>
      <c r="E203">
        <v>46.5</v>
      </c>
      <c r="F203">
        <v>4.5</v>
      </c>
      <c r="G203">
        <v>6.5</v>
      </c>
      <c r="H203">
        <v>35.5</v>
      </c>
    </row>
    <row r="204" spans="1:8" x14ac:dyDescent="0.25">
      <c r="A204" t="s">
        <v>760</v>
      </c>
      <c r="B204" t="s">
        <v>232</v>
      </c>
      <c r="C204" t="s">
        <v>362</v>
      </c>
      <c r="D204" t="s">
        <v>57</v>
      </c>
      <c r="E204">
        <v>70.25</v>
      </c>
      <c r="F204">
        <v>6.5</v>
      </c>
      <c r="G204">
        <v>7.25</v>
      </c>
      <c r="H204">
        <v>56.5</v>
      </c>
    </row>
    <row r="205" spans="1:8" x14ac:dyDescent="0.25">
      <c r="A205" t="s">
        <v>760</v>
      </c>
      <c r="B205" t="s">
        <v>232</v>
      </c>
      <c r="C205" t="s">
        <v>362</v>
      </c>
      <c r="D205" t="s">
        <v>59</v>
      </c>
      <c r="E205">
        <v>16.25</v>
      </c>
      <c r="F205">
        <v>1.5</v>
      </c>
      <c r="G205">
        <v>1.5</v>
      </c>
      <c r="H205">
        <v>13.25</v>
      </c>
    </row>
    <row r="206" spans="1:8" x14ac:dyDescent="0.25">
      <c r="A206" t="s">
        <v>760</v>
      </c>
      <c r="B206" t="s">
        <v>232</v>
      </c>
      <c r="C206" t="s">
        <v>361</v>
      </c>
      <c r="D206" t="s">
        <v>243</v>
      </c>
      <c r="E206">
        <v>4.75</v>
      </c>
      <c r="F206">
        <v>0.75</v>
      </c>
      <c r="G206">
        <v>1</v>
      </c>
      <c r="H206">
        <v>3</v>
      </c>
    </row>
    <row r="207" spans="1:8" x14ac:dyDescent="0.25">
      <c r="A207" t="s">
        <v>760</v>
      </c>
      <c r="B207" t="s">
        <v>232</v>
      </c>
      <c r="C207" t="s">
        <v>361</v>
      </c>
      <c r="D207" t="s">
        <v>35</v>
      </c>
      <c r="E207">
        <v>19</v>
      </c>
      <c r="F207">
        <v>2.25</v>
      </c>
      <c r="G207">
        <v>3.5</v>
      </c>
      <c r="H207">
        <v>13.25</v>
      </c>
    </row>
    <row r="208" spans="1:8" x14ac:dyDescent="0.25">
      <c r="A208" t="s">
        <v>760</v>
      </c>
      <c r="B208" t="s">
        <v>232</v>
      </c>
      <c r="C208" t="s">
        <v>361</v>
      </c>
      <c r="D208" t="s">
        <v>40</v>
      </c>
      <c r="E208">
        <v>52.25</v>
      </c>
      <c r="F208">
        <v>4</v>
      </c>
      <c r="G208">
        <v>10.25</v>
      </c>
      <c r="H208">
        <v>38</v>
      </c>
    </row>
    <row r="209" spans="1:8" x14ac:dyDescent="0.25">
      <c r="A209" t="s">
        <v>760</v>
      </c>
      <c r="B209" t="s">
        <v>232</v>
      </c>
      <c r="C209" t="s">
        <v>361</v>
      </c>
      <c r="D209" t="s">
        <v>42</v>
      </c>
      <c r="E209">
        <v>42.5</v>
      </c>
      <c r="F209">
        <v>3</v>
      </c>
      <c r="G209">
        <v>7.5</v>
      </c>
      <c r="H209">
        <v>32</v>
      </c>
    </row>
    <row r="210" spans="1:8" x14ac:dyDescent="0.25">
      <c r="A210" t="s">
        <v>760</v>
      </c>
      <c r="B210" t="s">
        <v>232</v>
      </c>
      <c r="C210" t="s">
        <v>361</v>
      </c>
      <c r="D210" t="s">
        <v>43</v>
      </c>
      <c r="E210">
        <v>97.23</v>
      </c>
      <c r="F210">
        <v>8.75</v>
      </c>
      <c r="G210">
        <v>17.179999999999996</v>
      </c>
      <c r="H210">
        <v>71.300000000000011</v>
      </c>
    </row>
    <row r="211" spans="1:8" x14ac:dyDescent="0.25">
      <c r="A211" t="s">
        <v>760</v>
      </c>
      <c r="B211" t="s">
        <v>232</v>
      </c>
      <c r="C211" t="s">
        <v>361</v>
      </c>
      <c r="D211" t="s">
        <v>46</v>
      </c>
      <c r="E211">
        <v>10.5</v>
      </c>
      <c r="F211">
        <v>1</v>
      </c>
      <c r="G211">
        <v>1.5</v>
      </c>
      <c r="H211">
        <v>8</v>
      </c>
    </row>
    <row r="212" spans="1:8" x14ac:dyDescent="0.25">
      <c r="A212" t="s">
        <v>760</v>
      </c>
      <c r="B212" t="s">
        <v>232</v>
      </c>
      <c r="C212" t="s">
        <v>361</v>
      </c>
      <c r="D212" t="s">
        <v>54</v>
      </c>
      <c r="E212">
        <v>120.75</v>
      </c>
      <c r="F212">
        <v>10.75</v>
      </c>
      <c r="G212">
        <v>24.75</v>
      </c>
      <c r="H212">
        <v>85.25</v>
      </c>
    </row>
    <row r="213" spans="1:8" x14ac:dyDescent="0.25">
      <c r="A213" t="s">
        <v>760</v>
      </c>
      <c r="B213" t="s">
        <v>232</v>
      </c>
      <c r="C213" t="s">
        <v>361</v>
      </c>
      <c r="D213" t="s">
        <v>58</v>
      </c>
      <c r="E213">
        <v>65</v>
      </c>
      <c r="F213">
        <v>8.25</v>
      </c>
      <c r="G213">
        <v>12.75</v>
      </c>
      <c r="H213">
        <v>44</v>
      </c>
    </row>
    <row r="214" spans="1:8" x14ac:dyDescent="0.25">
      <c r="A214" t="s">
        <v>760</v>
      </c>
      <c r="B214" t="s">
        <v>232</v>
      </c>
      <c r="C214" t="s">
        <v>361</v>
      </c>
      <c r="D214" t="s">
        <v>60</v>
      </c>
      <c r="E214">
        <v>49.75</v>
      </c>
      <c r="F214">
        <v>4.75</v>
      </c>
      <c r="G214">
        <v>8.25</v>
      </c>
      <c r="H214">
        <v>36.75</v>
      </c>
    </row>
    <row r="215" spans="1:8" x14ac:dyDescent="0.25">
      <c r="A215" t="s">
        <v>760</v>
      </c>
      <c r="B215" t="s">
        <v>232</v>
      </c>
      <c r="C215" t="s">
        <v>363</v>
      </c>
      <c r="D215" t="s">
        <v>31</v>
      </c>
      <c r="E215">
        <v>6.5</v>
      </c>
      <c r="F215">
        <v>1</v>
      </c>
      <c r="G215">
        <v>2.5</v>
      </c>
      <c r="H215">
        <v>3</v>
      </c>
    </row>
    <row r="216" spans="1:8" x14ac:dyDescent="0.25">
      <c r="A216" t="s">
        <v>760</v>
      </c>
      <c r="B216" t="s">
        <v>232</v>
      </c>
      <c r="C216" t="s">
        <v>363</v>
      </c>
      <c r="D216" t="s">
        <v>32</v>
      </c>
      <c r="E216">
        <v>252.5</v>
      </c>
      <c r="F216">
        <v>22.5</v>
      </c>
      <c r="G216">
        <v>58</v>
      </c>
      <c r="H216">
        <v>172</v>
      </c>
    </row>
    <row r="217" spans="1:8" x14ac:dyDescent="0.25">
      <c r="A217" t="s">
        <v>760</v>
      </c>
      <c r="B217" t="s">
        <v>232</v>
      </c>
      <c r="C217" t="s">
        <v>363</v>
      </c>
      <c r="D217" t="s">
        <v>33</v>
      </c>
      <c r="E217">
        <v>86.5</v>
      </c>
      <c r="F217">
        <v>6</v>
      </c>
      <c r="G217">
        <v>13.75</v>
      </c>
      <c r="H217">
        <v>66.75</v>
      </c>
    </row>
    <row r="218" spans="1:8" x14ac:dyDescent="0.25">
      <c r="A218" t="s">
        <v>760</v>
      </c>
      <c r="B218" t="s">
        <v>232</v>
      </c>
      <c r="C218" t="s">
        <v>363</v>
      </c>
      <c r="D218" t="s">
        <v>37</v>
      </c>
      <c r="E218">
        <v>10.25</v>
      </c>
      <c r="F218">
        <v>1</v>
      </c>
      <c r="G218">
        <v>1.5</v>
      </c>
      <c r="H218">
        <v>7.75</v>
      </c>
    </row>
    <row r="219" spans="1:8" x14ac:dyDescent="0.25">
      <c r="A219" t="s">
        <v>760</v>
      </c>
      <c r="B219" t="s">
        <v>232</v>
      </c>
      <c r="C219" t="s">
        <v>363</v>
      </c>
      <c r="D219" t="s">
        <v>44</v>
      </c>
      <c r="E219">
        <v>476.75</v>
      </c>
      <c r="F219">
        <v>49.5</v>
      </c>
      <c r="G219">
        <v>87</v>
      </c>
      <c r="H219">
        <v>340.25</v>
      </c>
    </row>
    <row r="220" spans="1:8" x14ac:dyDescent="0.25">
      <c r="A220" t="s">
        <v>760</v>
      </c>
      <c r="B220" t="s">
        <v>232</v>
      </c>
      <c r="C220" t="s">
        <v>363</v>
      </c>
      <c r="D220" t="s">
        <v>47</v>
      </c>
      <c r="E220">
        <v>109</v>
      </c>
      <c r="F220">
        <v>9.75</v>
      </c>
      <c r="G220">
        <v>23.75</v>
      </c>
      <c r="H220">
        <v>75.5</v>
      </c>
    </row>
    <row r="221" spans="1:8" x14ac:dyDescent="0.25">
      <c r="A221" t="s">
        <v>760</v>
      </c>
      <c r="B221" t="s">
        <v>232</v>
      </c>
      <c r="C221" t="s">
        <v>363</v>
      </c>
      <c r="D221" t="s">
        <v>48</v>
      </c>
      <c r="E221">
        <v>127.75</v>
      </c>
      <c r="F221">
        <v>13.5</v>
      </c>
      <c r="G221">
        <v>28.75</v>
      </c>
      <c r="H221">
        <v>85.5</v>
      </c>
    </row>
    <row r="222" spans="1:8" x14ac:dyDescent="0.25">
      <c r="A222" t="s">
        <v>760</v>
      </c>
      <c r="B222" t="s">
        <v>232</v>
      </c>
      <c r="C222" t="s">
        <v>363</v>
      </c>
      <c r="D222" t="s">
        <v>51</v>
      </c>
      <c r="E222">
        <v>106.25</v>
      </c>
      <c r="F222">
        <v>8.75</v>
      </c>
      <c r="G222">
        <v>22</v>
      </c>
      <c r="H222">
        <v>75.5</v>
      </c>
    </row>
    <row r="223" spans="1:8" x14ac:dyDescent="0.25">
      <c r="A223" t="s">
        <v>760</v>
      </c>
      <c r="B223" t="s">
        <v>232</v>
      </c>
      <c r="C223" t="s">
        <v>363</v>
      </c>
      <c r="D223" t="s">
        <v>52</v>
      </c>
      <c r="E223">
        <v>112.25</v>
      </c>
      <c r="F223">
        <v>9.25</v>
      </c>
      <c r="G223">
        <v>19.75</v>
      </c>
      <c r="H223">
        <v>83.25</v>
      </c>
    </row>
    <row r="224" spans="1:8" x14ac:dyDescent="0.25">
      <c r="A224" t="s">
        <v>760</v>
      </c>
      <c r="B224" t="s">
        <v>232</v>
      </c>
      <c r="C224" t="s">
        <v>363</v>
      </c>
      <c r="D224" t="s">
        <v>55</v>
      </c>
      <c r="E224">
        <v>121</v>
      </c>
      <c r="F224">
        <v>10.75</v>
      </c>
      <c r="G224">
        <v>22.75</v>
      </c>
      <c r="H224">
        <v>87.5</v>
      </c>
    </row>
    <row r="225" spans="1:8" x14ac:dyDescent="0.25">
      <c r="A225" t="s">
        <v>917</v>
      </c>
      <c r="B225" t="s">
        <v>232</v>
      </c>
      <c r="D225" t="s">
        <v>184</v>
      </c>
      <c r="E225">
        <v>2482.48</v>
      </c>
      <c r="F225">
        <v>236</v>
      </c>
      <c r="G225">
        <v>461.93</v>
      </c>
      <c r="H225">
        <v>1784.55</v>
      </c>
    </row>
    <row r="226" spans="1:8" x14ac:dyDescent="0.25">
      <c r="A226" t="s">
        <v>917</v>
      </c>
      <c r="B226" t="s">
        <v>232</v>
      </c>
      <c r="C226" t="s">
        <v>1050</v>
      </c>
      <c r="D226" t="s">
        <v>35</v>
      </c>
      <c r="E226">
        <v>20.25</v>
      </c>
      <c r="F226">
        <v>1.5</v>
      </c>
      <c r="G226">
        <v>2.75</v>
      </c>
      <c r="H226">
        <v>16</v>
      </c>
    </row>
    <row r="227" spans="1:8" x14ac:dyDescent="0.25">
      <c r="A227" t="s">
        <v>917</v>
      </c>
      <c r="B227" t="s">
        <v>232</v>
      </c>
      <c r="C227" t="s">
        <v>1050</v>
      </c>
      <c r="D227" t="s">
        <v>43</v>
      </c>
      <c r="E227">
        <v>92.22999999999999</v>
      </c>
      <c r="F227">
        <v>7.75</v>
      </c>
      <c r="G227">
        <v>18.429999999999996</v>
      </c>
      <c r="H227">
        <v>66.05</v>
      </c>
    </row>
    <row r="228" spans="1:8" x14ac:dyDescent="0.25">
      <c r="A228" t="s">
        <v>917</v>
      </c>
      <c r="B228" t="s">
        <v>232</v>
      </c>
      <c r="C228" t="s">
        <v>1050</v>
      </c>
      <c r="D228" t="s">
        <v>58</v>
      </c>
      <c r="E228">
        <v>64</v>
      </c>
      <c r="F228">
        <v>7.75</v>
      </c>
      <c r="G228">
        <v>13</v>
      </c>
      <c r="H228">
        <v>43.25</v>
      </c>
    </row>
    <row r="229" spans="1:8" x14ac:dyDescent="0.25">
      <c r="A229" t="s">
        <v>917</v>
      </c>
      <c r="B229" t="s">
        <v>232</v>
      </c>
      <c r="C229" t="s">
        <v>362</v>
      </c>
      <c r="D229" t="s">
        <v>34</v>
      </c>
      <c r="E229">
        <v>156</v>
      </c>
      <c r="F229">
        <v>13</v>
      </c>
      <c r="G229">
        <v>23.25</v>
      </c>
      <c r="H229">
        <v>119.75</v>
      </c>
    </row>
    <row r="230" spans="1:8" x14ac:dyDescent="0.25">
      <c r="A230" t="s">
        <v>917</v>
      </c>
      <c r="B230" t="s">
        <v>232</v>
      </c>
      <c r="C230" t="s">
        <v>362</v>
      </c>
      <c r="D230" t="s">
        <v>36</v>
      </c>
      <c r="E230">
        <v>159</v>
      </c>
      <c r="F230">
        <v>14.25</v>
      </c>
      <c r="G230">
        <v>31</v>
      </c>
      <c r="H230">
        <v>113.75</v>
      </c>
    </row>
    <row r="231" spans="1:8" x14ac:dyDescent="0.25">
      <c r="A231" t="s">
        <v>917</v>
      </c>
      <c r="B231" t="s">
        <v>232</v>
      </c>
      <c r="C231" t="s">
        <v>362</v>
      </c>
      <c r="D231" t="s">
        <v>38</v>
      </c>
      <c r="E231">
        <v>63.5</v>
      </c>
      <c r="F231">
        <v>6</v>
      </c>
      <c r="G231">
        <v>6.75</v>
      </c>
      <c r="H231">
        <v>50.75</v>
      </c>
    </row>
    <row r="232" spans="1:8" x14ac:dyDescent="0.25">
      <c r="A232" t="s">
        <v>917</v>
      </c>
      <c r="B232" t="s">
        <v>232</v>
      </c>
      <c r="C232" t="s">
        <v>362</v>
      </c>
      <c r="D232" t="s">
        <v>45</v>
      </c>
      <c r="E232">
        <v>35.75</v>
      </c>
      <c r="F232">
        <v>2.25</v>
      </c>
      <c r="G232">
        <v>4.75</v>
      </c>
      <c r="H232">
        <v>28.75</v>
      </c>
    </row>
    <row r="233" spans="1:8" x14ac:dyDescent="0.25">
      <c r="A233" t="s">
        <v>917</v>
      </c>
      <c r="B233" t="s">
        <v>232</v>
      </c>
      <c r="C233" t="s">
        <v>362</v>
      </c>
      <c r="D233" t="s">
        <v>49</v>
      </c>
      <c r="E233">
        <v>85</v>
      </c>
      <c r="F233">
        <v>9.75</v>
      </c>
      <c r="G233">
        <v>9.5</v>
      </c>
      <c r="H233">
        <v>65.75</v>
      </c>
    </row>
    <row r="234" spans="1:8" x14ac:dyDescent="0.25">
      <c r="A234" t="s">
        <v>917</v>
      </c>
      <c r="B234" t="s">
        <v>232</v>
      </c>
      <c r="C234" t="s">
        <v>362</v>
      </c>
      <c r="D234" t="s">
        <v>50</v>
      </c>
      <c r="E234">
        <v>27.25</v>
      </c>
      <c r="F234">
        <v>2</v>
      </c>
      <c r="G234">
        <v>4.5</v>
      </c>
      <c r="H234">
        <v>20.75</v>
      </c>
    </row>
    <row r="235" spans="1:8" x14ac:dyDescent="0.25">
      <c r="A235" t="s">
        <v>917</v>
      </c>
      <c r="B235" t="s">
        <v>232</v>
      </c>
      <c r="C235" t="s">
        <v>362</v>
      </c>
      <c r="D235" t="s">
        <v>53</v>
      </c>
      <c r="E235">
        <v>9.5</v>
      </c>
      <c r="F235">
        <v>1.5</v>
      </c>
      <c r="G235">
        <v>0.75</v>
      </c>
      <c r="H235">
        <v>7.25</v>
      </c>
    </row>
    <row r="236" spans="1:8" x14ac:dyDescent="0.25">
      <c r="A236" t="s">
        <v>917</v>
      </c>
      <c r="B236" t="s">
        <v>232</v>
      </c>
      <c r="C236" t="s">
        <v>362</v>
      </c>
      <c r="D236" t="s">
        <v>56</v>
      </c>
      <c r="E236">
        <v>43</v>
      </c>
      <c r="F236">
        <v>3.5</v>
      </c>
      <c r="G236">
        <v>5.75</v>
      </c>
      <c r="H236">
        <v>33.75</v>
      </c>
    </row>
    <row r="237" spans="1:8" x14ac:dyDescent="0.25">
      <c r="A237" t="s">
        <v>917</v>
      </c>
      <c r="B237" t="s">
        <v>232</v>
      </c>
      <c r="C237" t="s">
        <v>362</v>
      </c>
      <c r="D237" t="s">
        <v>57</v>
      </c>
      <c r="E237">
        <v>67</v>
      </c>
      <c r="F237">
        <v>8.75</v>
      </c>
      <c r="G237">
        <v>5.75</v>
      </c>
      <c r="H237">
        <v>52.5</v>
      </c>
    </row>
    <row r="238" spans="1:8" x14ac:dyDescent="0.25">
      <c r="A238" t="s">
        <v>917</v>
      </c>
      <c r="B238" t="s">
        <v>232</v>
      </c>
      <c r="C238" t="s">
        <v>362</v>
      </c>
      <c r="D238" t="s">
        <v>59</v>
      </c>
      <c r="E238">
        <v>18</v>
      </c>
      <c r="F238">
        <v>1.5</v>
      </c>
      <c r="G238">
        <v>1.5</v>
      </c>
      <c r="H238">
        <v>15</v>
      </c>
    </row>
    <row r="239" spans="1:8" x14ac:dyDescent="0.25">
      <c r="A239" t="s">
        <v>917</v>
      </c>
      <c r="B239" t="s">
        <v>232</v>
      </c>
      <c r="C239" t="s">
        <v>361</v>
      </c>
      <c r="D239" t="s">
        <v>243</v>
      </c>
      <c r="E239">
        <v>4.75</v>
      </c>
      <c r="F239">
        <v>0.5</v>
      </c>
      <c r="G239">
        <v>0.5</v>
      </c>
      <c r="H239">
        <v>3.75</v>
      </c>
    </row>
    <row r="240" spans="1:8" x14ac:dyDescent="0.25">
      <c r="A240" t="s">
        <v>917</v>
      </c>
      <c r="B240" t="s">
        <v>232</v>
      </c>
      <c r="C240" t="s">
        <v>361</v>
      </c>
      <c r="D240" t="s">
        <v>40</v>
      </c>
      <c r="E240">
        <v>50.75</v>
      </c>
      <c r="F240">
        <v>4.25</v>
      </c>
      <c r="G240">
        <v>10</v>
      </c>
      <c r="H240">
        <v>36.5</v>
      </c>
    </row>
    <row r="241" spans="1:8" x14ac:dyDescent="0.25">
      <c r="A241" t="s">
        <v>917</v>
      </c>
      <c r="B241" t="s">
        <v>232</v>
      </c>
      <c r="C241" t="s">
        <v>361</v>
      </c>
      <c r="D241" t="s">
        <v>42</v>
      </c>
      <c r="E241">
        <v>42</v>
      </c>
      <c r="F241">
        <v>3.75</v>
      </c>
      <c r="G241">
        <v>6.75</v>
      </c>
      <c r="H241">
        <v>31.5</v>
      </c>
    </row>
    <row r="242" spans="1:8" x14ac:dyDescent="0.25">
      <c r="A242" t="s">
        <v>917</v>
      </c>
      <c r="B242" t="s">
        <v>232</v>
      </c>
      <c r="C242" t="s">
        <v>361</v>
      </c>
      <c r="D242" t="s">
        <v>46</v>
      </c>
      <c r="E242">
        <v>9</v>
      </c>
      <c r="F242">
        <v>1</v>
      </c>
      <c r="G242">
        <v>1.5</v>
      </c>
      <c r="H242">
        <v>6.5</v>
      </c>
    </row>
    <row r="243" spans="1:8" x14ac:dyDescent="0.25">
      <c r="A243" t="s">
        <v>917</v>
      </c>
      <c r="B243" t="s">
        <v>232</v>
      </c>
      <c r="C243" t="s">
        <v>361</v>
      </c>
      <c r="D243" t="s">
        <v>54</v>
      </c>
      <c r="E243">
        <v>121.75</v>
      </c>
      <c r="F243">
        <v>10.25</v>
      </c>
      <c r="G243">
        <v>26.5</v>
      </c>
      <c r="H243">
        <v>85</v>
      </c>
    </row>
    <row r="244" spans="1:8" x14ac:dyDescent="0.25">
      <c r="A244" t="s">
        <v>917</v>
      </c>
      <c r="B244" t="s">
        <v>232</v>
      </c>
      <c r="C244" t="s">
        <v>361</v>
      </c>
      <c r="D244" t="s">
        <v>60</v>
      </c>
      <c r="E244">
        <v>44.75</v>
      </c>
      <c r="F244">
        <v>5</v>
      </c>
      <c r="G244">
        <v>7.25</v>
      </c>
      <c r="H244">
        <v>32.5</v>
      </c>
    </row>
    <row r="245" spans="1:8" x14ac:dyDescent="0.25">
      <c r="A245" t="s">
        <v>917</v>
      </c>
      <c r="B245" t="s">
        <v>232</v>
      </c>
      <c r="C245" t="s">
        <v>363</v>
      </c>
      <c r="D245" t="s">
        <v>31</v>
      </c>
      <c r="E245">
        <v>8.5</v>
      </c>
      <c r="F245">
        <v>1</v>
      </c>
      <c r="G245">
        <v>2.5</v>
      </c>
      <c r="H245">
        <v>5</v>
      </c>
    </row>
    <row r="246" spans="1:8" x14ac:dyDescent="0.25">
      <c r="A246" t="s">
        <v>917</v>
      </c>
      <c r="B246" t="s">
        <v>232</v>
      </c>
      <c r="C246" t="s">
        <v>363</v>
      </c>
      <c r="D246" t="s">
        <v>32</v>
      </c>
      <c r="E246">
        <v>251.75</v>
      </c>
      <c r="F246">
        <v>22.75</v>
      </c>
      <c r="G246">
        <v>60.25</v>
      </c>
      <c r="H246">
        <v>168.75</v>
      </c>
    </row>
    <row r="247" spans="1:8" x14ac:dyDescent="0.25">
      <c r="A247" t="s">
        <v>917</v>
      </c>
      <c r="B247" t="s">
        <v>232</v>
      </c>
      <c r="C247" t="s">
        <v>363</v>
      </c>
      <c r="D247" t="s">
        <v>33</v>
      </c>
      <c r="E247">
        <v>87.25</v>
      </c>
      <c r="F247">
        <v>7</v>
      </c>
      <c r="G247">
        <v>14</v>
      </c>
      <c r="H247">
        <v>66.25</v>
      </c>
    </row>
    <row r="248" spans="1:8" x14ac:dyDescent="0.25">
      <c r="A248" t="s">
        <v>917</v>
      </c>
      <c r="B248" t="s">
        <v>232</v>
      </c>
      <c r="C248" t="s">
        <v>363</v>
      </c>
      <c r="D248" t="s">
        <v>37</v>
      </c>
      <c r="E248">
        <v>9.5</v>
      </c>
      <c r="F248">
        <v>1</v>
      </c>
      <c r="G248">
        <v>1.5</v>
      </c>
      <c r="H248">
        <v>7</v>
      </c>
    </row>
    <row r="249" spans="1:8" x14ac:dyDescent="0.25">
      <c r="A249" t="s">
        <v>917</v>
      </c>
      <c r="B249" t="s">
        <v>232</v>
      </c>
      <c r="C249" t="s">
        <v>363</v>
      </c>
      <c r="D249" t="s">
        <v>44</v>
      </c>
      <c r="E249">
        <v>449.5</v>
      </c>
      <c r="F249">
        <v>48.25</v>
      </c>
      <c r="G249">
        <v>89.75</v>
      </c>
      <c r="H249">
        <v>311.5</v>
      </c>
    </row>
    <row r="250" spans="1:8" x14ac:dyDescent="0.25">
      <c r="A250" t="s">
        <v>917</v>
      </c>
      <c r="B250" t="s">
        <v>232</v>
      </c>
      <c r="C250" t="s">
        <v>363</v>
      </c>
      <c r="D250" t="s">
        <v>47</v>
      </c>
      <c r="E250">
        <v>102.25</v>
      </c>
      <c r="F250">
        <v>9.75</v>
      </c>
      <c r="G250">
        <v>23.5</v>
      </c>
      <c r="H250">
        <v>69</v>
      </c>
    </row>
    <row r="251" spans="1:8" x14ac:dyDescent="0.25">
      <c r="A251" t="s">
        <v>917</v>
      </c>
      <c r="B251" t="s">
        <v>232</v>
      </c>
      <c r="C251" t="s">
        <v>363</v>
      </c>
      <c r="D251" t="s">
        <v>48</v>
      </c>
      <c r="E251">
        <v>123.75</v>
      </c>
      <c r="F251">
        <v>14</v>
      </c>
      <c r="G251">
        <v>26.25</v>
      </c>
      <c r="H251">
        <v>83.5</v>
      </c>
    </row>
    <row r="252" spans="1:8" x14ac:dyDescent="0.25">
      <c r="A252" t="s">
        <v>917</v>
      </c>
      <c r="B252" t="s">
        <v>232</v>
      </c>
      <c r="C252" t="s">
        <v>363</v>
      </c>
      <c r="D252" t="s">
        <v>51</v>
      </c>
      <c r="E252">
        <v>108.75</v>
      </c>
      <c r="F252">
        <v>7.25</v>
      </c>
      <c r="G252">
        <v>21</v>
      </c>
      <c r="H252">
        <v>80.5</v>
      </c>
    </row>
    <row r="253" spans="1:8" x14ac:dyDescent="0.25">
      <c r="A253" t="s">
        <v>917</v>
      </c>
      <c r="B253" t="s">
        <v>232</v>
      </c>
      <c r="C253" t="s">
        <v>363</v>
      </c>
      <c r="D253" t="s">
        <v>52</v>
      </c>
      <c r="E253">
        <v>110.25</v>
      </c>
      <c r="F253">
        <v>9.25</v>
      </c>
      <c r="G253">
        <v>19.25</v>
      </c>
      <c r="H253">
        <v>81.75</v>
      </c>
    </row>
    <row r="254" spans="1:8" x14ac:dyDescent="0.25">
      <c r="A254" t="s">
        <v>917</v>
      </c>
      <c r="B254" t="s">
        <v>232</v>
      </c>
      <c r="C254" t="s">
        <v>363</v>
      </c>
      <c r="D254" t="s">
        <v>55</v>
      </c>
      <c r="E254">
        <v>117.5</v>
      </c>
      <c r="F254">
        <v>11.5</v>
      </c>
      <c r="G254">
        <v>23.75</v>
      </c>
      <c r="H254">
        <v>82.25</v>
      </c>
    </row>
    <row r="255" spans="1:8" x14ac:dyDescent="0.25">
      <c r="A255" t="s">
        <v>1010</v>
      </c>
      <c r="B255" t="s">
        <v>232</v>
      </c>
      <c r="D255" t="s">
        <v>31</v>
      </c>
      <c r="E255">
        <v>9</v>
      </c>
      <c r="F255">
        <v>1</v>
      </c>
      <c r="G255">
        <v>2.25</v>
      </c>
      <c r="H255">
        <v>5.75</v>
      </c>
    </row>
    <row r="256" spans="1:8" x14ac:dyDescent="0.25">
      <c r="A256" t="s">
        <v>1010</v>
      </c>
      <c r="B256" t="s">
        <v>232</v>
      </c>
      <c r="D256" t="s">
        <v>32</v>
      </c>
      <c r="E256">
        <v>250.25</v>
      </c>
      <c r="F256">
        <v>23</v>
      </c>
      <c r="G256">
        <v>58.75</v>
      </c>
      <c r="H256">
        <v>168.5</v>
      </c>
    </row>
    <row r="257" spans="1:8" x14ac:dyDescent="0.25">
      <c r="A257" t="s">
        <v>1010</v>
      </c>
      <c r="B257" t="s">
        <v>232</v>
      </c>
      <c r="D257" t="s">
        <v>184</v>
      </c>
      <c r="E257">
        <v>2375.48</v>
      </c>
      <c r="F257">
        <v>235.85</v>
      </c>
      <c r="G257">
        <v>461.29</v>
      </c>
      <c r="H257">
        <v>1678.3400000000001</v>
      </c>
    </row>
    <row r="258" spans="1:8" x14ac:dyDescent="0.25">
      <c r="A258" t="s">
        <v>1010</v>
      </c>
      <c r="B258" t="s">
        <v>232</v>
      </c>
      <c r="D258" t="s">
        <v>33</v>
      </c>
      <c r="E258">
        <v>80.25</v>
      </c>
      <c r="F258">
        <v>7</v>
      </c>
      <c r="G258">
        <v>14.5</v>
      </c>
      <c r="H258">
        <v>58.75</v>
      </c>
    </row>
    <row r="259" spans="1:8" x14ac:dyDescent="0.25">
      <c r="A259" t="s">
        <v>1010</v>
      </c>
      <c r="B259" t="s">
        <v>232</v>
      </c>
      <c r="D259" t="s">
        <v>34</v>
      </c>
      <c r="E259">
        <v>158.5</v>
      </c>
      <c r="F259">
        <v>13</v>
      </c>
      <c r="G259">
        <v>23.75</v>
      </c>
      <c r="H259">
        <v>121.75</v>
      </c>
    </row>
    <row r="260" spans="1:8" x14ac:dyDescent="0.25">
      <c r="A260" t="s">
        <v>1010</v>
      </c>
      <c r="B260" t="s">
        <v>232</v>
      </c>
      <c r="D260" t="s">
        <v>243</v>
      </c>
      <c r="E260">
        <v>4.25</v>
      </c>
      <c r="F260">
        <v>0.5</v>
      </c>
      <c r="G260">
        <v>0.5</v>
      </c>
      <c r="H260">
        <v>3.25</v>
      </c>
    </row>
    <row r="261" spans="1:8" x14ac:dyDescent="0.25">
      <c r="A261" t="s">
        <v>1010</v>
      </c>
      <c r="B261" t="s">
        <v>232</v>
      </c>
      <c r="D261" t="s">
        <v>35</v>
      </c>
      <c r="E261">
        <v>19</v>
      </c>
      <c r="F261">
        <v>1.5</v>
      </c>
      <c r="G261">
        <v>2.75</v>
      </c>
      <c r="H261">
        <v>14.75</v>
      </c>
    </row>
    <row r="262" spans="1:8" x14ac:dyDescent="0.25">
      <c r="A262" t="s">
        <v>1010</v>
      </c>
      <c r="B262" t="s">
        <v>232</v>
      </c>
      <c r="D262" t="s">
        <v>36</v>
      </c>
      <c r="E262">
        <v>162</v>
      </c>
      <c r="F262">
        <v>15.25</v>
      </c>
      <c r="G262">
        <v>29.25</v>
      </c>
      <c r="H262">
        <v>117.5</v>
      </c>
    </row>
    <row r="263" spans="1:8" x14ac:dyDescent="0.25">
      <c r="A263" t="s">
        <v>1010</v>
      </c>
      <c r="B263" t="s">
        <v>232</v>
      </c>
      <c r="D263" t="s">
        <v>37</v>
      </c>
      <c r="E263">
        <v>10.75</v>
      </c>
      <c r="F263">
        <v>1</v>
      </c>
      <c r="G263">
        <v>1.5</v>
      </c>
      <c r="H263">
        <v>8.25</v>
      </c>
    </row>
    <row r="264" spans="1:8" x14ac:dyDescent="0.25">
      <c r="A264" t="s">
        <v>1010</v>
      </c>
      <c r="B264" t="s">
        <v>232</v>
      </c>
      <c r="D264" t="s">
        <v>38</v>
      </c>
      <c r="E264">
        <v>61.5</v>
      </c>
      <c r="F264">
        <v>6</v>
      </c>
      <c r="G264">
        <v>6.5</v>
      </c>
      <c r="H264">
        <v>49</v>
      </c>
    </row>
    <row r="265" spans="1:8" x14ac:dyDescent="0.25">
      <c r="A265" t="s">
        <v>1010</v>
      </c>
      <c r="B265" t="s">
        <v>232</v>
      </c>
      <c r="D265" t="s">
        <v>40</v>
      </c>
      <c r="E265">
        <v>46</v>
      </c>
      <c r="F265">
        <v>4.25</v>
      </c>
      <c r="G265">
        <v>10.75</v>
      </c>
      <c r="H265">
        <v>31</v>
      </c>
    </row>
    <row r="266" spans="1:8" x14ac:dyDescent="0.25">
      <c r="A266" t="s">
        <v>1010</v>
      </c>
      <c r="B266" t="s">
        <v>232</v>
      </c>
      <c r="D266" t="s">
        <v>42</v>
      </c>
      <c r="E266">
        <v>37.5</v>
      </c>
      <c r="F266">
        <v>3.75</v>
      </c>
      <c r="G266">
        <v>6.75</v>
      </c>
      <c r="H266">
        <v>27</v>
      </c>
    </row>
    <row r="267" spans="1:8" x14ac:dyDescent="0.25">
      <c r="A267" t="s">
        <v>1010</v>
      </c>
      <c r="B267" t="s">
        <v>232</v>
      </c>
      <c r="D267" t="s">
        <v>43</v>
      </c>
      <c r="E267">
        <v>87.72999999999999</v>
      </c>
      <c r="F267">
        <v>7.6</v>
      </c>
      <c r="G267">
        <v>17.79</v>
      </c>
      <c r="H267">
        <v>62.339999999999996</v>
      </c>
    </row>
    <row r="268" spans="1:8" x14ac:dyDescent="0.25">
      <c r="A268" t="s">
        <v>1010</v>
      </c>
      <c r="B268" t="s">
        <v>232</v>
      </c>
      <c r="D268" t="s">
        <v>44</v>
      </c>
      <c r="E268">
        <v>428.75</v>
      </c>
      <c r="F268">
        <v>46.25</v>
      </c>
      <c r="G268">
        <v>88.75</v>
      </c>
      <c r="H268">
        <v>293.75</v>
      </c>
    </row>
    <row r="269" spans="1:8" x14ac:dyDescent="0.25">
      <c r="A269" t="s">
        <v>1010</v>
      </c>
      <c r="B269" t="s">
        <v>232</v>
      </c>
      <c r="D269" t="s">
        <v>45</v>
      </c>
      <c r="E269">
        <v>31.25</v>
      </c>
      <c r="F269">
        <v>2.5</v>
      </c>
      <c r="G269">
        <v>5.5</v>
      </c>
      <c r="H269">
        <v>23.25</v>
      </c>
    </row>
    <row r="270" spans="1:8" x14ac:dyDescent="0.25">
      <c r="A270" t="s">
        <v>1010</v>
      </c>
      <c r="B270" t="s">
        <v>232</v>
      </c>
      <c r="D270" t="s">
        <v>46</v>
      </c>
      <c r="E270">
        <v>8.5</v>
      </c>
      <c r="F270">
        <v>1</v>
      </c>
      <c r="G270">
        <v>1.5</v>
      </c>
      <c r="H270">
        <v>6</v>
      </c>
    </row>
    <row r="271" spans="1:8" x14ac:dyDescent="0.25">
      <c r="A271" t="s">
        <v>1010</v>
      </c>
      <c r="B271" t="s">
        <v>232</v>
      </c>
      <c r="D271" t="s">
        <v>47</v>
      </c>
      <c r="E271">
        <v>101.25</v>
      </c>
      <c r="F271">
        <v>9.75</v>
      </c>
      <c r="G271">
        <v>23.25</v>
      </c>
      <c r="H271">
        <v>68.25</v>
      </c>
    </row>
    <row r="272" spans="1:8" x14ac:dyDescent="0.25">
      <c r="A272" t="s">
        <v>1010</v>
      </c>
      <c r="B272" t="s">
        <v>232</v>
      </c>
      <c r="D272" t="s">
        <v>48</v>
      </c>
      <c r="E272">
        <v>113</v>
      </c>
      <c r="F272">
        <v>13.25</v>
      </c>
      <c r="G272">
        <v>27.25</v>
      </c>
      <c r="H272">
        <v>72.5</v>
      </c>
    </row>
    <row r="273" spans="1:8" x14ac:dyDescent="0.25">
      <c r="A273" t="s">
        <v>1010</v>
      </c>
      <c r="B273" t="s">
        <v>232</v>
      </c>
      <c r="D273" t="s">
        <v>49</v>
      </c>
      <c r="E273">
        <v>81.5</v>
      </c>
      <c r="F273">
        <v>9.75</v>
      </c>
      <c r="G273">
        <v>10.25</v>
      </c>
      <c r="H273">
        <v>61.5</v>
      </c>
    </row>
    <row r="274" spans="1:8" x14ac:dyDescent="0.25">
      <c r="A274" t="s">
        <v>1010</v>
      </c>
      <c r="B274" t="s">
        <v>232</v>
      </c>
      <c r="D274" t="s">
        <v>50</v>
      </c>
      <c r="E274">
        <v>21.25</v>
      </c>
      <c r="F274">
        <v>2.5</v>
      </c>
      <c r="G274">
        <v>4.5</v>
      </c>
      <c r="H274">
        <v>14.25</v>
      </c>
    </row>
    <row r="275" spans="1:8" x14ac:dyDescent="0.25">
      <c r="A275" t="s">
        <v>1010</v>
      </c>
      <c r="B275" t="s">
        <v>232</v>
      </c>
      <c r="D275" t="s">
        <v>51</v>
      </c>
      <c r="E275">
        <v>110.75</v>
      </c>
      <c r="F275">
        <v>11.5</v>
      </c>
      <c r="G275">
        <v>18</v>
      </c>
      <c r="H275">
        <v>81.25</v>
      </c>
    </row>
    <row r="276" spans="1:8" x14ac:dyDescent="0.25">
      <c r="A276" t="s">
        <v>1010</v>
      </c>
      <c r="B276" t="s">
        <v>232</v>
      </c>
      <c r="D276" t="s">
        <v>52</v>
      </c>
      <c r="E276">
        <v>99.5</v>
      </c>
      <c r="F276">
        <v>8.25</v>
      </c>
      <c r="G276">
        <v>19</v>
      </c>
      <c r="H276">
        <v>72.25</v>
      </c>
    </row>
    <row r="277" spans="1:8" x14ac:dyDescent="0.25">
      <c r="A277" t="s">
        <v>1010</v>
      </c>
      <c r="B277" t="s">
        <v>232</v>
      </c>
      <c r="D277" t="s">
        <v>53</v>
      </c>
      <c r="E277">
        <v>9.75</v>
      </c>
      <c r="F277">
        <v>0.75</v>
      </c>
      <c r="G277">
        <v>1.5</v>
      </c>
      <c r="H277">
        <v>7.5</v>
      </c>
    </row>
    <row r="278" spans="1:8" x14ac:dyDescent="0.25">
      <c r="A278" t="s">
        <v>1010</v>
      </c>
      <c r="B278" t="s">
        <v>232</v>
      </c>
      <c r="D278" t="s">
        <v>54</v>
      </c>
      <c r="E278">
        <v>112.5</v>
      </c>
      <c r="F278">
        <v>10.75</v>
      </c>
      <c r="G278">
        <v>23.75</v>
      </c>
      <c r="H278">
        <v>78</v>
      </c>
    </row>
    <row r="279" spans="1:8" x14ac:dyDescent="0.25">
      <c r="A279" t="s">
        <v>1010</v>
      </c>
      <c r="B279" t="s">
        <v>232</v>
      </c>
      <c r="D279" t="s">
        <v>55</v>
      </c>
      <c r="E279">
        <v>118.25</v>
      </c>
      <c r="F279">
        <v>11</v>
      </c>
      <c r="G279">
        <v>24.5</v>
      </c>
      <c r="H279">
        <v>82.75</v>
      </c>
    </row>
    <row r="280" spans="1:8" x14ac:dyDescent="0.25">
      <c r="A280" t="s">
        <v>1010</v>
      </c>
      <c r="B280" t="s">
        <v>232</v>
      </c>
      <c r="D280" t="s">
        <v>56</v>
      </c>
      <c r="E280">
        <v>36.75</v>
      </c>
      <c r="F280">
        <v>4.75</v>
      </c>
      <c r="G280">
        <v>5</v>
      </c>
      <c r="H280">
        <v>27</v>
      </c>
    </row>
    <row r="281" spans="1:8" x14ac:dyDescent="0.25">
      <c r="A281" t="s">
        <v>1010</v>
      </c>
      <c r="B281" t="s">
        <v>232</v>
      </c>
      <c r="D281" t="s">
        <v>57</v>
      </c>
      <c r="E281">
        <v>56.5</v>
      </c>
      <c r="F281">
        <v>7</v>
      </c>
      <c r="G281">
        <v>10.5</v>
      </c>
      <c r="H281">
        <v>39</v>
      </c>
    </row>
    <row r="282" spans="1:8" x14ac:dyDescent="0.25">
      <c r="A282" t="s">
        <v>1010</v>
      </c>
      <c r="B282" t="s">
        <v>232</v>
      </c>
      <c r="D282" t="s">
        <v>58</v>
      </c>
      <c r="E282">
        <v>58.25</v>
      </c>
      <c r="F282">
        <v>7</v>
      </c>
      <c r="G282">
        <v>13</v>
      </c>
      <c r="H282">
        <v>38.25</v>
      </c>
    </row>
    <row r="283" spans="1:8" x14ac:dyDescent="0.25">
      <c r="A283" t="s">
        <v>1010</v>
      </c>
      <c r="B283" t="s">
        <v>232</v>
      </c>
      <c r="D283" t="s">
        <v>59</v>
      </c>
      <c r="E283">
        <v>17</v>
      </c>
      <c r="F283">
        <v>1.5</v>
      </c>
      <c r="G283">
        <v>1.5</v>
      </c>
      <c r="H283">
        <v>14</v>
      </c>
    </row>
    <row r="284" spans="1:8" x14ac:dyDescent="0.25">
      <c r="A284" t="s">
        <v>1010</v>
      </c>
      <c r="B284" t="s">
        <v>232</v>
      </c>
      <c r="D284" t="s">
        <v>60</v>
      </c>
      <c r="E284">
        <v>44</v>
      </c>
      <c r="F284">
        <v>4.5</v>
      </c>
      <c r="G284">
        <v>8.5</v>
      </c>
      <c r="H284">
        <v>31</v>
      </c>
    </row>
    <row r="285" spans="1:8" x14ac:dyDescent="0.25">
      <c r="A285" t="s">
        <v>1061</v>
      </c>
      <c r="B285" t="s">
        <v>232</v>
      </c>
      <c r="D285" t="s">
        <v>31</v>
      </c>
      <c r="E285">
        <v>8.25</v>
      </c>
      <c r="F285">
        <v>1</v>
      </c>
      <c r="G285">
        <v>1.5</v>
      </c>
      <c r="H285">
        <v>5.75</v>
      </c>
    </row>
    <row r="286" spans="1:8" x14ac:dyDescent="0.25">
      <c r="A286" t="s">
        <v>1061</v>
      </c>
      <c r="B286" t="s">
        <v>232</v>
      </c>
      <c r="D286" t="s">
        <v>32</v>
      </c>
      <c r="E286">
        <v>242.25</v>
      </c>
      <c r="F286">
        <v>20.5</v>
      </c>
      <c r="G286">
        <v>59.25</v>
      </c>
      <c r="H286">
        <v>162.5</v>
      </c>
    </row>
    <row r="287" spans="1:8" x14ac:dyDescent="0.25">
      <c r="A287" t="s">
        <v>1061</v>
      </c>
      <c r="B287" t="s">
        <v>232</v>
      </c>
      <c r="D287" t="s">
        <v>184</v>
      </c>
      <c r="E287">
        <v>2333.12</v>
      </c>
      <c r="F287">
        <v>231.8</v>
      </c>
      <c r="G287">
        <v>453.13</v>
      </c>
      <c r="H287">
        <v>1648.19</v>
      </c>
    </row>
    <row r="288" spans="1:8" x14ac:dyDescent="0.25">
      <c r="A288" t="s">
        <v>1061</v>
      </c>
      <c r="B288" t="s">
        <v>232</v>
      </c>
      <c r="D288" t="s">
        <v>33</v>
      </c>
      <c r="E288">
        <v>78.25</v>
      </c>
      <c r="F288">
        <v>6.75</v>
      </c>
      <c r="G288">
        <v>14</v>
      </c>
      <c r="H288">
        <v>57.5</v>
      </c>
    </row>
    <row r="289" spans="1:8" x14ac:dyDescent="0.25">
      <c r="A289" t="s">
        <v>1061</v>
      </c>
      <c r="B289" t="s">
        <v>232</v>
      </c>
      <c r="D289" t="s">
        <v>34</v>
      </c>
      <c r="E289">
        <v>153.25</v>
      </c>
      <c r="F289">
        <v>13</v>
      </c>
      <c r="G289">
        <v>22.5</v>
      </c>
      <c r="H289">
        <v>117.75</v>
      </c>
    </row>
    <row r="290" spans="1:8" x14ac:dyDescent="0.25">
      <c r="A290" t="s">
        <v>1061</v>
      </c>
      <c r="B290" t="s">
        <v>232</v>
      </c>
      <c r="D290" t="s">
        <v>243</v>
      </c>
      <c r="E290">
        <v>5</v>
      </c>
      <c r="F290">
        <v>0.5</v>
      </c>
      <c r="G290">
        <v>0.5</v>
      </c>
      <c r="H290">
        <v>4</v>
      </c>
    </row>
    <row r="291" spans="1:8" x14ac:dyDescent="0.25">
      <c r="A291" t="s">
        <v>1061</v>
      </c>
      <c r="B291" t="s">
        <v>232</v>
      </c>
      <c r="D291" t="s">
        <v>35</v>
      </c>
      <c r="E291">
        <v>18.75</v>
      </c>
      <c r="F291">
        <v>1.5</v>
      </c>
      <c r="G291">
        <v>3.75</v>
      </c>
      <c r="H291">
        <v>13.5</v>
      </c>
    </row>
    <row r="292" spans="1:8" x14ac:dyDescent="0.25">
      <c r="A292" t="s">
        <v>1061</v>
      </c>
      <c r="B292" t="s">
        <v>232</v>
      </c>
      <c r="D292" t="s">
        <v>36</v>
      </c>
      <c r="E292">
        <v>162</v>
      </c>
      <c r="F292">
        <v>14.5</v>
      </c>
      <c r="G292">
        <v>28.5</v>
      </c>
      <c r="H292">
        <v>119</v>
      </c>
    </row>
    <row r="293" spans="1:8" x14ac:dyDescent="0.25">
      <c r="A293" t="s">
        <v>1061</v>
      </c>
      <c r="B293" t="s">
        <v>232</v>
      </c>
      <c r="D293" t="s">
        <v>37</v>
      </c>
      <c r="E293">
        <v>10.25</v>
      </c>
      <c r="F293">
        <v>1</v>
      </c>
      <c r="G293">
        <v>1.5</v>
      </c>
      <c r="H293">
        <v>7.75</v>
      </c>
    </row>
    <row r="294" spans="1:8" x14ac:dyDescent="0.25">
      <c r="A294" t="s">
        <v>1061</v>
      </c>
      <c r="B294" t="s">
        <v>232</v>
      </c>
      <c r="D294" t="s">
        <v>38</v>
      </c>
      <c r="E294">
        <v>56.75</v>
      </c>
      <c r="F294">
        <v>6</v>
      </c>
      <c r="G294">
        <v>8</v>
      </c>
      <c r="H294">
        <v>42.75</v>
      </c>
    </row>
    <row r="295" spans="1:8" x14ac:dyDescent="0.25">
      <c r="A295" t="s">
        <v>1061</v>
      </c>
      <c r="B295" t="s">
        <v>232</v>
      </c>
      <c r="D295" t="s">
        <v>40</v>
      </c>
      <c r="E295">
        <v>41</v>
      </c>
      <c r="F295">
        <v>4</v>
      </c>
      <c r="G295">
        <v>9.25</v>
      </c>
      <c r="H295">
        <v>27.75</v>
      </c>
    </row>
    <row r="296" spans="1:8" x14ac:dyDescent="0.25">
      <c r="A296" t="s">
        <v>1061</v>
      </c>
      <c r="B296" t="s">
        <v>232</v>
      </c>
      <c r="D296" t="s">
        <v>42</v>
      </c>
      <c r="E296">
        <v>39.25</v>
      </c>
      <c r="F296">
        <v>3.75</v>
      </c>
      <c r="G296">
        <v>7.25</v>
      </c>
      <c r="H296">
        <v>28.25</v>
      </c>
    </row>
    <row r="297" spans="1:8" x14ac:dyDescent="0.25">
      <c r="A297" t="s">
        <v>1061</v>
      </c>
      <c r="B297" t="s">
        <v>232</v>
      </c>
      <c r="D297" t="s">
        <v>43</v>
      </c>
      <c r="E297">
        <v>88.62</v>
      </c>
      <c r="F297">
        <v>8.5499999999999989</v>
      </c>
      <c r="G297">
        <v>17.63</v>
      </c>
      <c r="H297">
        <v>62.44</v>
      </c>
    </row>
    <row r="298" spans="1:8" x14ac:dyDescent="0.25">
      <c r="A298" t="s">
        <v>1061</v>
      </c>
      <c r="B298" t="s">
        <v>232</v>
      </c>
      <c r="D298" t="s">
        <v>44</v>
      </c>
      <c r="E298">
        <v>409</v>
      </c>
      <c r="F298">
        <v>44.5</v>
      </c>
      <c r="G298">
        <v>84.25</v>
      </c>
      <c r="H298">
        <v>280.25</v>
      </c>
    </row>
    <row r="299" spans="1:8" x14ac:dyDescent="0.25">
      <c r="A299" t="s">
        <v>1061</v>
      </c>
      <c r="B299" t="s">
        <v>232</v>
      </c>
      <c r="D299" t="s">
        <v>45</v>
      </c>
      <c r="E299">
        <v>29.25</v>
      </c>
      <c r="F299">
        <v>2.5</v>
      </c>
      <c r="G299">
        <v>5.5</v>
      </c>
      <c r="H299">
        <v>21.25</v>
      </c>
    </row>
    <row r="300" spans="1:8" x14ac:dyDescent="0.25">
      <c r="A300" t="s">
        <v>1061</v>
      </c>
      <c r="B300" t="s">
        <v>232</v>
      </c>
      <c r="D300" t="s">
        <v>46</v>
      </c>
      <c r="E300">
        <v>8.5</v>
      </c>
      <c r="F300">
        <v>1</v>
      </c>
      <c r="G300">
        <v>1.5</v>
      </c>
      <c r="H300">
        <v>6</v>
      </c>
    </row>
    <row r="301" spans="1:8" x14ac:dyDescent="0.25">
      <c r="A301" t="s">
        <v>1061</v>
      </c>
      <c r="B301" t="s">
        <v>232</v>
      </c>
      <c r="D301" t="s">
        <v>47</v>
      </c>
      <c r="E301">
        <v>97.25</v>
      </c>
      <c r="F301">
        <v>9.75</v>
      </c>
      <c r="G301">
        <v>25.5</v>
      </c>
      <c r="H301">
        <v>62</v>
      </c>
    </row>
    <row r="302" spans="1:8" x14ac:dyDescent="0.25">
      <c r="A302" t="s">
        <v>1061</v>
      </c>
      <c r="B302" t="s">
        <v>232</v>
      </c>
      <c r="D302" t="s">
        <v>48</v>
      </c>
      <c r="E302">
        <v>122</v>
      </c>
      <c r="F302">
        <v>13.25</v>
      </c>
      <c r="G302">
        <v>24.75</v>
      </c>
      <c r="H302">
        <v>84</v>
      </c>
    </row>
    <row r="303" spans="1:8" x14ac:dyDescent="0.25">
      <c r="A303" t="s">
        <v>1061</v>
      </c>
      <c r="B303" t="s">
        <v>232</v>
      </c>
      <c r="D303" t="s">
        <v>49</v>
      </c>
      <c r="E303">
        <v>80.75</v>
      </c>
      <c r="F303">
        <v>8.5</v>
      </c>
      <c r="G303">
        <v>10.75</v>
      </c>
      <c r="H303">
        <v>61.5</v>
      </c>
    </row>
    <row r="304" spans="1:8" x14ac:dyDescent="0.25">
      <c r="A304" t="s">
        <v>1061</v>
      </c>
      <c r="B304" t="s">
        <v>232</v>
      </c>
      <c r="D304" t="s">
        <v>50</v>
      </c>
      <c r="E304">
        <v>21.5</v>
      </c>
      <c r="F304">
        <v>2.25</v>
      </c>
      <c r="G304">
        <v>4.75</v>
      </c>
      <c r="H304">
        <v>14.5</v>
      </c>
    </row>
    <row r="305" spans="1:8" x14ac:dyDescent="0.25">
      <c r="A305" t="s">
        <v>1061</v>
      </c>
      <c r="B305" t="s">
        <v>232</v>
      </c>
      <c r="D305" t="s">
        <v>51</v>
      </c>
      <c r="E305">
        <v>110.75</v>
      </c>
      <c r="F305">
        <v>11.25</v>
      </c>
      <c r="G305">
        <v>20</v>
      </c>
      <c r="H305">
        <v>79.5</v>
      </c>
    </row>
    <row r="306" spans="1:8" x14ac:dyDescent="0.25">
      <c r="A306" t="s">
        <v>1061</v>
      </c>
      <c r="B306" t="s">
        <v>232</v>
      </c>
      <c r="D306" t="s">
        <v>52</v>
      </c>
      <c r="E306">
        <v>103.5</v>
      </c>
      <c r="F306">
        <v>8.25</v>
      </c>
      <c r="G306">
        <v>19.5</v>
      </c>
      <c r="H306">
        <v>75.75</v>
      </c>
    </row>
    <row r="307" spans="1:8" x14ac:dyDescent="0.25">
      <c r="A307" t="s">
        <v>1061</v>
      </c>
      <c r="B307" t="s">
        <v>232</v>
      </c>
      <c r="D307" t="s">
        <v>53</v>
      </c>
      <c r="E307">
        <v>10.75</v>
      </c>
      <c r="F307">
        <v>0.75</v>
      </c>
      <c r="G307">
        <v>1.5</v>
      </c>
      <c r="H307">
        <v>8.5</v>
      </c>
    </row>
    <row r="308" spans="1:8" x14ac:dyDescent="0.25">
      <c r="A308" t="s">
        <v>1061</v>
      </c>
      <c r="B308" t="s">
        <v>232</v>
      </c>
      <c r="D308" t="s">
        <v>54</v>
      </c>
      <c r="E308">
        <v>124.5</v>
      </c>
      <c r="F308">
        <v>11</v>
      </c>
      <c r="G308">
        <v>23.75</v>
      </c>
      <c r="H308">
        <v>89.75</v>
      </c>
    </row>
    <row r="309" spans="1:8" x14ac:dyDescent="0.25">
      <c r="A309" t="s">
        <v>1061</v>
      </c>
      <c r="B309" t="s">
        <v>232</v>
      </c>
      <c r="D309" t="s">
        <v>55</v>
      </c>
      <c r="E309">
        <v>109.75</v>
      </c>
      <c r="F309">
        <v>13</v>
      </c>
      <c r="G309">
        <v>23</v>
      </c>
      <c r="H309">
        <v>73.75</v>
      </c>
    </row>
    <row r="310" spans="1:8" x14ac:dyDescent="0.25">
      <c r="A310" t="s">
        <v>1061</v>
      </c>
      <c r="B310" t="s">
        <v>232</v>
      </c>
      <c r="D310" t="s">
        <v>56</v>
      </c>
      <c r="E310">
        <v>36</v>
      </c>
      <c r="F310">
        <v>4.25</v>
      </c>
      <c r="G310">
        <v>5.25</v>
      </c>
      <c r="H310">
        <v>26.5</v>
      </c>
    </row>
    <row r="311" spans="1:8" x14ac:dyDescent="0.25">
      <c r="A311" t="s">
        <v>1061</v>
      </c>
      <c r="B311" t="s">
        <v>232</v>
      </c>
      <c r="D311" t="s">
        <v>57</v>
      </c>
      <c r="E311">
        <v>53.25</v>
      </c>
      <c r="F311">
        <v>7.5</v>
      </c>
      <c r="G311">
        <v>10.25</v>
      </c>
      <c r="H311">
        <v>35.5</v>
      </c>
    </row>
    <row r="312" spans="1:8" x14ac:dyDescent="0.25">
      <c r="A312" t="s">
        <v>1061</v>
      </c>
      <c r="B312" t="s">
        <v>232</v>
      </c>
      <c r="D312" t="s">
        <v>58</v>
      </c>
      <c r="E312">
        <v>56.5</v>
      </c>
      <c r="F312">
        <v>6</v>
      </c>
      <c r="G312">
        <v>11</v>
      </c>
      <c r="H312">
        <v>39.5</v>
      </c>
    </row>
    <row r="313" spans="1:8" x14ac:dyDescent="0.25">
      <c r="A313" t="s">
        <v>1061</v>
      </c>
      <c r="B313" t="s">
        <v>232</v>
      </c>
      <c r="D313" t="s">
        <v>59</v>
      </c>
      <c r="E313">
        <v>15</v>
      </c>
      <c r="F313">
        <v>1.5</v>
      </c>
      <c r="G313">
        <v>1.5</v>
      </c>
      <c r="H313">
        <v>12</v>
      </c>
    </row>
    <row r="314" spans="1:8" x14ac:dyDescent="0.25">
      <c r="A314" t="s">
        <v>1061</v>
      </c>
      <c r="B314" t="s">
        <v>232</v>
      </c>
      <c r="D314" t="s">
        <v>60</v>
      </c>
      <c r="E314">
        <v>41.25</v>
      </c>
      <c r="F314">
        <v>5.5</v>
      </c>
      <c r="G314">
        <v>6.75</v>
      </c>
      <c r="H314">
        <v>29</v>
      </c>
    </row>
    <row r="315" spans="1:8" x14ac:dyDescent="0.25">
      <c r="A315" t="s">
        <v>1108</v>
      </c>
      <c r="B315" t="s">
        <v>232</v>
      </c>
      <c r="D315" t="s">
        <v>31</v>
      </c>
      <c r="E315">
        <v>8</v>
      </c>
      <c r="F315">
        <v>1</v>
      </c>
      <c r="G315">
        <v>3</v>
      </c>
      <c r="H315">
        <v>4</v>
      </c>
    </row>
    <row r="316" spans="1:8" x14ac:dyDescent="0.25">
      <c r="A316" t="s">
        <v>1108</v>
      </c>
      <c r="B316" t="s">
        <v>232</v>
      </c>
      <c r="D316" t="s">
        <v>32</v>
      </c>
      <c r="E316">
        <v>230.75</v>
      </c>
      <c r="F316">
        <v>19.25</v>
      </c>
      <c r="G316">
        <v>57.5</v>
      </c>
      <c r="H316">
        <v>154</v>
      </c>
    </row>
    <row r="317" spans="1:8" x14ac:dyDescent="0.25">
      <c r="A317" t="s">
        <v>1108</v>
      </c>
      <c r="B317" t="s">
        <v>232</v>
      </c>
      <c r="D317" t="s">
        <v>184</v>
      </c>
      <c r="E317">
        <v>2289.7700000000004</v>
      </c>
      <c r="F317">
        <v>222.3</v>
      </c>
      <c r="G317">
        <v>452.13</v>
      </c>
      <c r="H317">
        <v>1615.3400000000001</v>
      </c>
    </row>
    <row r="318" spans="1:8" x14ac:dyDescent="0.25">
      <c r="A318" t="s">
        <v>1108</v>
      </c>
      <c r="B318" t="s">
        <v>232</v>
      </c>
      <c r="D318" t="s">
        <v>33</v>
      </c>
      <c r="E318">
        <v>81.25</v>
      </c>
      <c r="F318">
        <v>5.75</v>
      </c>
      <c r="G318">
        <v>14.75</v>
      </c>
      <c r="H318">
        <v>60.75</v>
      </c>
    </row>
    <row r="319" spans="1:8" x14ac:dyDescent="0.25">
      <c r="A319" t="s">
        <v>1108</v>
      </c>
      <c r="B319" t="s">
        <v>232</v>
      </c>
      <c r="D319" t="s">
        <v>34</v>
      </c>
      <c r="E319">
        <v>157.5</v>
      </c>
      <c r="F319">
        <v>13.75</v>
      </c>
      <c r="G319">
        <v>21</v>
      </c>
      <c r="H319">
        <v>122.75</v>
      </c>
    </row>
    <row r="320" spans="1:8" x14ac:dyDescent="0.25">
      <c r="A320" t="s">
        <v>1108</v>
      </c>
      <c r="B320" t="s">
        <v>232</v>
      </c>
      <c r="D320" t="s">
        <v>243</v>
      </c>
      <c r="E320">
        <v>5.25</v>
      </c>
      <c r="F320">
        <v>0.5</v>
      </c>
      <c r="G320">
        <v>1</v>
      </c>
      <c r="H320">
        <v>3.75</v>
      </c>
    </row>
    <row r="321" spans="1:8" x14ac:dyDescent="0.25">
      <c r="A321" t="s">
        <v>1108</v>
      </c>
      <c r="B321" t="s">
        <v>232</v>
      </c>
      <c r="D321" t="s">
        <v>35</v>
      </c>
      <c r="E321">
        <v>17.25</v>
      </c>
      <c r="F321">
        <v>1.5</v>
      </c>
      <c r="G321">
        <v>3</v>
      </c>
      <c r="H321">
        <v>12.75</v>
      </c>
    </row>
    <row r="322" spans="1:8" x14ac:dyDescent="0.25">
      <c r="A322" t="s">
        <v>1108</v>
      </c>
      <c r="B322" t="s">
        <v>232</v>
      </c>
      <c r="D322" t="s">
        <v>36</v>
      </c>
      <c r="E322">
        <v>149.25</v>
      </c>
      <c r="F322">
        <v>13.75</v>
      </c>
      <c r="G322">
        <v>27.75</v>
      </c>
      <c r="H322">
        <v>107.75</v>
      </c>
    </row>
    <row r="323" spans="1:8" x14ac:dyDescent="0.25">
      <c r="A323" t="s">
        <v>1108</v>
      </c>
      <c r="B323" t="s">
        <v>232</v>
      </c>
      <c r="D323" t="s">
        <v>37</v>
      </c>
      <c r="E323">
        <v>11.75</v>
      </c>
      <c r="F323">
        <v>1</v>
      </c>
      <c r="G323">
        <v>1.5</v>
      </c>
      <c r="H323">
        <v>9.25</v>
      </c>
    </row>
    <row r="324" spans="1:8" x14ac:dyDescent="0.25">
      <c r="A324" t="s">
        <v>1108</v>
      </c>
      <c r="B324" t="s">
        <v>232</v>
      </c>
      <c r="D324" t="s">
        <v>38</v>
      </c>
      <c r="E324">
        <v>55.5</v>
      </c>
      <c r="F324">
        <v>5</v>
      </c>
      <c r="G324">
        <v>9.5</v>
      </c>
      <c r="H324">
        <v>41</v>
      </c>
    </row>
    <row r="325" spans="1:8" x14ac:dyDescent="0.25">
      <c r="A325" t="s">
        <v>1108</v>
      </c>
      <c r="B325" t="s">
        <v>232</v>
      </c>
      <c r="D325" t="s">
        <v>40</v>
      </c>
      <c r="E325">
        <v>44</v>
      </c>
      <c r="F325">
        <v>4</v>
      </c>
      <c r="G325">
        <v>9.75</v>
      </c>
      <c r="H325">
        <v>30.25</v>
      </c>
    </row>
    <row r="326" spans="1:8" x14ac:dyDescent="0.25">
      <c r="A326" t="s">
        <v>1108</v>
      </c>
      <c r="B326" t="s">
        <v>232</v>
      </c>
      <c r="D326" t="s">
        <v>42</v>
      </c>
      <c r="E326">
        <v>46</v>
      </c>
      <c r="F326">
        <v>3.75</v>
      </c>
      <c r="G326">
        <v>7.25</v>
      </c>
      <c r="H326">
        <v>35</v>
      </c>
    </row>
    <row r="327" spans="1:8" x14ac:dyDescent="0.25">
      <c r="A327" t="s">
        <v>1108</v>
      </c>
      <c r="B327" t="s">
        <v>232</v>
      </c>
      <c r="D327" t="s">
        <v>43</v>
      </c>
      <c r="E327">
        <v>86.27000000000001</v>
      </c>
      <c r="F327">
        <v>7.55</v>
      </c>
      <c r="G327">
        <v>17.63</v>
      </c>
      <c r="H327">
        <v>61.09</v>
      </c>
    </row>
    <row r="328" spans="1:8" x14ac:dyDescent="0.25">
      <c r="A328" t="s">
        <v>1108</v>
      </c>
      <c r="B328" t="s">
        <v>232</v>
      </c>
      <c r="D328" t="s">
        <v>44</v>
      </c>
      <c r="E328">
        <v>404</v>
      </c>
      <c r="F328">
        <v>40.25</v>
      </c>
      <c r="G328">
        <v>82.75</v>
      </c>
      <c r="H328">
        <v>281</v>
      </c>
    </row>
    <row r="329" spans="1:8" x14ac:dyDescent="0.25">
      <c r="A329" t="s">
        <v>1108</v>
      </c>
      <c r="B329" t="s">
        <v>232</v>
      </c>
      <c r="D329" t="s">
        <v>45</v>
      </c>
      <c r="E329">
        <v>28.25</v>
      </c>
      <c r="F329">
        <v>2.5</v>
      </c>
      <c r="G329">
        <v>5.5</v>
      </c>
      <c r="H329">
        <v>20.25</v>
      </c>
    </row>
    <row r="330" spans="1:8" x14ac:dyDescent="0.25">
      <c r="A330" t="s">
        <v>1108</v>
      </c>
      <c r="B330" t="s">
        <v>232</v>
      </c>
      <c r="D330" t="s">
        <v>46</v>
      </c>
      <c r="E330">
        <v>9.5</v>
      </c>
      <c r="F330">
        <v>1</v>
      </c>
      <c r="G330">
        <v>1.5</v>
      </c>
      <c r="H330">
        <v>7</v>
      </c>
    </row>
    <row r="331" spans="1:8" x14ac:dyDescent="0.25">
      <c r="A331" t="s">
        <v>1108</v>
      </c>
      <c r="B331" t="s">
        <v>232</v>
      </c>
      <c r="D331" t="s">
        <v>47</v>
      </c>
      <c r="E331">
        <v>103</v>
      </c>
      <c r="F331">
        <v>10.75</v>
      </c>
      <c r="G331">
        <v>25.75</v>
      </c>
      <c r="H331">
        <v>66.5</v>
      </c>
    </row>
    <row r="332" spans="1:8" x14ac:dyDescent="0.25">
      <c r="A332" t="s">
        <v>1108</v>
      </c>
      <c r="B332" t="s">
        <v>232</v>
      </c>
      <c r="D332" t="s">
        <v>48</v>
      </c>
      <c r="E332">
        <v>118.5</v>
      </c>
      <c r="F332">
        <v>13.75</v>
      </c>
      <c r="G332">
        <v>26.5</v>
      </c>
      <c r="H332">
        <v>78.25</v>
      </c>
    </row>
    <row r="333" spans="1:8" x14ac:dyDescent="0.25">
      <c r="A333" t="s">
        <v>1108</v>
      </c>
      <c r="B333" t="s">
        <v>232</v>
      </c>
      <c r="D333" t="s">
        <v>49</v>
      </c>
      <c r="E333">
        <v>79.75</v>
      </c>
      <c r="F333">
        <v>7.75</v>
      </c>
      <c r="G333">
        <v>10</v>
      </c>
      <c r="H333">
        <v>62</v>
      </c>
    </row>
    <row r="334" spans="1:8" x14ac:dyDescent="0.25">
      <c r="A334" t="s">
        <v>1108</v>
      </c>
      <c r="B334" t="s">
        <v>232</v>
      </c>
      <c r="D334" t="s">
        <v>50</v>
      </c>
      <c r="E334">
        <v>19.5</v>
      </c>
      <c r="F334">
        <v>2</v>
      </c>
      <c r="G334">
        <v>3.75</v>
      </c>
      <c r="H334">
        <v>13.75</v>
      </c>
    </row>
    <row r="335" spans="1:8" x14ac:dyDescent="0.25">
      <c r="A335" t="s">
        <v>1108</v>
      </c>
      <c r="B335" t="s">
        <v>232</v>
      </c>
      <c r="D335" t="s">
        <v>51</v>
      </c>
      <c r="E335">
        <v>107.25</v>
      </c>
      <c r="F335">
        <v>11.5</v>
      </c>
      <c r="G335">
        <v>22</v>
      </c>
      <c r="H335">
        <v>73.75</v>
      </c>
    </row>
    <row r="336" spans="1:8" x14ac:dyDescent="0.25">
      <c r="A336" t="s">
        <v>1108</v>
      </c>
      <c r="B336" t="s">
        <v>232</v>
      </c>
      <c r="D336" t="s">
        <v>52</v>
      </c>
      <c r="E336">
        <v>101</v>
      </c>
      <c r="F336">
        <v>10</v>
      </c>
      <c r="G336">
        <v>18.25</v>
      </c>
      <c r="H336">
        <v>72.75</v>
      </c>
    </row>
    <row r="337" spans="1:8" x14ac:dyDescent="0.25">
      <c r="A337" t="s">
        <v>1108</v>
      </c>
      <c r="B337" t="s">
        <v>232</v>
      </c>
      <c r="D337" t="s">
        <v>53</v>
      </c>
      <c r="E337">
        <v>8.25</v>
      </c>
      <c r="F337">
        <v>0.75</v>
      </c>
      <c r="G337">
        <v>1.5</v>
      </c>
      <c r="H337">
        <v>6</v>
      </c>
    </row>
    <row r="338" spans="1:8" x14ac:dyDescent="0.25">
      <c r="A338" t="s">
        <v>1108</v>
      </c>
      <c r="B338" t="s">
        <v>232</v>
      </c>
      <c r="D338" t="s">
        <v>54</v>
      </c>
      <c r="E338">
        <v>111.5</v>
      </c>
      <c r="F338">
        <v>10.75</v>
      </c>
      <c r="G338">
        <v>22.75</v>
      </c>
      <c r="H338">
        <v>78</v>
      </c>
    </row>
    <row r="339" spans="1:8" x14ac:dyDescent="0.25">
      <c r="A339" t="s">
        <v>1108</v>
      </c>
      <c r="B339" t="s">
        <v>232</v>
      </c>
      <c r="D339" t="s">
        <v>55</v>
      </c>
      <c r="E339">
        <v>102.25</v>
      </c>
      <c r="F339">
        <v>13</v>
      </c>
      <c r="G339">
        <v>21.25</v>
      </c>
      <c r="H339">
        <v>68</v>
      </c>
    </row>
    <row r="340" spans="1:8" x14ac:dyDescent="0.25">
      <c r="A340" t="s">
        <v>1108</v>
      </c>
      <c r="B340" t="s">
        <v>232</v>
      </c>
      <c r="D340" t="s">
        <v>56</v>
      </c>
      <c r="E340">
        <v>35</v>
      </c>
      <c r="F340">
        <v>3.25</v>
      </c>
      <c r="G340">
        <v>6.25</v>
      </c>
      <c r="H340">
        <v>25.5</v>
      </c>
    </row>
    <row r="341" spans="1:8" x14ac:dyDescent="0.25">
      <c r="A341" t="s">
        <v>1108</v>
      </c>
      <c r="B341" t="s">
        <v>232</v>
      </c>
      <c r="D341" t="s">
        <v>57</v>
      </c>
      <c r="E341">
        <v>54</v>
      </c>
      <c r="F341">
        <v>6.25</v>
      </c>
      <c r="G341">
        <v>9.5</v>
      </c>
      <c r="H341">
        <v>38.25</v>
      </c>
    </row>
    <row r="342" spans="1:8" x14ac:dyDescent="0.25">
      <c r="A342" t="s">
        <v>1108</v>
      </c>
      <c r="B342" t="s">
        <v>232</v>
      </c>
      <c r="D342" t="s">
        <v>58</v>
      </c>
      <c r="E342">
        <v>56.25</v>
      </c>
      <c r="F342">
        <v>6</v>
      </c>
      <c r="G342">
        <v>12</v>
      </c>
      <c r="H342">
        <v>38.25</v>
      </c>
    </row>
    <row r="343" spans="1:8" x14ac:dyDescent="0.25">
      <c r="A343" t="s">
        <v>1108</v>
      </c>
      <c r="B343" t="s">
        <v>232</v>
      </c>
      <c r="D343" t="s">
        <v>59</v>
      </c>
      <c r="E343">
        <v>16.75</v>
      </c>
      <c r="F343">
        <v>1.5</v>
      </c>
      <c r="G343">
        <v>1.5</v>
      </c>
      <c r="H343">
        <v>13.75</v>
      </c>
    </row>
    <row r="344" spans="1:8" x14ac:dyDescent="0.25">
      <c r="A344" t="s">
        <v>1108</v>
      </c>
      <c r="B344" t="s">
        <v>232</v>
      </c>
      <c r="D344" t="s">
        <v>60</v>
      </c>
      <c r="E344">
        <v>42.25</v>
      </c>
      <c r="F344">
        <v>4.5</v>
      </c>
      <c r="G344">
        <v>7.75</v>
      </c>
      <c r="H344">
        <v>30</v>
      </c>
    </row>
  </sheetData>
  <pageMargins left="0.7" right="0.7" top="0.75" bottom="0.75" header="0.3" footer="0.3"/>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2">
    <tabColor theme="9" tint="0.39997558519241921"/>
    <pageSetUpPr fitToPage="1"/>
  </sheetPr>
  <dimension ref="A1:J51"/>
  <sheetViews>
    <sheetView showGridLines="0" zoomScaleNormal="100" workbookViewId="0">
      <pane ySplit="2" topLeftCell="A3" activePane="bottomLeft" state="frozen"/>
      <selection pane="bottomLeft" sqref="A1:G1"/>
    </sheetView>
  </sheetViews>
  <sheetFormatPr defaultRowHeight="15" x14ac:dyDescent="0.25"/>
  <cols>
    <col min="1" max="1" width="17.42578125" customWidth="1"/>
    <col min="2" max="2" width="31.85546875" customWidth="1"/>
    <col min="3" max="5" width="11.85546875" customWidth="1"/>
    <col min="6" max="6" width="11.140625" customWidth="1"/>
  </cols>
  <sheetData>
    <row r="1" spans="1:7" ht="15.75" x14ac:dyDescent="0.25">
      <c r="A1" s="993" t="s">
        <v>450</v>
      </c>
      <c r="B1" s="993"/>
      <c r="C1" s="993"/>
      <c r="D1" s="993"/>
      <c r="E1" s="993"/>
      <c r="F1" s="993"/>
      <c r="G1" s="993"/>
    </row>
    <row r="2" spans="1:7" ht="15.75" x14ac:dyDescent="0.25">
      <c r="A2" s="507" t="s">
        <v>511</v>
      </c>
      <c r="C2" s="449"/>
      <c r="D2" s="449"/>
      <c r="E2" s="449"/>
      <c r="F2" s="449"/>
      <c r="G2" s="449"/>
    </row>
    <row r="3" spans="1:7" ht="15.75" x14ac:dyDescent="0.25">
      <c r="C3" s="449"/>
      <c r="D3" s="449"/>
      <c r="E3" s="449"/>
      <c r="F3" s="449"/>
      <c r="G3" s="449"/>
    </row>
    <row r="4" spans="1:7" ht="37.5" customHeight="1" x14ac:dyDescent="0.25">
      <c r="A4" s="429" t="s">
        <v>468</v>
      </c>
      <c r="B4" s="429"/>
      <c r="C4" s="429"/>
      <c r="D4" s="429"/>
      <c r="E4" s="429"/>
    </row>
    <row r="5" spans="1:7" ht="15" customHeight="1" x14ac:dyDescent="0.25">
      <c r="A5" t="s">
        <v>328</v>
      </c>
      <c r="B5" t="s">
        <v>675</v>
      </c>
      <c r="C5" s="429"/>
      <c r="D5" s="429"/>
      <c r="E5" s="429"/>
    </row>
    <row r="6" spans="1:7" ht="15" customHeight="1" x14ac:dyDescent="0.25">
      <c r="A6" t="s">
        <v>329</v>
      </c>
      <c r="B6" t="s">
        <v>331</v>
      </c>
      <c r="C6" s="429"/>
      <c r="D6" s="429"/>
      <c r="E6" s="429"/>
    </row>
    <row r="7" spans="1:7" ht="15" customHeight="1" x14ac:dyDescent="0.25">
      <c r="A7" t="s">
        <v>330</v>
      </c>
      <c r="B7" t="s">
        <v>332</v>
      </c>
      <c r="C7" s="429"/>
      <c r="D7" s="429"/>
      <c r="E7" s="429"/>
    </row>
    <row r="8" spans="1:7" ht="39" x14ac:dyDescent="0.25">
      <c r="A8" s="78" t="s">
        <v>1</v>
      </c>
      <c r="B8" s="78" t="s">
        <v>205</v>
      </c>
      <c r="C8" s="79" t="s">
        <v>841</v>
      </c>
      <c r="D8" s="79" t="s">
        <v>842</v>
      </c>
      <c r="E8" s="79" t="s">
        <v>23</v>
      </c>
      <c r="F8" s="79" t="s">
        <v>26</v>
      </c>
    </row>
    <row r="9" spans="1:7" ht="15.75" thickBot="1" x14ac:dyDescent="0.3">
      <c r="A9" s="80" t="str">
        <f>RDSFTERoleAreaPivot!B1</f>
        <v>2023-24</v>
      </c>
      <c r="B9" s="80" t="s">
        <v>460</v>
      </c>
      <c r="C9" s="749">
        <f>C44</f>
        <v>222.3</v>
      </c>
      <c r="D9" s="749">
        <f>D44</f>
        <v>452.13</v>
      </c>
      <c r="E9" s="749">
        <f>E44</f>
        <v>1615.3400000000001</v>
      </c>
      <c r="F9" s="749">
        <f>F44</f>
        <v>2289.7700000000004</v>
      </c>
    </row>
    <row r="10" spans="1:7" x14ac:dyDescent="0.25">
      <c r="B10" s="48"/>
      <c r="C10" s="750"/>
      <c r="D10" s="750"/>
      <c r="E10" s="750"/>
      <c r="F10" s="750"/>
    </row>
    <row r="11" spans="1:7" x14ac:dyDescent="0.25">
      <c r="A11" s="42" t="s">
        <v>458</v>
      </c>
      <c r="B11" s="42" t="s">
        <v>30</v>
      </c>
      <c r="C11" s="751"/>
      <c r="D11" s="751"/>
      <c r="E11" s="751"/>
      <c r="F11" s="751"/>
    </row>
    <row r="12" spans="1:7" x14ac:dyDescent="0.25">
      <c r="A12" s="398" t="s">
        <v>285</v>
      </c>
      <c r="B12" s="45" t="s">
        <v>31</v>
      </c>
      <c r="C12" s="49">
        <f>GETPIVOTDATA("Sum of Watch Manager",RDSFTERoleAreaPivot!$A$3,"ReportingLevel","1:LA","lvl","Aberdeen City")</f>
        <v>1</v>
      </c>
      <c r="D12" s="49">
        <f>GETPIVOTDATA("Sum of Crew Manager",RDSFTERoleAreaPivot!$A$3,"ReportingLevel","1:LA","lvl","Aberdeen City")</f>
        <v>3</v>
      </c>
      <c r="E12" s="49">
        <f>GETPIVOTDATA("Sum of Firefighter",RDSFTERoleAreaPivot!$A$3,"ReportingLevel","1:LA","lvl","Aberdeen City")</f>
        <v>4</v>
      </c>
      <c r="F12" s="752">
        <f>SUM(C12:E12)</f>
        <v>8</v>
      </c>
    </row>
    <row r="13" spans="1:7" x14ac:dyDescent="0.25">
      <c r="A13" s="89" t="s">
        <v>286</v>
      </c>
      <c r="B13" s="48" t="s">
        <v>32</v>
      </c>
      <c r="C13" s="49">
        <f>GETPIVOTDATA("Sum of Watch Manager",RDSFTERoleAreaPivot!$A$3,"ReportingLevel","1:LA","lvl","Aberdeenshire")</f>
        <v>19.25</v>
      </c>
      <c r="D13" s="49">
        <f>GETPIVOTDATA("Sum of Crew Manager",RDSFTERoleAreaPivot!$A$3,"ReportingLevel","1:LA","lvl","Aberdeenshire")</f>
        <v>57.5</v>
      </c>
      <c r="E13" s="49">
        <f>GETPIVOTDATA("Sum of Firefighter",RDSFTERoleAreaPivot!$A$3,"ReportingLevel","1:LA","lvl","Aberdeenshire")</f>
        <v>154</v>
      </c>
      <c r="F13" s="752">
        <f t="shared" ref="F13:F21" si="0">SUM(C13:E13)</f>
        <v>230.75</v>
      </c>
    </row>
    <row r="14" spans="1:7" x14ac:dyDescent="0.25">
      <c r="A14" s="89" t="s">
        <v>292</v>
      </c>
      <c r="B14" s="48" t="s">
        <v>33</v>
      </c>
      <c r="C14" s="49">
        <f>GETPIVOTDATA("Sum of Watch Manager",RDSFTERoleAreaPivot!$A$3,"ReportingLevel","1:LA","lvl","Angus")</f>
        <v>5.75</v>
      </c>
      <c r="D14" s="49">
        <f>GETPIVOTDATA("Sum of Crew Manager",RDSFTERoleAreaPivot!$A$3,"ReportingLevel","1:LA","lvl","Angus")</f>
        <v>14.75</v>
      </c>
      <c r="E14" s="49">
        <f>GETPIVOTDATA("Sum of Firefighter",RDSFTERoleAreaPivot!$A$3,"ReportingLevel","1:LA","lvl","Angus")</f>
        <v>60.75</v>
      </c>
      <c r="F14" s="752">
        <f t="shared" si="0"/>
        <v>81.25</v>
      </c>
    </row>
    <row r="15" spans="1:7" x14ac:dyDescent="0.25">
      <c r="A15" s="89" t="s">
        <v>287</v>
      </c>
      <c r="B15" s="48" t="s">
        <v>34</v>
      </c>
      <c r="C15" s="49">
        <f>GETPIVOTDATA("Sum of Watch Manager",RDSFTERoleAreaPivot!$A$3,"ReportingLevel","1:LA","lvl","Argyll and Bute")</f>
        <v>13.75</v>
      </c>
      <c r="D15" s="49">
        <f>GETPIVOTDATA("Sum of Crew Manager",RDSFTERoleAreaPivot!$A$3,"ReportingLevel","1:LA","lvl","Argyll and Bute")</f>
        <v>21</v>
      </c>
      <c r="E15" s="49">
        <f>GETPIVOTDATA("Sum of Firefighter",RDSFTERoleAreaPivot!$A$3,"ReportingLevel","1:LA","lvl","Argyll and Bute")</f>
        <v>122.75</v>
      </c>
      <c r="F15" s="752">
        <f t="shared" si="0"/>
        <v>157.5</v>
      </c>
    </row>
    <row r="16" spans="1:7" x14ac:dyDescent="0.25">
      <c r="A16" s="89" t="s">
        <v>288</v>
      </c>
      <c r="B16" s="48" t="s">
        <v>243</v>
      </c>
      <c r="C16" s="49">
        <f>GETPIVOTDATA("Sum of Watch Manager",RDSFTERoleAreaPivot!$A$3,"ReportingLevel","1:LA","lvl","City of Edinburgh")</f>
        <v>0.5</v>
      </c>
      <c r="D16" s="49">
        <f>GETPIVOTDATA("Sum of Crew Manager",RDSFTERoleAreaPivot!$A$3,"ReportingLevel","1:LA","lvl","City of Edinburgh")</f>
        <v>1</v>
      </c>
      <c r="E16" s="49">
        <f>GETPIVOTDATA("Sum of Firefighter",RDSFTERoleAreaPivot!$A$3,"ReportingLevel","1:LA","lvl","City of Edinburgh")</f>
        <v>3.75</v>
      </c>
      <c r="F16" s="752">
        <f t="shared" si="0"/>
        <v>5.25</v>
      </c>
    </row>
    <row r="17" spans="1:6" x14ac:dyDescent="0.25">
      <c r="A17" s="89" t="s">
        <v>266</v>
      </c>
      <c r="B17" s="48" t="s">
        <v>35</v>
      </c>
      <c r="C17" s="49">
        <f>GETPIVOTDATA("Sum of Watch Manager",RDSFTERoleAreaPivot!$A$3,"ReportingLevel","1:LA","lvl","Clackmannanshire")</f>
        <v>1.5</v>
      </c>
      <c r="D17" s="49">
        <f>GETPIVOTDATA("Sum of Crew Manager",RDSFTERoleAreaPivot!$A$3,"ReportingLevel","1:LA","lvl","Clackmannanshire")</f>
        <v>3</v>
      </c>
      <c r="E17" s="49">
        <f>GETPIVOTDATA("Sum of Firefighter",RDSFTERoleAreaPivot!$A$3,"ReportingLevel","1:LA","lvl","Clackmannanshire")</f>
        <v>12.75</v>
      </c>
      <c r="F17" s="752">
        <f t="shared" si="0"/>
        <v>17.25</v>
      </c>
    </row>
    <row r="18" spans="1:6" x14ac:dyDescent="0.25">
      <c r="A18" s="89" t="s">
        <v>267</v>
      </c>
      <c r="B18" s="48" t="s">
        <v>36</v>
      </c>
      <c r="C18" s="49">
        <f>GETPIVOTDATA("Sum of Watch Manager",RDSFTERoleAreaPivot!$A$3,"ReportingLevel","1:LA","lvl","Dumfries and Galloway")</f>
        <v>13.75</v>
      </c>
      <c r="D18" s="49">
        <f>GETPIVOTDATA("Sum of Crew Manager",RDSFTERoleAreaPivot!$A$3,"ReportingLevel","1:LA","lvl","Dumfries and Galloway")</f>
        <v>27.75</v>
      </c>
      <c r="E18" s="49">
        <f>GETPIVOTDATA("Sum of Firefighter",RDSFTERoleAreaPivot!$A$3,"ReportingLevel","1:LA","lvl","Dumfries and Galloway")</f>
        <v>107.75</v>
      </c>
      <c r="F18" s="752">
        <f t="shared" si="0"/>
        <v>149.25</v>
      </c>
    </row>
    <row r="19" spans="1:6" x14ac:dyDescent="0.25">
      <c r="A19" s="89" t="s">
        <v>293</v>
      </c>
      <c r="B19" s="48" t="s">
        <v>37</v>
      </c>
      <c r="C19" s="49">
        <f>GETPIVOTDATA("Sum of Watch Manager",RDSFTERoleAreaPivot!$A$3,"ReportingLevel","1:LA","lvl","Dundee City")</f>
        <v>1</v>
      </c>
      <c r="D19" s="49">
        <f>GETPIVOTDATA("Sum of Crew Manager",RDSFTERoleAreaPivot!$A$3,"ReportingLevel","1:LA","lvl","Dundee City")</f>
        <v>1.5</v>
      </c>
      <c r="E19" s="49">
        <f>GETPIVOTDATA("Sum of Firefighter",RDSFTERoleAreaPivot!$A$3,"ReportingLevel","1:LA","lvl","Dundee City")</f>
        <v>9.25</v>
      </c>
      <c r="F19" s="752">
        <f t="shared" si="0"/>
        <v>11.75</v>
      </c>
    </row>
    <row r="20" spans="1:6" x14ac:dyDescent="0.25">
      <c r="A20" s="89" t="s">
        <v>268</v>
      </c>
      <c r="B20" s="48" t="s">
        <v>38</v>
      </c>
      <c r="C20" s="49">
        <f>GETPIVOTDATA("Sum of Watch Manager",RDSFTERoleAreaPivot!$A$3,"ReportingLevel","1:LA","lvl","East Ayrshire")</f>
        <v>5</v>
      </c>
      <c r="D20" s="49">
        <f>GETPIVOTDATA("Sum of Crew Manager",RDSFTERoleAreaPivot!$A$3,"ReportingLevel","1:LA","lvl","East Ayrshire")</f>
        <v>9.5</v>
      </c>
      <c r="E20" s="49">
        <f>GETPIVOTDATA("Sum of Firefighter",RDSFTERoleAreaPivot!$A$3,"ReportingLevel","1:LA","lvl","East Ayrshire")</f>
        <v>41</v>
      </c>
      <c r="F20" s="752">
        <f t="shared" si="0"/>
        <v>55.5</v>
      </c>
    </row>
    <row r="21" spans="1:6" x14ac:dyDescent="0.25">
      <c r="A21" s="89" t="s">
        <v>295</v>
      </c>
      <c r="B21" s="48" t="s">
        <v>39</v>
      </c>
      <c r="C21" s="685" t="str">
        <f>IFERROR(GETPIVOTDATA("Sum of Watch Manager",RDSFTERoleAreaPivot!$A$3,"ReportingLevel","1:LA","lvl","East Dunbartonshire"), "-")</f>
        <v>-</v>
      </c>
      <c r="D21" s="685" t="str">
        <f>IFERROR(GETPIVOTDATA("Sum of Crew Manager",RDSFTERoleAreaPivot!$A$3,"ReportingLevel","1:LA","lvl","East Dunbartonshire"), "-")</f>
        <v>-</v>
      </c>
      <c r="E21" s="685" t="str">
        <f>IFERROR(GETPIVOTDATA("Sum of Firefighter",RDSFTERoleAreaPivot!$A$3,"ReportingLevel","1:LA","lvl","East Dunbartonshire"), "-")</f>
        <v>-</v>
      </c>
      <c r="F21" s="752">
        <f t="shared" si="0"/>
        <v>0</v>
      </c>
    </row>
    <row r="22" spans="1:6" x14ac:dyDescent="0.25">
      <c r="A22" s="89" t="s">
        <v>269</v>
      </c>
      <c r="B22" s="48" t="s">
        <v>40</v>
      </c>
      <c r="C22" s="685">
        <f>GETPIVOTDATA("Sum of Watch Manager",RDSFTERoleAreaPivot!$A$3,"ReportingLevel","1:LA","lvl","East Lothian")</f>
        <v>4</v>
      </c>
      <c r="D22" s="685">
        <f>GETPIVOTDATA("Sum of Crew Manager",RDSFTERoleAreaPivot!$A$3,"ReportingLevel","1:LA","lvl","East Lothian")</f>
        <v>9.75</v>
      </c>
      <c r="E22" s="685">
        <f>GETPIVOTDATA("Sum of Firefighter",RDSFTERoleAreaPivot!$A$3,"ReportingLevel","1:LA","lvl","East Lothian")</f>
        <v>30.25</v>
      </c>
      <c r="F22" s="752">
        <f>SUM(C22:E22)</f>
        <v>44</v>
      </c>
    </row>
    <row r="23" spans="1:6" x14ac:dyDescent="0.25">
      <c r="A23" s="89" t="s">
        <v>270</v>
      </c>
      <c r="B23" s="48" t="s">
        <v>41</v>
      </c>
      <c r="C23" s="685" t="str">
        <f>IFERROR(GETPIVOTDATA("Sum of Watch Manager",RDSFTERoleAreaPivot!$A$3,"ReportingLevel","1:LA","lvl","East Renfrewshire"), "-")</f>
        <v>-</v>
      </c>
      <c r="D23" s="685" t="str">
        <f>IFERROR(GETPIVOTDATA("Sum of Crew Manager",RDSFTERoleAreaPivot!$A$3,"ReportingLevel","1:LA","lvl","East Renfrewshire"), "-")</f>
        <v>-</v>
      </c>
      <c r="E23" s="685" t="str">
        <f>IFERROR(GETPIVOTDATA("Sum of Firefighter",RDSFTERoleAreaPivot!$A$3,"ReportingLevel","1:LA","lvl","East Renfrewshire"), "-")</f>
        <v>-</v>
      </c>
      <c r="F23" s="752">
        <f t="shared" ref="F23:F43" si="1">SUM(C23:E23)</f>
        <v>0</v>
      </c>
    </row>
    <row r="24" spans="1:6" x14ac:dyDescent="0.25">
      <c r="A24" s="89" t="s">
        <v>272</v>
      </c>
      <c r="B24" s="48" t="s">
        <v>42</v>
      </c>
      <c r="C24" s="685">
        <f>GETPIVOTDATA("Sum of Watch Manager",RDSFTERoleAreaPivot!$A$3,"ReportingLevel","1:LA","lvl","Falkirk")</f>
        <v>3.75</v>
      </c>
      <c r="D24" s="685">
        <f>GETPIVOTDATA("Sum of Crew Manager",RDSFTERoleAreaPivot!$A$3,"ReportingLevel","1:LA","lvl","Falkirk")</f>
        <v>7.25</v>
      </c>
      <c r="E24" s="685">
        <f>GETPIVOTDATA("Sum of Firefighter",RDSFTERoleAreaPivot!$A$3,"ReportingLevel","1:LA","lvl","Falkirk")</f>
        <v>35</v>
      </c>
      <c r="F24" s="752">
        <f t="shared" si="1"/>
        <v>46</v>
      </c>
    </row>
    <row r="25" spans="1:6" x14ac:dyDescent="0.25">
      <c r="A25" s="89" t="s">
        <v>297</v>
      </c>
      <c r="B25" s="48" t="s">
        <v>43</v>
      </c>
      <c r="C25" s="685">
        <f>GETPIVOTDATA("Sum of Watch Manager",RDSFTERoleAreaPivot!$A$3,"ReportingLevel","1:LA","lvl","Fife")</f>
        <v>7.55</v>
      </c>
      <c r="D25" s="685">
        <f>GETPIVOTDATA("Sum of Crew Manager",RDSFTERoleAreaPivot!$A$3,"ReportingLevel","1:LA","lvl","Fife")</f>
        <v>17.63</v>
      </c>
      <c r="E25" s="685">
        <f>GETPIVOTDATA("Sum of Firefighter",RDSFTERoleAreaPivot!$A$3,"ReportingLevel","1:LA","lvl","Fife")</f>
        <v>61.09</v>
      </c>
      <c r="F25" s="752">
        <f t="shared" si="1"/>
        <v>86.27000000000001</v>
      </c>
    </row>
    <row r="26" spans="1:6" x14ac:dyDescent="0.25">
      <c r="A26" s="89" t="str">
        <f>IF(A9 = "2019-20","S12000049","S12000046")</f>
        <v>S12000046</v>
      </c>
      <c r="B26" s="48" t="s">
        <v>117</v>
      </c>
      <c r="C26" s="685" t="str">
        <f>IFERROR(GETPIVOTDATA("Sum of Watch Manager",RDSFTERoleAreaPivot!$A$3,"ReportingLevel","1:LA","lvl","Glasgow City"), "-")</f>
        <v>-</v>
      </c>
      <c r="D26" s="685" t="str">
        <f>IFERROR(GETPIVOTDATA("Sum of Crew Manager",RDSFTERoleAreaPivot!$A$3,"ReportingLevel","1:LA","lvl","Glasgow City"), "-")</f>
        <v>-</v>
      </c>
      <c r="E26" s="685" t="str">
        <f>IFERROR(GETPIVOTDATA("Sum of Firefighter",RDSFTERoleAreaPivot!$A$3,"ReportingLevel","1:LA","lvl","Glasgow City"), "-")</f>
        <v>-</v>
      </c>
      <c r="F26" s="752">
        <f t="shared" si="1"/>
        <v>0</v>
      </c>
    </row>
    <row r="27" spans="1:6" x14ac:dyDescent="0.25">
      <c r="A27" s="89" t="s">
        <v>273</v>
      </c>
      <c r="B27" s="48" t="s">
        <v>44</v>
      </c>
      <c r="C27" s="49">
        <f>GETPIVOTDATA("Sum of Watch Manager",RDSFTERoleAreaPivot!$A$3,"ReportingLevel","1:LA","lvl","Highland")</f>
        <v>40.25</v>
      </c>
      <c r="D27" s="49">
        <f>GETPIVOTDATA("Sum of Crew Manager",RDSFTERoleAreaPivot!$A$3,"ReportingLevel","1:LA","lvl","Highland")</f>
        <v>82.75</v>
      </c>
      <c r="E27" s="49">
        <f>GETPIVOTDATA("Sum of Firefighter",RDSFTERoleAreaPivot!$A$3,"ReportingLevel","1:LA","lvl","Highland")</f>
        <v>281</v>
      </c>
      <c r="F27" s="752">
        <f t="shared" si="1"/>
        <v>404</v>
      </c>
    </row>
    <row r="28" spans="1:6" x14ac:dyDescent="0.25">
      <c r="A28" s="89" t="s">
        <v>274</v>
      </c>
      <c r="B28" s="48" t="s">
        <v>45</v>
      </c>
      <c r="C28" s="49">
        <f>GETPIVOTDATA("Sum of Watch Manager",RDSFTERoleAreaPivot!$A$3,"ReportingLevel","1:LA","lvl","Inverclyde")</f>
        <v>2.5</v>
      </c>
      <c r="D28" s="49">
        <f>GETPIVOTDATA("Sum of Crew Manager",RDSFTERoleAreaPivot!$A$3,"ReportingLevel","1:LA","lvl","Inverclyde")</f>
        <v>5.5</v>
      </c>
      <c r="E28" s="49">
        <f>GETPIVOTDATA("Sum of Firefighter",RDSFTERoleAreaPivot!$A$3,"ReportingLevel","1:LA","lvl","Inverclyde")</f>
        <v>20.25</v>
      </c>
      <c r="F28" s="752">
        <f t="shared" si="1"/>
        <v>28.25</v>
      </c>
    </row>
    <row r="29" spans="1:6" x14ac:dyDescent="0.25">
      <c r="A29" s="89" t="s">
        <v>275</v>
      </c>
      <c r="B29" s="48" t="s">
        <v>46</v>
      </c>
      <c r="C29" s="49">
        <f>GETPIVOTDATA("Sum of Watch Manager",RDSFTERoleAreaPivot!$A$3,"ReportingLevel","1:LA","lvl","Midlothian")</f>
        <v>1</v>
      </c>
      <c r="D29" s="49">
        <f>GETPIVOTDATA("Sum of Crew Manager",RDSFTERoleAreaPivot!$A$3,"ReportingLevel","1:LA","lvl","Midlothian")</f>
        <v>1.5</v>
      </c>
      <c r="E29" s="49">
        <f>GETPIVOTDATA("Sum of Firefighter",RDSFTERoleAreaPivot!$A$3,"ReportingLevel","1:LA","lvl","Midlothian")</f>
        <v>7</v>
      </c>
      <c r="F29" s="752">
        <f t="shared" si="1"/>
        <v>9.5</v>
      </c>
    </row>
    <row r="30" spans="1:6" x14ac:dyDescent="0.25">
      <c r="A30" s="89" t="s">
        <v>276</v>
      </c>
      <c r="B30" s="48" t="s">
        <v>47</v>
      </c>
      <c r="C30" s="49">
        <f>GETPIVOTDATA("Sum of Watch Manager",RDSFTERoleAreaPivot!$A$3,"ReportingLevel","1:LA","lvl","Moray")</f>
        <v>10.75</v>
      </c>
      <c r="D30" s="49">
        <f>GETPIVOTDATA("Sum of Crew Manager",RDSFTERoleAreaPivot!$A$3,"ReportingLevel","1:LA","lvl","Moray")</f>
        <v>25.75</v>
      </c>
      <c r="E30" s="49">
        <f>GETPIVOTDATA("Sum of Firefighter",RDSFTERoleAreaPivot!$A$3,"ReportingLevel","1:LA","lvl","Moray")</f>
        <v>66.5</v>
      </c>
      <c r="F30" s="752">
        <f t="shared" si="1"/>
        <v>103</v>
      </c>
    </row>
    <row r="31" spans="1:6" x14ac:dyDescent="0.25">
      <c r="A31" s="89" t="s">
        <v>271</v>
      </c>
      <c r="B31" s="48" t="s">
        <v>48</v>
      </c>
      <c r="C31" s="49">
        <f>GETPIVOTDATA("Sum of Watch Manager",RDSFTERoleAreaPivot!$A$3,"ReportingLevel","1:LA","lvl","Na h-Eileanan Siar")</f>
        <v>13.75</v>
      </c>
      <c r="D31" s="49">
        <f>GETPIVOTDATA("Sum of Crew Manager",RDSFTERoleAreaPivot!$A$3,"ReportingLevel","1:LA","lvl","Na h-Eileanan Siar")</f>
        <v>26.5</v>
      </c>
      <c r="E31" s="49">
        <f>GETPIVOTDATA("Sum of Firefighter",RDSFTERoleAreaPivot!$A$3,"ReportingLevel","1:LA","lvl","Na h-Eileanan Siar")</f>
        <v>78.25</v>
      </c>
      <c r="F31" s="752">
        <f t="shared" si="1"/>
        <v>118.5</v>
      </c>
    </row>
    <row r="32" spans="1:6" x14ac:dyDescent="0.25">
      <c r="A32" s="89" t="s">
        <v>277</v>
      </c>
      <c r="B32" s="48" t="s">
        <v>49</v>
      </c>
      <c r="C32" s="49">
        <f>GETPIVOTDATA("Sum of Watch Manager",RDSFTERoleAreaPivot!$A$3,"ReportingLevel","1:LA","lvl","North Ayrshire")</f>
        <v>7.75</v>
      </c>
      <c r="D32" s="49">
        <f>GETPIVOTDATA("Sum of Crew Manager",RDSFTERoleAreaPivot!$A$3,"ReportingLevel","1:LA","lvl","North Ayrshire")</f>
        <v>10</v>
      </c>
      <c r="E32" s="49">
        <f>GETPIVOTDATA("Sum of Firefighter",RDSFTERoleAreaPivot!$A$3,"ReportingLevel","1:LA","lvl","North Ayrshire")</f>
        <v>62</v>
      </c>
      <c r="F32" s="752">
        <f t="shared" si="1"/>
        <v>79.75</v>
      </c>
    </row>
    <row r="33" spans="1:6" x14ac:dyDescent="0.25">
      <c r="A33" s="89" t="str">
        <f>IF(A9="2019-20","S12000050","S12000044")</f>
        <v>S12000044</v>
      </c>
      <c r="B33" s="48" t="s">
        <v>50</v>
      </c>
      <c r="C33" s="49">
        <f>GETPIVOTDATA("Sum of Watch Manager",RDSFTERoleAreaPivot!$A$3,"ReportingLevel","1:LA","lvl","North Lanarkshire")</f>
        <v>2</v>
      </c>
      <c r="D33" s="49">
        <f>GETPIVOTDATA("Sum of Crew Manager",RDSFTERoleAreaPivot!$A$3,"ReportingLevel","1:LA","lvl","North Lanarkshire")</f>
        <v>3.75</v>
      </c>
      <c r="E33" s="49">
        <f>GETPIVOTDATA("Sum of Firefighter",RDSFTERoleAreaPivot!$A$3,"ReportingLevel","1:LA","lvl","North Lanarkshire")</f>
        <v>13.75</v>
      </c>
      <c r="F33" s="752">
        <f t="shared" si="1"/>
        <v>19.5</v>
      </c>
    </row>
    <row r="34" spans="1:6" x14ac:dyDescent="0.25">
      <c r="A34" s="89" t="s">
        <v>278</v>
      </c>
      <c r="B34" s="48" t="s">
        <v>51</v>
      </c>
      <c r="C34" s="49">
        <f>GETPIVOTDATA("Sum of Watch Manager",RDSFTERoleAreaPivot!$A$3,"ReportingLevel","1:LA","lvl","Orkney Islands")</f>
        <v>11.5</v>
      </c>
      <c r="D34" s="49">
        <f>GETPIVOTDATA("Sum of Crew Manager",RDSFTERoleAreaPivot!$A$3,"ReportingLevel","1:LA","lvl","Orkney Islands")</f>
        <v>22</v>
      </c>
      <c r="E34" s="49">
        <f>GETPIVOTDATA("Sum of Firefighter",RDSFTERoleAreaPivot!$A$3,"ReportingLevel","1:LA","lvl","Orkney Islands")</f>
        <v>73.75</v>
      </c>
      <c r="F34" s="752">
        <f t="shared" si="1"/>
        <v>107.25</v>
      </c>
    </row>
    <row r="35" spans="1:6" x14ac:dyDescent="0.25">
      <c r="A35" s="89" t="s">
        <v>279</v>
      </c>
      <c r="B35" s="48" t="s">
        <v>52</v>
      </c>
      <c r="C35" s="49">
        <f>GETPIVOTDATA("Sum of Watch Manager",RDSFTERoleAreaPivot!$A$3,"ReportingLevel","1:LA","lvl","Perth and Kinross")</f>
        <v>10</v>
      </c>
      <c r="D35" s="49">
        <f>GETPIVOTDATA("Sum of Crew Manager",RDSFTERoleAreaPivot!$A$3,"ReportingLevel","1:LA","lvl","Perth and Kinross")</f>
        <v>18.25</v>
      </c>
      <c r="E35" s="49">
        <f>GETPIVOTDATA("Sum of Firefighter",RDSFTERoleAreaPivot!$A$3,"ReportingLevel","1:LA","lvl","Perth and Kinross")</f>
        <v>72.75</v>
      </c>
      <c r="F35" s="752">
        <f t="shared" si="1"/>
        <v>101</v>
      </c>
    </row>
    <row r="36" spans="1:6" x14ac:dyDescent="0.25">
      <c r="A36" s="89" t="s">
        <v>289</v>
      </c>
      <c r="B36" s="48" t="s">
        <v>53</v>
      </c>
      <c r="C36" s="49">
        <f>GETPIVOTDATA("Sum of Watch Manager",RDSFTERoleAreaPivot!$A$3,"ReportingLevel","1:LA","lvl","Renfrewshire")</f>
        <v>0.75</v>
      </c>
      <c r="D36" s="49">
        <f>GETPIVOTDATA("Sum of Crew Manager",RDSFTERoleAreaPivot!$A$3,"ReportingLevel","1:LA","lvl","Renfrewshire")</f>
        <v>1.5</v>
      </c>
      <c r="E36" s="49">
        <f>GETPIVOTDATA("Sum of Firefighter",RDSFTERoleAreaPivot!$A$3,"ReportingLevel","1:LA","lvl","Renfrewshire")</f>
        <v>6</v>
      </c>
      <c r="F36" s="752">
        <f t="shared" si="1"/>
        <v>8.25</v>
      </c>
    </row>
    <row r="37" spans="1:6" x14ac:dyDescent="0.25">
      <c r="A37" s="89" t="s">
        <v>280</v>
      </c>
      <c r="B37" s="48" t="s">
        <v>54</v>
      </c>
      <c r="C37" s="49">
        <f>GETPIVOTDATA("Sum of Watch Manager",RDSFTERoleAreaPivot!$A$3,"ReportingLevel","1:LA","lvl","Scottish Borders")</f>
        <v>10.75</v>
      </c>
      <c r="D37" s="49">
        <f>GETPIVOTDATA("Sum of Crew Manager",RDSFTERoleAreaPivot!$A$3,"ReportingLevel","1:LA","lvl","Scottish Borders")</f>
        <v>22.75</v>
      </c>
      <c r="E37" s="49">
        <f>GETPIVOTDATA("Sum of Firefighter",RDSFTERoleAreaPivot!$A$3,"ReportingLevel","1:LA","lvl","Scottish Borders")</f>
        <v>78</v>
      </c>
      <c r="F37" s="752">
        <f t="shared" si="1"/>
        <v>111.5</v>
      </c>
    </row>
    <row r="38" spans="1:6" x14ac:dyDescent="0.25">
      <c r="A38" s="89" t="s">
        <v>281</v>
      </c>
      <c r="B38" s="48" t="s">
        <v>55</v>
      </c>
      <c r="C38" s="49">
        <f>GETPIVOTDATA("Sum of Watch Manager",RDSFTERoleAreaPivot!$A$3,"ReportingLevel","1:LA","lvl","Shetland Islands")</f>
        <v>13</v>
      </c>
      <c r="D38" s="49">
        <f>GETPIVOTDATA("Sum of Crew Manager",RDSFTERoleAreaPivot!$A$3,"ReportingLevel","1:LA","lvl","Shetland Islands")</f>
        <v>21.25</v>
      </c>
      <c r="E38" s="49">
        <f>GETPIVOTDATA("Sum of Firefighter",RDSFTERoleAreaPivot!$A$3,"ReportingLevel","1:LA","lvl","Shetland Islands")</f>
        <v>68</v>
      </c>
      <c r="F38" s="752">
        <f t="shared" si="1"/>
        <v>102.25</v>
      </c>
    </row>
    <row r="39" spans="1:6" x14ac:dyDescent="0.25">
      <c r="A39" s="89" t="s">
        <v>282</v>
      </c>
      <c r="B39" s="48" t="s">
        <v>56</v>
      </c>
      <c r="C39" s="49">
        <f>GETPIVOTDATA("Sum of Watch Manager",RDSFTERoleAreaPivot!$A$3,"ReportingLevel","1:LA","lvl","South Ayrshire")</f>
        <v>3.25</v>
      </c>
      <c r="D39" s="49">
        <f>GETPIVOTDATA("Sum of Crew Manager",RDSFTERoleAreaPivot!$A$3,"ReportingLevel","1:LA","lvl","South Ayrshire")</f>
        <v>6.25</v>
      </c>
      <c r="E39" s="49">
        <f>GETPIVOTDATA("Sum of Firefighter",RDSFTERoleAreaPivot!$A$3,"ReportingLevel","1:LA","lvl","South Ayrshire")</f>
        <v>25.5</v>
      </c>
      <c r="F39" s="752">
        <f t="shared" si="1"/>
        <v>35</v>
      </c>
    </row>
    <row r="40" spans="1:6" x14ac:dyDescent="0.25">
      <c r="A40" s="89" t="s">
        <v>283</v>
      </c>
      <c r="B40" s="48" t="s">
        <v>57</v>
      </c>
      <c r="C40" s="49">
        <f>GETPIVOTDATA("Sum of Watch Manager",RDSFTERoleAreaPivot!$A$3,"ReportingLevel","1:LA","lvl","South Lanarkshire")</f>
        <v>6.25</v>
      </c>
      <c r="D40" s="49">
        <f>GETPIVOTDATA("Sum of Crew Manager",RDSFTERoleAreaPivot!$A$3,"ReportingLevel","1:LA","lvl","South Lanarkshire")</f>
        <v>9.5</v>
      </c>
      <c r="E40" s="49">
        <f>GETPIVOTDATA("Sum of Firefighter",RDSFTERoleAreaPivot!$A$3,"ReportingLevel","1:LA","lvl","South Lanarkshire")</f>
        <v>38.25</v>
      </c>
      <c r="F40" s="752">
        <f t="shared" si="1"/>
        <v>54</v>
      </c>
    </row>
    <row r="41" spans="1:6" x14ac:dyDescent="0.25">
      <c r="A41" s="89" t="s">
        <v>284</v>
      </c>
      <c r="B41" s="48" t="s">
        <v>58</v>
      </c>
      <c r="C41" s="49">
        <f>GETPIVOTDATA("Sum of Watch Manager",RDSFTERoleAreaPivot!$A$3,"ReportingLevel","1:LA","lvl","Stirling")</f>
        <v>6</v>
      </c>
      <c r="D41" s="49">
        <f>GETPIVOTDATA("Sum of Crew Manager",RDSFTERoleAreaPivot!$A$3,"ReportingLevel","1:LA","lvl","Stirling")</f>
        <v>12</v>
      </c>
      <c r="E41" s="49">
        <f>GETPIVOTDATA("Sum of Firefighter",RDSFTERoleAreaPivot!$A$3,"ReportingLevel","1:LA","lvl","Stirling")</f>
        <v>38.25</v>
      </c>
      <c r="F41" s="752">
        <f t="shared" si="1"/>
        <v>56.25</v>
      </c>
    </row>
    <row r="42" spans="1:6" x14ac:dyDescent="0.25">
      <c r="A42" s="89" t="s">
        <v>290</v>
      </c>
      <c r="B42" s="48" t="s">
        <v>59</v>
      </c>
      <c r="C42" s="49">
        <f>GETPIVOTDATA("Sum of Watch Manager",RDSFTERoleAreaPivot!$A$3,"ReportingLevel","1:LA","lvl","West Dunbartonshire")</f>
        <v>1.5</v>
      </c>
      <c r="D42" s="49">
        <f>GETPIVOTDATA("Sum of Crew Manager",RDSFTERoleAreaPivot!$A$3,"ReportingLevel","1:LA","lvl","West Dunbartonshire")</f>
        <v>1.5</v>
      </c>
      <c r="E42" s="49">
        <f>GETPIVOTDATA("Sum of Firefighter",RDSFTERoleAreaPivot!$A$3,"ReportingLevel","1:LA","lvl","West Dunbartonshire")</f>
        <v>13.75</v>
      </c>
      <c r="F42" s="752">
        <f t="shared" si="1"/>
        <v>16.75</v>
      </c>
    </row>
    <row r="43" spans="1:6" x14ac:dyDescent="0.25">
      <c r="A43" s="89" t="s">
        <v>291</v>
      </c>
      <c r="B43" s="48" t="s">
        <v>60</v>
      </c>
      <c r="C43" s="49">
        <f>GETPIVOTDATA("Sum of Watch Manager",RDSFTERoleAreaPivot!$A$3,"ReportingLevel","1:LA","lvl","West Lothian")</f>
        <v>4.5</v>
      </c>
      <c r="D43" s="49">
        <f>GETPIVOTDATA("Sum of Crew Manager",RDSFTERoleAreaPivot!$A$3,"ReportingLevel","1:LA","lvl","West Lothian")</f>
        <v>7.75</v>
      </c>
      <c r="E43" s="49">
        <f>GETPIVOTDATA("Sum of Firefighter",RDSFTERoleAreaPivot!$A$3,"ReportingLevel","1:LA","lvl","West Lothian")</f>
        <v>30</v>
      </c>
      <c r="F43" s="752">
        <f t="shared" si="1"/>
        <v>42.25</v>
      </c>
    </row>
    <row r="44" spans="1:6" ht="15.75" thickBot="1" x14ac:dyDescent="0.3">
      <c r="A44" s="463"/>
      <c r="B44" s="52" t="s">
        <v>61</v>
      </c>
      <c r="C44" s="319">
        <f>RDSFTERoleAreaPivot!B7</f>
        <v>222.3</v>
      </c>
      <c r="D44" s="319">
        <f>RDSFTERoleAreaPivot!C7</f>
        <v>452.13</v>
      </c>
      <c r="E44" s="319">
        <f>RDSFTERoleAreaPivot!D7</f>
        <v>1615.3400000000001</v>
      </c>
      <c r="F44" s="319">
        <f>SUM(C44:E44)</f>
        <v>2289.7700000000004</v>
      </c>
    </row>
    <row r="45" spans="1:6" x14ac:dyDescent="0.25">
      <c r="B45" s="81"/>
      <c r="C45" s="270"/>
      <c r="D45" s="270"/>
      <c r="E45" s="270"/>
      <c r="F45" s="270"/>
    </row>
    <row r="46" spans="1:6" x14ac:dyDescent="0.25">
      <c r="A46" s="353" t="s">
        <v>8</v>
      </c>
    </row>
    <row r="47" spans="1:6" x14ac:dyDescent="0.25">
      <c r="A47" s="466" t="s">
        <v>212</v>
      </c>
    </row>
    <row r="48" spans="1:6" x14ac:dyDescent="0.25">
      <c r="A48" s="377" t="s">
        <v>213</v>
      </c>
    </row>
    <row r="49" spans="1:10" ht="45" customHeight="1" x14ac:dyDescent="0.25">
      <c r="A49" s="1003" t="s">
        <v>844</v>
      </c>
      <c r="B49" s="1003"/>
      <c r="C49" s="1003"/>
      <c r="D49" s="1003"/>
      <c r="E49" s="1003"/>
      <c r="F49" s="1003"/>
      <c r="G49" s="1003"/>
      <c r="H49" s="1003"/>
      <c r="I49" s="1003"/>
      <c r="J49" s="379"/>
    </row>
    <row r="50" spans="1:10" x14ac:dyDescent="0.25">
      <c r="B50" s="350"/>
    </row>
    <row r="51" spans="1:10" x14ac:dyDescent="0.25">
      <c r="E51" s="377"/>
    </row>
  </sheetData>
  <sheetProtection algorithmName="SHA-512" hashValue="yXoaiIEeBhFKyHhqLccmmVNgeTxKcPXo/lyWr75/PYrwZgUPEgeYTCIsX9v8wkKE5Dqdj/ExU2wL/0sbX3dSAA==" saltValue="2JGGFzyDy2Y5p56NVZLruQ==" spinCount="100000" sheet="1" scenarios="1" formatCells="0" sort="0" autoFilter="0" pivotTables="0"/>
  <mergeCells count="2">
    <mergeCell ref="A1:G1"/>
    <mergeCell ref="A49:I49"/>
  </mergeCells>
  <hyperlinks>
    <hyperlink ref="A2" location="'Table of Contents'!A1" display="Back to Table of Contents" xr:uid="{00000000-0004-0000-4A00-000000000000}"/>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H193"/>
  <sheetViews>
    <sheetView topLeftCell="A175" zoomScale="90" zoomScaleNormal="90" workbookViewId="0">
      <selection activeCell="F191" sqref="F191"/>
    </sheetView>
  </sheetViews>
  <sheetFormatPr defaultRowHeight="15" x14ac:dyDescent="0.25"/>
  <cols>
    <col min="2" max="2" width="20.42578125" bestFit="1" customWidth="1"/>
    <col min="3" max="3" width="16.42578125" bestFit="1" customWidth="1"/>
    <col min="4" max="4" width="28.28515625" bestFit="1" customWidth="1"/>
    <col min="5" max="5" width="23.85546875" bestFit="1" customWidth="1"/>
    <col min="6" max="6" width="15.5703125" bestFit="1" customWidth="1"/>
    <col min="7" max="7" width="14.5703125" bestFit="1" customWidth="1"/>
  </cols>
  <sheetData>
    <row r="1" spans="1:8" x14ac:dyDescent="0.25">
      <c r="A1" t="s">
        <v>1</v>
      </c>
      <c r="B1" t="s">
        <v>1009</v>
      </c>
      <c r="C1" s="658" t="s">
        <v>115</v>
      </c>
      <c r="D1" s="658" t="s">
        <v>349</v>
      </c>
      <c r="E1" s="658" t="s">
        <v>350</v>
      </c>
      <c r="F1" s="658" t="s">
        <v>29</v>
      </c>
      <c r="G1" s="658" t="s">
        <v>183</v>
      </c>
      <c r="H1" s="317" t="s">
        <v>26</v>
      </c>
    </row>
    <row r="2" spans="1:8" x14ac:dyDescent="0.25">
      <c r="A2" t="s">
        <v>239</v>
      </c>
      <c r="B2" s="395" t="s">
        <v>31</v>
      </c>
      <c r="C2">
        <v>3</v>
      </c>
      <c r="G2">
        <v>1</v>
      </c>
      <c r="H2">
        <f>SUM(C2:G2)</f>
        <v>4</v>
      </c>
    </row>
    <row r="3" spans="1:8" x14ac:dyDescent="0.25">
      <c r="A3" t="s">
        <v>239</v>
      </c>
      <c r="B3" s="395" t="s">
        <v>32</v>
      </c>
      <c r="D3">
        <v>1</v>
      </c>
      <c r="G3">
        <v>23</v>
      </c>
      <c r="H3">
        <f t="shared" ref="H3:H66" si="0">SUM(C3:G3)</f>
        <v>24</v>
      </c>
    </row>
    <row r="4" spans="1:8" x14ac:dyDescent="0.25">
      <c r="A4" t="s">
        <v>239</v>
      </c>
      <c r="B4" s="395" t="s">
        <v>33</v>
      </c>
      <c r="D4">
        <v>1</v>
      </c>
      <c r="G4">
        <v>5</v>
      </c>
      <c r="H4">
        <f t="shared" si="0"/>
        <v>6</v>
      </c>
    </row>
    <row r="5" spans="1:8" x14ac:dyDescent="0.25">
      <c r="A5" t="s">
        <v>239</v>
      </c>
      <c r="B5" s="395" t="s">
        <v>34</v>
      </c>
      <c r="D5">
        <v>2</v>
      </c>
      <c r="F5">
        <v>25</v>
      </c>
      <c r="G5">
        <v>12</v>
      </c>
      <c r="H5">
        <f t="shared" si="0"/>
        <v>39</v>
      </c>
    </row>
    <row r="6" spans="1:8" x14ac:dyDescent="0.25">
      <c r="A6" t="s">
        <v>239</v>
      </c>
      <c r="B6" s="395" t="s">
        <v>243</v>
      </c>
      <c r="C6">
        <v>7</v>
      </c>
      <c r="G6">
        <v>1</v>
      </c>
      <c r="H6">
        <f t="shared" si="0"/>
        <v>8</v>
      </c>
    </row>
    <row r="7" spans="1:8" x14ac:dyDescent="0.25">
      <c r="A7" t="s">
        <v>239</v>
      </c>
      <c r="B7" s="395" t="s">
        <v>35</v>
      </c>
      <c r="D7">
        <v>1</v>
      </c>
      <c r="G7">
        <v>1</v>
      </c>
      <c r="H7">
        <f t="shared" si="0"/>
        <v>2</v>
      </c>
    </row>
    <row r="8" spans="1:8" x14ac:dyDescent="0.25">
      <c r="A8" t="s">
        <v>239</v>
      </c>
      <c r="B8" s="395" t="s">
        <v>36</v>
      </c>
      <c r="D8">
        <v>1</v>
      </c>
      <c r="F8">
        <v>1</v>
      </c>
      <c r="G8">
        <v>15</v>
      </c>
      <c r="H8">
        <f t="shared" si="0"/>
        <v>17</v>
      </c>
    </row>
    <row r="9" spans="1:8" x14ac:dyDescent="0.25">
      <c r="A9" t="s">
        <v>239</v>
      </c>
      <c r="B9" s="395" t="s">
        <v>37</v>
      </c>
      <c r="C9">
        <v>3</v>
      </c>
      <c r="D9">
        <v>1</v>
      </c>
      <c r="H9">
        <f t="shared" si="0"/>
        <v>4</v>
      </c>
    </row>
    <row r="10" spans="1:8" x14ac:dyDescent="0.25">
      <c r="A10" t="s">
        <v>239</v>
      </c>
      <c r="B10" s="395" t="s">
        <v>38</v>
      </c>
      <c r="C10">
        <v>1</v>
      </c>
      <c r="G10">
        <v>7</v>
      </c>
      <c r="H10">
        <f t="shared" si="0"/>
        <v>8</v>
      </c>
    </row>
    <row r="11" spans="1:8" x14ac:dyDescent="0.25">
      <c r="A11" t="s">
        <v>239</v>
      </c>
      <c r="B11" s="395" t="s">
        <v>39</v>
      </c>
      <c r="C11">
        <v>3</v>
      </c>
      <c r="H11">
        <f t="shared" si="0"/>
        <v>3</v>
      </c>
    </row>
    <row r="12" spans="1:8" x14ac:dyDescent="0.25">
      <c r="A12" t="s">
        <v>239</v>
      </c>
      <c r="B12" s="395" t="s">
        <v>40</v>
      </c>
      <c r="C12">
        <v>1</v>
      </c>
      <c r="G12">
        <v>5</v>
      </c>
      <c r="H12">
        <f t="shared" si="0"/>
        <v>6</v>
      </c>
    </row>
    <row r="13" spans="1:8" x14ac:dyDescent="0.25">
      <c r="A13" t="s">
        <v>239</v>
      </c>
      <c r="B13" s="395" t="s">
        <v>41</v>
      </c>
      <c r="C13">
        <v>2</v>
      </c>
      <c r="H13">
        <f t="shared" si="0"/>
        <v>2</v>
      </c>
    </row>
    <row r="14" spans="1:8" x14ac:dyDescent="0.25">
      <c r="A14" t="s">
        <v>239</v>
      </c>
      <c r="B14" s="395" t="s">
        <v>42</v>
      </c>
      <c r="D14">
        <v>3</v>
      </c>
      <c r="G14">
        <v>2</v>
      </c>
      <c r="H14">
        <f t="shared" si="0"/>
        <v>5</v>
      </c>
    </row>
    <row r="15" spans="1:8" x14ac:dyDescent="0.25">
      <c r="A15" t="s">
        <v>239</v>
      </c>
      <c r="B15" s="395" t="s">
        <v>43</v>
      </c>
      <c r="C15">
        <v>5</v>
      </c>
      <c r="G15">
        <v>8</v>
      </c>
      <c r="H15">
        <f t="shared" si="0"/>
        <v>13</v>
      </c>
    </row>
    <row r="16" spans="1:8" x14ac:dyDescent="0.25">
      <c r="A16" t="s">
        <v>239</v>
      </c>
      <c r="B16" s="395" t="s">
        <v>117</v>
      </c>
      <c r="C16">
        <v>11</v>
      </c>
      <c r="H16">
        <f t="shared" si="0"/>
        <v>11</v>
      </c>
    </row>
    <row r="17" spans="1:8" x14ac:dyDescent="0.25">
      <c r="A17" t="s">
        <v>239</v>
      </c>
      <c r="B17" s="395" t="s">
        <v>44</v>
      </c>
      <c r="D17">
        <v>1</v>
      </c>
      <c r="F17">
        <v>9</v>
      </c>
      <c r="G17">
        <v>51</v>
      </c>
      <c r="H17">
        <f t="shared" si="0"/>
        <v>61</v>
      </c>
    </row>
    <row r="18" spans="1:8" x14ac:dyDescent="0.25">
      <c r="A18" t="s">
        <v>239</v>
      </c>
      <c r="B18" s="395" t="s">
        <v>45</v>
      </c>
      <c r="D18">
        <v>2</v>
      </c>
      <c r="G18">
        <v>1</v>
      </c>
      <c r="H18">
        <f t="shared" si="0"/>
        <v>3</v>
      </c>
    </row>
    <row r="19" spans="1:8" x14ac:dyDescent="0.25">
      <c r="A19" t="s">
        <v>239</v>
      </c>
      <c r="B19" s="395" t="s">
        <v>46</v>
      </c>
      <c r="C19">
        <v>1</v>
      </c>
      <c r="G19">
        <v>1</v>
      </c>
      <c r="H19">
        <f t="shared" si="0"/>
        <v>2</v>
      </c>
    </row>
    <row r="20" spans="1:8" x14ac:dyDescent="0.25">
      <c r="A20" t="s">
        <v>239</v>
      </c>
      <c r="B20" s="395" t="s">
        <v>47</v>
      </c>
      <c r="D20">
        <v>1</v>
      </c>
      <c r="F20">
        <v>1</v>
      </c>
      <c r="G20">
        <v>10</v>
      </c>
      <c r="H20">
        <f t="shared" si="0"/>
        <v>12</v>
      </c>
    </row>
    <row r="21" spans="1:8" x14ac:dyDescent="0.25">
      <c r="A21" t="s">
        <v>239</v>
      </c>
      <c r="B21" s="395" t="s">
        <v>48</v>
      </c>
      <c r="G21">
        <v>14</v>
      </c>
      <c r="H21">
        <f t="shared" si="0"/>
        <v>14</v>
      </c>
    </row>
    <row r="22" spans="1:8" x14ac:dyDescent="0.25">
      <c r="A22" t="s">
        <v>239</v>
      </c>
      <c r="B22" s="395" t="s">
        <v>49</v>
      </c>
      <c r="C22">
        <v>1</v>
      </c>
      <c r="D22">
        <v>2</v>
      </c>
      <c r="F22">
        <v>3</v>
      </c>
      <c r="G22">
        <v>8</v>
      </c>
      <c r="H22">
        <f t="shared" si="0"/>
        <v>14</v>
      </c>
    </row>
    <row r="23" spans="1:8" x14ac:dyDescent="0.25">
      <c r="A23" t="s">
        <v>239</v>
      </c>
      <c r="B23" s="395" t="s">
        <v>50</v>
      </c>
      <c r="C23">
        <v>4</v>
      </c>
      <c r="G23">
        <v>3</v>
      </c>
      <c r="H23">
        <f t="shared" si="0"/>
        <v>7</v>
      </c>
    </row>
    <row r="24" spans="1:8" x14ac:dyDescent="0.25">
      <c r="A24" t="s">
        <v>239</v>
      </c>
      <c r="B24" s="395" t="s">
        <v>51</v>
      </c>
      <c r="G24">
        <v>12</v>
      </c>
      <c r="H24">
        <f t="shared" si="0"/>
        <v>12</v>
      </c>
    </row>
    <row r="25" spans="1:8" x14ac:dyDescent="0.25">
      <c r="A25" t="s">
        <v>239</v>
      </c>
      <c r="B25" s="395" t="s">
        <v>52</v>
      </c>
      <c r="C25">
        <v>1</v>
      </c>
      <c r="F25">
        <v>3</v>
      </c>
      <c r="G25">
        <v>10</v>
      </c>
      <c r="H25">
        <f t="shared" si="0"/>
        <v>14</v>
      </c>
    </row>
    <row r="26" spans="1:8" x14ac:dyDescent="0.25">
      <c r="A26" t="s">
        <v>239</v>
      </c>
      <c r="B26" s="395" t="s">
        <v>53</v>
      </c>
      <c r="C26">
        <v>2</v>
      </c>
      <c r="D26">
        <v>1</v>
      </c>
      <c r="H26">
        <f t="shared" si="0"/>
        <v>3</v>
      </c>
    </row>
    <row r="27" spans="1:8" x14ac:dyDescent="0.25">
      <c r="A27" t="s">
        <v>239</v>
      </c>
      <c r="B27" s="395" t="s">
        <v>54</v>
      </c>
      <c r="D27">
        <v>2</v>
      </c>
      <c r="G27">
        <v>11</v>
      </c>
      <c r="H27">
        <f t="shared" si="0"/>
        <v>13</v>
      </c>
    </row>
    <row r="28" spans="1:8" x14ac:dyDescent="0.25">
      <c r="A28" t="s">
        <v>239</v>
      </c>
      <c r="B28" s="395" t="s">
        <v>55</v>
      </c>
      <c r="G28">
        <v>14</v>
      </c>
      <c r="H28">
        <f t="shared" si="0"/>
        <v>14</v>
      </c>
    </row>
    <row r="29" spans="1:8" x14ac:dyDescent="0.25">
      <c r="A29" t="s">
        <v>239</v>
      </c>
      <c r="B29" s="395" t="s">
        <v>56</v>
      </c>
      <c r="D29">
        <v>1</v>
      </c>
      <c r="G29">
        <v>4</v>
      </c>
      <c r="H29">
        <f t="shared" si="0"/>
        <v>5</v>
      </c>
    </row>
    <row r="30" spans="1:8" x14ac:dyDescent="0.25">
      <c r="A30" t="s">
        <v>239</v>
      </c>
      <c r="B30" s="395" t="s">
        <v>57</v>
      </c>
      <c r="C30">
        <v>3</v>
      </c>
      <c r="D30">
        <v>1</v>
      </c>
      <c r="F30">
        <v>1</v>
      </c>
      <c r="G30">
        <v>7</v>
      </c>
      <c r="H30">
        <f t="shared" si="0"/>
        <v>12</v>
      </c>
    </row>
    <row r="31" spans="1:8" x14ac:dyDescent="0.25">
      <c r="A31" t="s">
        <v>239</v>
      </c>
      <c r="B31" s="395" t="s">
        <v>58</v>
      </c>
      <c r="C31">
        <v>1</v>
      </c>
      <c r="G31">
        <v>9</v>
      </c>
      <c r="H31">
        <f t="shared" si="0"/>
        <v>10</v>
      </c>
    </row>
    <row r="32" spans="1:8" x14ac:dyDescent="0.25">
      <c r="A32" t="s">
        <v>239</v>
      </c>
      <c r="B32" s="395" t="s">
        <v>59</v>
      </c>
      <c r="C32">
        <v>1</v>
      </c>
      <c r="D32">
        <v>1</v>
      </c>
      <c r="G32">
        <v>1</v>
      </c>
      <c r="H32">
        <f t="shared" si="0"/>
        <v>3</v>
      </c>
    </row>
    <row r="33" spans="1:8" x14ac:dyDescent="0.25">
      <c r="A33" t="s">
        <v>239</v>
      </c>
      <c r="B33" s="395" t="s">
        <v>60</v>
      </c>
      <c r="D33">
        <v>1</v>
      </c>
      <c r="E33">
        <v>1</v>
      </c>
      <c r="G33">
        <v>4</v>
      </c>
      <c r="H33">
        <f t="shared" si="0"/>
        <v>6</v>
      </c>
    </row>
    <row r="34" spans="1:8" x14ac:dyDescent="0.25">
      <c r="A34" t="s">
        <v>760</v>
      </c>
      <c r="B34" s="395" t="s">
        <v>31</v>
      </c>
      <c r="C34">
        <v>3</v>
      </c>
      <c r="G34">
        <v>1</v>
      </c>
      <c r="H34">
        <f t="shared" si="0"/>
        <v>4</v>
      </c>
    </row>
    <row r="35" spans="1:8" x14ac:dyDescent="0.25">
      <c r="A35" t="s">
        <v>760</v>
      </c>
      <c r="B35" s="395" t="s">
        <v>32</v>
      </c>
      <c r="D35">
        <v>1</v>
      </c>
      <c r="G35">
        <v>23</v>
      </c>
      <c r="H35">
        <f t="shared" si="0"/>
        <v>24</v>
      </c>
    </row>
    <row r="36" spans="1:8" x14ac:dyDescent="0.25">
      <c r="A36" t="s">
        <v>760</v>
      </c>
      <c r="B36" s="395" t="s">
        <v>33</v>
      </c>
      <c r="D36">
        <v>1</v>
      </c>
      <c r="G36">
        <v>5</v>
      </c>
      <c r="H36">
        <f t="shared" si="0"/>
        <v>6</v>
      </c>
    </row>
    <row r="37" spans="1:8" x14ac:dyDescent="0.25">
      <c r="A37" t="s">
        <v>760</v>
      </c>
      <c r="B37" s="395" t="s">
        <v>34</v>
      </c>
      <c r="D37">
        <v>2</v>
      </c>
      <c r="F37">
        <v>25</v>
      </c>
      <c r="G37">
        <v>12</v>
      </c>
      <c r="H37">
        <f t="shared" si="0"/>
        <v>39</v>
      </c>
    </row>
    <row r="38" spans="1:8" x14ac:dyDescent="0.25">
      <c r="A38" t="s">
        <v>760</v>
      </c>
      <c r="B38" s="395" t="s">
        <v>243</v>
      </c>
      <c r="C38">
        <v>7</v>
      </c>
      <c r="G38">
        <v>1</v>
      </c>
      <c r="H38">
        <f t="shared" si="0"/>
        <v>8</v>
      </c>
    </row>
    <row r="39" spans="1:8" x14ac:dyDescent="0.25">
      <c r="A39" t="s">
        <v>760</v>
      </c>
      <c r="B39" s="395" t="s">
        <v>35</v>
      </c>
      <c r="D39">
        <v>1</v>
      </c>
      <c r="G39">
        <v>1</v>
      </c>
      <c r="H39">
        <f t="shared" si="0"/>
        <v>2</v>
      </c>
    </row>
    <row r="40" spans="1:8" x14ac:dyDescent="0.25">
      <c r="A40" t="s">
        <v>760</v>
      </c>
      <c r="B40" s="395" t="s">
        <v>36</v>
      </c>
      <c r="D40">
        <v>1</v>
      </c>
      <c r="F40">
        <v>1</v>
      </c>
      <c r="G40">
        <v>15</v>
      </c>
      <c r="H40">
        <f t="shared" si="0"/>
        <v>17</v>
      </c>
    </row>
    <row r="41" spans="1:8" x14ac:dyDescent="0.25">
      <c r="A41" t="s">
        <v>760</v>
      </c>
      <c r="B41" s="395" t="s">
        <v>37</v>
      </c>
      <c r="C41">
        <v>3</v>
      </c>
      <c r="D41">
        <v>1</v>
      </c>
      <c r="H41">
        <f t="shared" si="0"/>
        <v>4</v>
      </c>
    </row>
    <row r="42" spans="1:8" x14ac:dyDescent="0.25">
      <c r="A42" t="s">
        <v>760</v>
      </c>
      <c r="B42" s="395" t="s">
        <v>38</v>
      </c>
      <c r="C42">
        <v>1</v>
      </c>
      <c r="G42">
        <v>7</v>
      </c>
      <c r="H42">
        <f t="shared" si="0"/>
        <v>8</v>
      </c>
    </row>
    <row r="43" spans="1:8" x14ac:dyDescent="0.25">
      <c r="A43" t="s">
        <v>760</v>
      </c>
      <c r="B43" s="395" t="s">
        <v>39</v>
      </c>
      <c r="C43">
        <v>3</v>
      </c>
      <c r="H43">
        <f t="shared" si="0"/>
        <v>3</v>
      </c>
    </row>
    <row r="44" spans="1:8" x14ac:dyDescent="0.25">
      <c r="A44" t="s">
        <v>760</v>
      </c>
      <c r="B44" s="395" t="s">
        <v>40</v>
      </c>
      <c r="C44">
        <v>1</v>
      </c>
      <c r="G44">
        <v>5</v>
      </c>
      <c r="H44">
        <f t="shared" si="0"/>
        <v>6</v>
      </c>
    </row>
    <row r="45" spans="1:8" x14ac:dyDescent="0.25">
      <c r="A45" t="s">
        <v>760</v>
      </c>
      <c r="B45" s="395" t="s">
        <v>41</v>
      </c>
      <c r="C45">
        <v>2</v>
      </c>
      <c r="H45">
        <f t="shared" si="0"/>
        <v>2</v>
      </c>
    </row>
    <row r="46" spans="1:8" x14ac:dyDescent="0.25">
      <c r="A46" t="s">
        <v>760</v>
      </c>
      <c r="B46" s="395" t="s">
        <v>42</v>
      </c>
      <c r="D46">
        <v>3</v>
      </c>
      <c r="G46">
        <v>2</v>
      </c>
      <c r="H46">
        <f t="shared" si="0"/>
        <v>5</v>
      </c>
    </row>
    <row r="47" spans="1:8" x14ac:dyDescent="0.25">
      <c r="A47" t="s">
        <v>760</v>
      </c>
      <c r="B47" s="395" t="s">
        <v>43</v>
      </c>
      <c r="C47">
        <v>5</v>
      </c>
      <c r="G47">
        <v>8</v>
      </c>
      <c r="H47">
        <f t="shared" si="0"/>
        <v>13</v>
      </c>
    </row>
    <row r="48" spans="1:8" x14ac:dyDescent="0.25">
      <c r="A48" t="s">
        <v>760</v>
      </c>
      <c r="B48" s="395" t="s">
        <v>117</v>
      </c>
      <c r="C48">
        <v>11</v>
      </c>
      <c r="H48">
        <f t="shared" si="0"/>
        <v>11</v>
      </c>
    </row>
    <row r="49" spans="1:8" x14ac:dyDescent="0.25">
      <c r="A49" t="s">
        <v>760</v>
      </c>
      <c r="B49" s="395" t="s">
        <v>44</v>
      </c>
      <c r="D49">
        <v>1</v>
      </c>
      <c r="F49">
        <v>9</v>
      </c>
      <c r="G49">
        <v>51</v>
      </c>
      <c r="H49">
        <f t="shared" si="0"/>
        <v>61</v>
      </c>
    </row>
    <row r="50" spans="1:8" x14ac:dyDescent="0.25">
      <c r="A50" t="s">
        <v>760</v>
      </c>
      <c r="B50" s="395" t="s">
        <v>45</v>
      </c>
      <c r="D50">
        <v>2</v>
      </c>
      <c r="G50">
        <v>1</v>
      </c>
      <c r="H50">
        <f t="shared" si="0"/>
        <v>3</v>
      </c>
    </row>
    <row r="51" spans="1:8" x14ac:dyDescent="0.25">
      <c r="A51" t="s">
        <v>760</v>
      </c>
      <c r="B51" s="395" t="s">
        <v>46</v>
      </c>
      <c r="C51">
        <v>1</v>
      </c>
      <c r="G51">
        <v>1</v>
      </c>
      <c r="H51">
        <f t="shared" si="0"/>
        <v>2</v>
      </c>
    </row>
    <row r="52" spans="1:8" x14ac:dyDescent="0.25">
      <c r="A52" t="s">
        <v>760</v>
      </c>
      <c r="B52" s="395" t="s">
        <v>47</v>
      </c>
      <c r="D52">
        <v>1</v>
      </c>
      <c r="F52">
        <v>1</v>
      </c>
      <c r="G52">
        <v>10</v>
      </c>
      <c r="H52">
        <f t="shared" si="0"/>
        <v>12</v>
      </c>
    </row>
    <row r="53" spans="1:8" x14ac:dyDescent="0.25">
      <c r="A53" t="s">
        <v>760</v>
      </c>
      <c r="B53" s="395" t="s">
        <v>48</v>
      </c>
      <c r="G53">
        <v>14</v>
      </c>
      <c r="H53">
        <f t="shared" si="0"/>
        <v>14</v>
      </c>
    </row>
    <row r="54" spans="1:8" x14ac:dyDescent="0.25">
      <c r="A54" t="s">
        <v>760</v>
      </c>
      <c r="B54" s="395" t="s">
        <v>49</v>
      </c>
      <c r="C54">
        <v>1</v>
      </c>
      <c r="D54">
        <v>2</v>
      </c>
      <c r="F54">
        <v>3</v>
      </c>
      <c r="G54">
        <v>8</v>
      </c>
      <c r="H54">
        <f t="shared" si="0"/>
        <v>14</v>
      </c>
    </row>
    <row r="55" spans="1:8" x14ac:dyDescent="0.25">
      <c r="A55" t="s">
        <v>760</v>
      </c>
      <c r="B55" s="395" t="s">
        <v>50</v>
      </c>
      <c r="C55">
        <v>4</v>
      </c>
      <c r="G55">
        <v>3</v>
      </c>
      <c r="H55">
        <f t="shared" si="0"/>
        <v>7</v>
      </c>
    </row>
    <row r="56" spans="1:8" x14ac:dyDescent="0.25">
      <c r="A56" t="s">
        <v>760</v>
      </c>
      <c r="B56" s="395" t="s">
        <v>51</v>
      </c>
      <c r="G56">
        <v>12</v>
      </c>
      <c r="H56">
        <f t="shared" si="0"/>
        <v>12</v>
      </c>
    </row>
    <row r="57" spans="1:8" x14ac:dyDescent="0.25">
      <c r="A57" t="s">
        <v>760</v>
      </c>
      <c r="B57" s="395" t="s">
        <v>52</v>
      </c>
      <c r="C57">
        <v>1</v>
      </c>
      <c r="F57">
        <v>3</v>
      </c>
      <c r="G57">
        <v>10</v>
      </c>
      <c r="H57">
        <f t="shared" si="0"/>
        <v>14</v>
      </c>
    </row>
    <row r="58" spans="1:8" x14ac:dyDescent="0.25">
      <c r="A58" t="s">
        <v>760</v>
      </c>
      <c r="B58" s="395" t="s">
        <v>53</v>
      </c>
      <c r="C58">
        <v>2</v>
      </c>
      <c r="D58">
        <v>1</v>
      </c>
      <c r="H58">
        <f t="shared" si="0"/>
        <v>3</v>
      </c>
    </row>
    <row r="59" spans="1:8" x14ac:dyDescent="0.25">
      <c r="A59" t="s">
        <v>760</v>
      </c>
      <c r="B59" s="395" t="s">
        <v>54</v>
      </c>
      <c r="D59">
        <v>2</v>
      </c>
      <c r="G59">
        <v>11</v>
      </c>
      <c r="H59">
        <f t="shared" si="0"/>
        <v>13</v>
      </c>
    </row>
    <row r="60" spans="1:8" x14ac:dyDescent="0.25">
      <c r="A60" t="s">
        <v>760</v>
      </c>
      <c r="B60" s="395" t="s">
        <v>55</v>
      </c>
      <c r="G60">
        <v>14</v>
      </c>
      <c r="H60">
        <f t="shared" si="0"/>
        <v>14</v>
      </c>
    </row>
    <row r="61" spans="1:8" x14ac:dyDescent="0.25">
      <c r="A61" t="s">
        <v>760</v>
      </c>
      <c r="B61" s="395" t="s">
        <v>56</v>
      </c>
      <c r="D61">
        <v>1</v>
      </c>
      <c r="G61">
        <v>4</v>
      </c>
      <c r="H61">
        <f t="shared" si="0"/>
        <v>5</v>
      </c>
    </row>
    <row r="62" spans="1:8" x14ac:dyDescent="0.25">
      <c r="A62" t="s">
        <v>760</v>
      </c>
      <c r="B62" s="395" t="s">
        <v>57</v>
      </c>
      <c r="C62">
        <v>3</v>
      </c>
      <c r="D62">
        <v>1</v>
      </c>
      <c r="F62">
        <v>1</v>
      </c>
      <c r="G62">
        <v>7</v>
      </c>
      <c r="H62">
        <f t="shared" si="0"/>
        <v>12</v>
      </c>
    </row>
    <row r="63" spans="1:8" x14ac:dyDescent="0.25">
      <c r="A63" t="s">
        <v>760</v>
      </c>
      <c r="B63" s="395" t="s">
        <v>58</v>
      </c>
      <c r="C63">
        <v>1</v>
      </c>
      <c r="G63">
        <v>9</v>
      </c>
      <c r="H63">
        <f t="shared" si="0"/>
        <v>10</v>
      </c>
    </row>
    <row r="64" spans="1:8" x14ac:dyDescent="0.25">
      <c r="A64" t="s">
        <v>760</v>
      </c>
      <c r="B64" s="395" t="s">
        <v>59</v>
      </c>
      <c r="C64">
        <v>1</v>
      </c>
      <c r="D64">
        <v>1</v>
      </c>
      <c r="G64">
        <v>1</v>
      </c>
      <c r="H64">
        <f t="shared" si="0"/>
        <v>3</v>
      </c>
    </row>
    <row r="65" spans="1:8" x14ac:dyDescent="0.25">
      <c r="A65" t="s">
        <v>760</v>
      </c>
      <c r="B65" s="395" t="s">
        <v>60</v>
      </c>
      <c r="D65">
        <v>1</v>
      </c>
      <c r="E65">
        <v>1</v>
      </c>
      <c r="G65">
        <v>4</v>
      </c>
      <c r="H65">
        <f t="shared" si="0"/>
        <v>6</v>
      </c>
    </row>
    <row r="66" spans="1:8" x14ac:dyDescent="0.25">
      <c r="A66" t="s">
        <v>917</v>
      </c>
      <c r="B66" s="395" t="s">
        <v>31</v>
      </c>
      <c r="C66">
        <v>3</v>
      </c>
      <c r="G66">
        <v>1</v>
      </c>
      <c r="H66">
        <f t="shared" si="0"/>
        <v>4</v>
      </c>
    </row>
    <row r="67" spans="1:8" x14ac:dyDescent="0.25">
      <c r="A67" t="s">
        <v>917</v>
      </c>
      <c r="B67" s="395" t="s">
        <v>32</v>
      </c>
      <c r="D67">
        <v>1</v>
      </c>
      <c r="G67">
        <v>23</v>
      </c>
      <c r="H67">
        <f t="shared" ref="H67:H98" si="1">SUM(C67:G67)</f>
        <v>24</v>
      </c>
    </row>
    <row r="68" spans="1:8" x14ac:dyDescent="0.25">
      <c r="A68" t="s">
        <v>917</v>
      </c>
      <c r="B68" s="395" t="s">
        <v>33</v>
      </c>
      <c r="D68">
        <v>1</v>
      </c>
      <c r="G68">
        <v>5</v>
      </c>
      <c r="H68">
        <f t="shared" si="1"/>
        <v>6</v>
      </c>
    </row>
    <row r="69" spans="1:8" x14ac:dyDescent="0.25">
      <c r="A69" t="s">
        <v>917</v>
      </c>
      <c r="B69" s="395" t="s">
        <v>34</v>
      </c>
      <c r="D69">
        <v>2</v>
      </c>
      <c r="F69">
        <v>25</v>
      </c>
      <c r="G69">
        <v>12</v>
      </c>
      <c r="H69">
        <f t="shared" si="1"/>
        <v>39</v>
      </c>
    </row>
    <row r="70" spans="1:8" x14ac:dyDescent="0.25">
      <c r="A70" t="s">
        <v>917</v>
      </c>
      <c r="B70" s="395" t="s">
        <v>243</v>
      </c>
      <c r="C70">
        <v>7</v>
      </c>
      <c r="G70">
        <v>1</v>
      </c>
      <c r="H70">
        <f t="shared" si="1"/>
        <v>8</v>
      </c>
    </row>
    <row r="71" spans="1:8" x14ac:dyDescent="0.25">
      <c r="A71" t="s">
        <v>917</v>
      </c>
      <c r="B71" s="395" t="s">
        <v>35</v>
      </c>
      <c r="D71">
        <v>1</v>
      </c>
      <c r="G71">
        <v>1</v>
      </c>
      <c r="H71">
        <f t="shared" si="1"/>
        <v>2</v>
      </c>
    </row>
    <row r="72" spans="1:8" x14ac:dyDescent="0.25">
      <c r="A72" t="s">
        <v>917</v>
      </c>
      <c r="B72" s="395" t="s">
        <v>36</v>
      </c>
      <c r="D72">
        <v>1</v>
      </c>
      <c r="F72">
        <v>1</v>
      </c>
      <c r="G72">
        <v>15</v>
      </c>
      <c r="H72">
        <f t="shared" si="1"/>
        <v>17</v>
      </c>
    </row>
    <row r="73" spans="1:8" x14ac:dyDescent="0.25">
      <c r="A73" t="s">
        <v>917</v>
      </c>
      <c r="B73" s="395" t="s">
        <v>37</v>
      </c>
      <c r="C73">
        <v>3</v>
      </c>
      <c r="D73">
        <v>1</v>
      </c>
      <c r="H73">
        <f t="shared" si="1"/>
        <v>4</v>
      </c>
    </row>
    <row r="74" spans="1:8" x14ac:dyDescent="0.25">
      <c r="A74" t="s">
        <v>917</v>
      </c>
      <c r="B74" s="395" t="s">
        <v>38</v>
      </c>
      <c r="C74">
        <v>1</v>
      </c>
      <c r="G74">
        <v>7</v>
      </c>
      <c r="H74">
        <f t="shared" si="1"/>
        <v>8</v>
      </c>
    </row>
    <row r="75" spans="1:8" x14ac:dyDescent="0.25">
      <c r="A75" t="s">
        <v>917</v>
      </c>
      <c r="B75" s="395" t="s">
        <v>39</v>
      </c>
      <c r="C75">
        <v>3</v>
      </c>
      <c r="H75">
        <f t="shared" si="1"/>
        <v>3</v>
      </c>
    </row>
    <row r="76" spans="1:8" x14ac:dyDescent="0.25">
      <c r="A76" t="s">
        <v>917</v>
      </c>
      <c r="B76" s="395" t="s">
        <v>40</v>
      </c>
      <c r="C76">
        <v>1</v>
      </c>
      <c r="G76">
        <v>5</v>
      </c>
      <c r="H76">
        <f t="shared" si="1"/>
        <v>6</v>
      </c>
    </row>
    <row r="77" spans="1:8" x14ac:dyDescent="0.25">
      <c r="A77" t="s">
        <v>917</v>
      </c>
      <c r="B77" s="395" t="s">
        <v>41</v>
      </c>
      <c r="C77">
        <v>2</v>
      </c>
      <c r="H77">
        <f t="shared" si="1"/>
        <v>2</v>
      </c>
    </row>
    <row r="78" spans="1:8" x14ac:dyDescent="0.25">
      <c r="A78" t="s">
        <v>917</v>
      </c>
      <c r="B78" s="395" t="s">
        <v>42</v>
      </c>
      <c r="D78">
        <v>3</v>
      </c>
      <c r="G78">
        <v>2</v>
      </c>
      <c r="H78">
        <f t="shared" si="1"/>
        <v>5</v>
      </c>
    </row>
    <row r="79" spans="1:8" x14ac:dyDescent="0.25">
      <c r="A79" t="s">
        <v>917</v>
      </c>
      <c r="B79" s="395" t="s">
        <v>43</v>
      </c>
      <c r="C79">
        <v>5</v>
      </c>
      <c r="G79">
        <v>8</v>
      </c>
      <c r="H79">
        <f t="shared" si="1"/>
        <v>13</v>
      </c>
    </row>
    <row r="80" spans="1:8" x14ac:dyDescent="0.25">
      <c r="A80" t="s">
        <v>917</v>
      </c>
      <c r="B80" s="395" t="s">
        <v>117</v>
      </c>
      <c r="C80">
        <v>11</v>
      </c>
      <c r="H80">
        <f t="shared" si="1"/>
        <v>11</v>
      </c>
    </row>
    <row r="81" spans="1:8" x14ac:dyDescent="0.25">
      <c r="A81" t="s">
        <v>917</v>
      </c>
      <c r="B81" s="395" t="s">
        <v>44</v>
      </c>
      <c r="D81">
        <v>1</v>
      </c>
      <c r="F81">
        <v>9</v>
      </c>
      <c r="G81">
        <v>51</v>
      </c>
      <c r="H81">
        <f t="shared" si="1"/>
        <v>61</v>
      </c>
    </row>
    <row r="82" spans="1:8" x14ac:dyDescent="0.25">
      <c r="A82" t="s">
        <v>917</v>
      </c>
      <c r="B82" s="395" t="s">
        <v>45</v>
      </c>
      <c r="D82">
        <v>2</v>
      </c>
      <c r="G82">
        <v>1</v>
      </c>
      <c r="H82">
        <f t="shared" si="1"/>
        <v>3</v>
      </c>
    </row>
    <row r="83" spans="1:8" x14ac:dyDescent="0.25">
      <c r="A83" t="s">
        <v>917</v>
      </c>
      <c r="B83" s="395" t="s">
        <v>46</v>
      </c>
      <c r="C83">
        <v>1</v>
      </c>
      <c r="G83">
        <v>1</v>
      </c>
      <c r="H83">
        <f t="shared" si="1"/>
        <v>2</v>
      </c>
    </row>
    <row r="84" spans="1:8" x14ac:dyDescent="0.25">
      <c r="A84" t="s">
        <v>917</v>
      </c>
      <c r="B84" s="395" t="s">
        <v>47</v>
      </c>
      <c r="D84">
        <v>1</v>
      </c>
      <c r="F84">
        <v>1</v>
      </c>
      <c r="G84">
        <v>10</v>
      </c>
      <c r="H84">
        <f t="shared" si="1"/>
        <v>12</v>
      </c>
    </row>
    <row r="85" spans="1:8" x14ac:dyDescent="0.25">
      <c r="A85" t="s">
        <v>917</v>
      </c>
      <c r="B85" s="395" t="s">
        <v>48</v>
      </c>
      <c r="G85">
        <v>14</v>
      </c>
      <c r="H85">
        <f t="shared" si="1"/>
        <v>14</v>
      </c>
    </row>
    <row r="86" spans="1:8" x14ac:dyDescent="0.25">
      <c r="A86" t="s">
        <v>917</v>
      </c>
      <c r="B86" s="395" t="s">
        <v>49</v>
      </c>
      <c r="C86">
        <v>1</v>
      </c>
      <c r="D86">
        <v>2</v>
      </c>
      <c r="F86">
        <v>3</v>
      </c>
      <c r="G86">
        <v>8</v>
      </c>
      <c r="H86">
        <f t="shared" si="1"/>
        <v>14</v>
      </c>
    </row>
    <row r="87" spans="1:8" x14ac:dyDescent="0.25">
      <c r="A87" t="s">
        <v>917</v>
      </c>
      <c r="B87" s="395" t="s">
        <v>50</v>
      </c>
      <c r="C87">
        <v>4</v>
      </c>
      <c r="G87">
        <v>3</v>
      </c>
      <c r="H87">
        <f t="shared" si="1"/>
        <v>7</v>
      </c>
    </row>
    <row r="88" spans="1:8" x14ac:dyDescent="0.25">
      <c r="A88" t="s">
        <v>917</v>
      </c>
      <c r="B88" s="395" t="s">
        <v>51</v>
      </c>
      <c r="G88">
        <v>12</v>
      </c>
      <c r="H88">
        <f t="shared" si="1"/>
        <v>12</v>
      </c>
    </row>
    <row r="89" spans="1:8" x14ac:dyDescent="0.25">
      <c r="A89" t="s">
        <v>917</v>
      </c>
      <c r="B89" s="395" t="s">
        <v>52</v>
      </c>
      <c r="C89">
        <v>1</v>
      </c>
      <c r="F89">
        <v>3</v>
      </c>
      <c r="G89">
        <v>10</v>
      </c>
      <c r="H89">
        <f t="shared" si="1"/>
        <v>14</v>
      </c>
    </row>
    <row r="90" spans="1:8" x14ac:dyDescent="0.25">
      <c r="A90" t="s">
        <v>917</v>
      </c>
      <c r="B90" s="395" t="s">
        <v>53</v>
      </c>
      <c r="C90">
        <v>2</v>
      </c>
      <c r="D90">
        <v>1</v>
      </c>
      <c r="H90">
        <f t="shared" si="1"/>
        <v>3</v>
      </c>
    </row>
    <row r="91" spans="1:8" x14ac:dyDescent="0.25">
      <c r="A91" t="s">
        <v>917</v>
      </c>
      <c r="B91" s="395" t="s">
        <v>54</v>
      </c>
      <c r="D91">
        <v>2</v>
      </c>
      <c r="G91">
        <v>11</v>
      </c>
      <c r="H91">
        <f t="shared" si="1"/>
        <v>13</v>
      </c>
    </row>
    <row r="92" spans="1:8" x14ac:dyDescent="0.25">
      <c r="A92" t="s">
        <v>917</v>
      </c>
      <c r="B92" s="395" t="s">
        <v>55</v>
      </c>
      <c r="G92">
        <v>14</v>
      </c>
      <c r="H92">
        <f t="shared" si="1"/>
        <v>14</v>
      </c>
    </row>
    <row r="93" spans="1:8" x14ac:dyDescent="0.25">
      <c r="A93" t="s">
        <v>917</v>
      </c>
      <c r="B93" s="395" t="s">
        <v>56</v>
      </c>
      <c r="D93">
        <v>1</v>
      </c>
      <c r="G93">
        <v>4</v>
      </c>
      <c r="H93">
        <f t="shared" si="1"/>
        <v>5</v>
      </c>
    </row>
    <row r="94" spans="1:8" x14ac:dyDescent="0.25">
      <c r="A94" t="s">
        <v>917</v>
      </c>
      <c r="B94" s="395" t="s">
        <v>57</v>
      </c>
      <c r="C94">
        <v>3</v>
      </c>
      <c r="D94">
        <v>1</v>
      </c>
      <c r="F94">
        <v>1</v>
      </c>
      <c r="G94">
        <v>7</v>
      </c>
      <c r="H94">
        <f t="shared" si="1"/>
        <v>12</v>
      </c>
    </row>
    <row r="95" spans="1:8" x14ac:dyDescent="0.25">
      <c r="A95" t="s">
        <v>917</v>
      </c>
      <c r="B95" s="395" t="s">
        <v>58</v>
      </c>
      <c r="C95">
        <v>1</v>
      </c>
      <c r="G95">
        <v>9</v>
      </c>
      <c r="H95">
        <f t="shared" si="1"/>
        <v>10</v>
      </c>
    </row>
    <row r="96" spans="1:8" x14ac:dyDescent="0.25">
      <c r="A96" t="s">
        <v>917</v>
      </c>
      <c r="B96" s="395" t="s">
        <v>59</v>
      </c>
      <c r="C96">
        <v>1</v>
      </c>
      <c r="D96">
        <v>1</v>
      </c>
      <c r="G96">
        <v>1</v>
      </c>
      <c r="H96">
        <f t="shared" si="1"/>
        <v>3</v>
      </c>
    </row>
    <row r="97" spans="1:8" x14ac:dyDescent="0.25">
      <c r="A97" t="s">
        <v>917</v>
      </c>
      <c r="B97" s="395" t="s">
        <v>60</v>
      </c>
      <c r="D97">
        <v>1</v>
      </c>
      <c r="E97">
        <v>1</v>
      </c>
      <c r="G97">
        <v>4</v>
      </c>
      <c r="H97">
        <f t="shared" si="1"/>
        <v>6</v>
      </c>
    </row>
    <row r="98" spans="1:8" x14ac:dyDescent="0.25">
      <c r="A98" t="s">
        <v>1010</v>
      </c>
      <c r="B98" s="395" t="s">
        <v>31</v>
      </c>
      <c r="C98">
        <v>3</v>
      </c>
      <c r="G98">
        <v>1</v>
      </c>
      <c r="H98">
        <f t="shared" si="1"/>
        <v>4</v>
      </c>
    </row>
    <row r="99" spans="1:8" x14ac:dyDescent="0.25">
      <c r="A99" t="s">
        <v>1010</v>
      </c>
      <c r="B99" s="395" t="s">
        <v>32</v>
      </c>
      <c r="D99">
        <v>1</v>
      </c>
      <c r="G99">
        <v>23</v>
      </c>
      <c r="H99">
        <f t="shared" ref="H99:H130" si="2">SUM(C99:G99)</f>
        <v>24</v>
      </c>
    </row>
    <row r="100" spans="1:8" x14ac:dyDescent="0.25">
      <c r="A100" t="s">
        <v>1010</v>
      </c>
      <c r="B100" s="395" t="s">
        <v>33</v>
      </c>
      <c r="D100">
        <v>1</v>
      </c>
      <c r="G100">
        <v>5</v>
      </c>
      <c r="H100">
        <f t="shared" si="2"/>
        <v>6</v>
      </c>
    </row>
    <row r="101" spans="1:8" x14ac:dyDescent="0.25">
      <c r="A101" t="s">
        <v>1010</v>
      </c>
      <c r="B101" s="395" t="s">
        <v>34</v>
      </c>
      <c r="D101">
        <v>2</v>
      </c>
      <c r="F101">
        <v>25</v>
      </c>
      <c r="G101">
        <v>12</v>
      </c>
      <c r="H101">
        <f t="shared" si="2"/>
        <v>39</v>
      </c>
    </row>
    <row r="102" spans="1:8" x14ac:dyDescent="0.25">
      <c r="A102" t="s">
        <v>1010</v>
      </c>
      <c r="B102" s="395" t="s">
        <v>243</v>
      </c>
      <c r="C102">
        <v>7</v>
      </c>
      <c r="G102">
        <v>1</v>
      </c>
      <c r="H102">
        <f t="shared" si="2"/>
        <v>8</v>
      </c>
    </row>
    <row r="103" spans="1:8" x14ac:dyDescent="0.25">
      <c r="A103" t="s">
        <v>1010</v>
      </c>
      <c r="B103" s="395" t="s">
        <v>35</v>
      </c>
      <c r="D103">
        <v>1</v>
      </c>
      <c r="G103">
        <v>1</v>
      </c>
      <c r="H103">
        <f t="shared" si="2"/>
        <v>2</v>
      </c>
    </row>
    <row r="104" spans="1:8" x14ac:dyDescent="0.25">
      <c r="A104" t="s">
        <v>1010</v>
      </c>
      <c r="B104" s="395" t="s">
        <v>36</v>
      </c>
      <c r="D104">
        <v>1</v>
      </c>
      <c r="F104">
        <v>1</v>
      </c>
      <c r="G104">
        <v>15</v>
      </c>
      <c r="H104">
        <f t="shared" si="2"/>
        <v>17</v>
      </c>
    </row>
    <row r="105" spans="1:8" x14ac:dyDescent="0.25">
      <c r="A105" t="s">
        <v>1010</v>
      </c>
      <c r="B105" s="395" t="s">
        <v>37</v>
      </c>
      <c r="C105">
        <v>3</v>
      </c>
      <c r="D105">
        <v>1</v>
      </c>
      <c r="H105">
        <f t="shared" si="2"/>
        <v>4</v>
      </c>
    </row>
    <row r="106" spans="1:8" x14ac:dyDescent="0.25">
      <c r="A106" t="s">
        <v>1010</v>
      </c>
      <c r="B106" s="395" t="s">
        <v>38</v>
      </c>
      <c r="C106">
        <v>1</v>
      </c>
      <c r="G106">
        <v>7</v>
      </c>
      <c r="H106">
        <f t="shared" si="2"/>
        <v>8</v>
      </c>
    </row>
    <row r="107" spans="1:8" x14ac:dyDescent="0.25">
      <c r="A107" t="s">
        <v>1010</v>
      </c>
      <c r="B107" s="395" t="s">
        <v>39</v>
      </c>
      <c r="C107">
        <v>3</v>
      </c>
      <c r="H107">
        <f t="shared" si="2"/>
        <v>3</v>
      </c>
    </row>
    <row r="108" spans="1:8" x14ac:dyDescent="0.25">
      <c r="A108" t="s">
        <v>1010</v>
      </c>
      <c r="B108" s="395" t="s">
        <v>40</v>
      </c>
      <c r="C108">
        <v>1</v>
      </c>
      <c r="G108">
        <v>5</v>
      </c>
      <c r="H108">
        <f t="shared" si="2"/>
        <v>6</v>
      </c>
    </row>
    <row r="109" spans="1:8" x14ac:dyDescent="0.25">
      <c r="A109" t="s">
        <v>1010</v>
      </c>
      <c r="B109" s="395" t="s">
        <v>41</v>
      </c>
      <c r="C109">
        <v>2</v>
      </c>
      <c r="H109">
        <f t="shared" si="2"/>
        <v>2</v>
      </c>
    </row>
    <row r="110" spans="1:8" x14ac:dyDescent="0.25">
      <c r="A110" t="s">
        <v>1010</v>
      </c>
      <c r="B110" s="395" t="s">
        <v>42</v>
      </c>
      <c r="D110">
        <v>3</v>
      </c>
      <c r="G110">
        <v>2</v>
      </c>
      <c r="H110">
        <f t="shared" si="2"/>
        <v>5</v>
      </c>
    </row>
    <row r="111" spans="1:8" x14ac:dyDescent="0.25">
      <c r="A111" t="s">
        <v>1010</v>
      </c>
      <c r="B111" s="395" t="s">
        <v>43</v>
      </c>
      <c r="C111">
        <v>5</v>
      </c>
      <c r="G111">
        <v>8</v>
      </c>
      <c r="H111">
        <f t="shared" si="2"/>
        <v>13</v>
      </c>
    </row>
    <row r="112" spans="1:8" x14ac:dyDescent="0.25">
      <c r="A112" t="s">
        <v>1010</v>
      </c>
      <c r="B112" s="395" t="s">
        <v>117</v>
      </c>
      <c r="C112">
        <v>11</v>
      </c>
      <c r="H112">
        <f t="shared" si="2"/>
        <v>11</v>
      </c>
    </row>
    <row r="113" spans="1:8" x14ac:dyDescent="0.25">
      <c r="A113" t="s">
        <v>1010</v>
      </c>
      <c r="B113" s="395" t="s">
        <v>44</v>
      </c>
      <c r="D113">
        <v>1</v>
      </c>
      <c r="F113">
        <v>9</v>
      </c>
      <c r="G113">
        <v>51</v>
      </c>
      <c r="H113">
        <f t="shared" si="2"/>
        <v>61</v>
      </c>
    </row>
    <row r="114" spans="1:8" x14ac:dyDescent="0.25">
      <c r="A114" t="s">
        <v>1010</v>
      </c>
      <c r="B114" s="395" t="s">
        <v>45</v>
      </c>
      <c r="D114">
        <v>2</v>
      </c>
      <c r="G114">
        <v>1</v>
      </c>
      <c r="H114">
        <f t="shared" si="2"/>
        <v>3</v>
      </c>
    </row>
    <row r="115" spans="1:8" x14ac:dyDescent="0.25">
      <c r="A115" t="s">
        <v>1010</v>
      </c>
      <c r="B115" s="395" t="s">
        <v>46</v>
      </c>
      <c r="C115">
        <v>1</v>
      </c>
      <c r="G115">
        <v>1</v>
      </c>
      <c r="H115">
        <f t="shared" si="2"/>
        <v>2</v>
      </c>
    </row>
    <row r="116" spans="1:8" x14ac:dyDescent="0.25">
      <c r="A116" t="s">
        <v>1010</v>
      </c>
      <c r="B116" s="395" t="s">
        <v>47</v>
      </c>
      <c r="D116">
        <v>1</v>
      </c>
      <c r="F116">
        <v>1</v>
      </c>
      <c r="G116">
        <v>10</v>
      </c>
      <c r="H116">
        <f t="shared" si="2"/>
        <v>12</v>
      </c>
    </row>
    <row r="117" spans="1:8" x14ac:dyDescent="0.25">
      <c r="A117" t="s">
        <v>1010</v>
      </c>
      <c r="B117" s="395" t="s">
        <v>48</v>
      </c>
      <c r="G117">
        <v>14</v>
      </c>
      <c r="H117">
        <f t="shared" si="2"/>
        <v>14</v>
      </c>
    </row>
    <row r="118" spans="1:8" x14ac:dyDescent="0.25">
      <c r="A118" t="s">
        <v>1010</v>
      </c>
      <c r="B118" s="395" t="s">
        <v>49</v>
      </c>
      <c r="C118">
        <v>1</v>
      </c>
      <c r="D118">
        <v>2</v>
      </c>
      <c r="F118">
        <v>3</v>
      </c>
      <c r="G118">
        <v>8</v>
      </c>
      <c r="H118">
        <f t="shared" si="2"/>
        <v>14</v>
      </c>
    </row>
    <row r="119" spans="1:8" x14ac:dyDescent="0.25">
      <c r="A119" t="s">
        <v>1010</v>
      </c>
      <c r="B119" s="395" t="s">
        <v>50</v>
      </c>
      <c r="C119">
        <v>4</v>
      </c>
      <c r="G119">
        <v>3</v>
      </c>
      <c r="H119">
        <f t="shared" si="2"/>
        <v>7</v>
      </c>
    </row>
    <row r="120" spans="1:8" x14ac:dyDescent="0.25">
      <c r="A120" t="s">
        <v>1010</v>
      </c>
      <c r="B120" s="395" t="s">
        <v>51</v>
      </c>
      <c r="G120">
        <v>12</v>
      </c>
      <c r="H120">
        <f t="shared" si="2"/>
        <v>12</v>
      </c>
    </row>
    <row r="121" spans="1:8" x14ac:dyDescent="0.25">
      <c r="A121" t="s">
        <v>1010</v>
      </c>
      <c r="B121" s="395" t="s">
        <v>52</v>
      </c>
      <c r="C121">
        <v>1</v>
      </c>
      <c r="F121">
        <v>3</v>
      </c>
      <c r="G121">
        <v>10</v>
      </c>
      <c r="H121">
        <f t="shared" si="2"/>
        <v>14</v>
      </c>
    </row>
    <row r="122" spans="1:8" x14ac:dyDescent="0.25">
      <c r="A122" t="s">
        <v>1010</v>
      </c>
      <c r="B122" s="395" t="s">
        <v>53</v>
      </c>
      <c r="C122">
        <v>2</v>
      </c>
      <c r="D122">
        <v>1</v>
      </c>
      <c r="H122">
        <f t="shared" si="2"/>
        <v>3</v>
      </c>
    </row>
    <row r="123" spans="1:8" x14ac:dyDescent="0.25">
      <c r="A123" t="s">
        <v>1010</v>
      </c>
      <c r="B123" s="395" t="s">
        <v>54</v>
      </c>
      <c r="D123">
        <v>2</v>
      </c>
      <c r="G123">
        <v>11</v>
      </c>
      <c r="H123">
        <f t="shared" si="2"/>
        <v>13</v>
      </c>
    </row>
    <row r="124" spans="1:8" x14ac:dyDescent="0.25">
      <c r="A124" t="s">
        <v>1010</v>
      </c>
      <c r="B124" s="395" t="s">
        <v>55</v>
      </c>
      <c r="G124">
        <v>14</v>
      </c>
      <c r="H124">
        <f t="shared" si="2"/>
        <v>14</v>
      </c>
    </row>
    <row r="125" spans="1:8" x14ac:dyDescent="0.25">
      <c r="A125" t="s">
        <v>1010</v>
      </c>
      <c r="B125" s="395" t="s">
        <v>56</v>
      </c>
      <c r="D125">
        <v>1</v>
      </c>
      <c r="G125">
        <v>4</v>
      </c>
      <c r="H125">
        <f t="shared" si="2"/>
        <v>5</v>
      </c>
    </row>
    <row r="126" spans="1:8" x14ac:dyDescent="0.25">
      <c r="A126" t="s">
        <v>1010</v>
      </c>
      <c r="B126" s="395" t="s">
        <v>57</v>
      </c>
      <c r="C126">
        <v>3</v>
      </c>
      <c r="D126">
        <v>1</v>
      </c>
      <c r="F126">
        <v>1</v>
      </c>
      <c r="G126">
        <v>7</v>
      </c>
      <c r="H126">
        <f t="shared" si="2"/>
        <v>12</v>
      </c>
    </row>
    <row r="127" spans="1:8" x14ac:dyDescent="0.25">
      <c r="A127" t="s">
        <v>1010</v>
      </c>
      <c r="B127" s="395" t="s">
        <v>58</v>
      </c>
      <c r="C127">
        <v>1</v>
      </c>
      <c r="G127">
        <v>9</v>
      </c>
      <c r="H127">
        <f t="shared" si="2"/>
        <v>10</v>
      </c>
    </row>
    <row r="128" spans="1:8" x14ac:dyDescent="0.25">
      <c r="A128" t="s">
        <v>1010</v>
      </c>
      <c r="B128" s="395" t="s">
        <v>59</v>
      </c>
      <c r="C128">
        <v>1</v>
      </c>
      <c r="D128">
        <v>1</v>
      </c>
      <c r="G128">
        <v>1</v>
      </c>
      <c r="H128">
        <f t="shared" si="2"/>
        <v>3</v>
      </c>
    </row>
    <row r="129" spans="1:8" x14ac:dyDescent="0.25">
      <c r="A129" t="s">
        <v>1010</v>
      </c>
      <c r="B129" s="395" t="s">
        <v>60</v>
      </c>
      <c r="D129">
        <v>1</v>
      </c>
      <c r="E129">
        <v>1</v>
      </c>
      <c r="G129">
        <v>4</v>
      </c>
      <c r="H129">
        <f t="shared" si="2"/>
        <v>6</v>
      </c>
    </row>
    <row r="130" spans="1:8" x14ac:dyDescent="0.25">
      <c r="A130" t="s">
        <v>1061</v>
      </c>
      <c r="B130" s="395" t="s">
        <v>31</v>
      </c>
      <c r="C130">
        <v>3</v>
      </c>
      <c r="G130">
        <v>1</v>
      </c>
      <c r="H130">
        <f t="shared" si="2"/>
        <v>4</v>
      </c>
    </row>
    <row r="131" spans="1:8" x14ac:dyDescent="0.25">
      <c r="A131" t="s">
        <v>1061</v>
      </c>
      <c r="B131" s="395" t="s">
        <v>32</v>
      </c>
      <c r="D131">
        <v>1</v>
      </c>
      <c r="G131">
        <v>23</v>
      </c>
      <c r="H131">
        <f t="shared" ref="H131:H161" si="3">SUM(C131:G131)</f>
        <v>24</v>
      </c>
    </row>
    <row r="132" spans="1:8" x14ac:dyDescent="0.25">
      <c r="A132" t="s">
        <v>1061</v>
      </c>
      <c r="B132" s="395" t="s">
        <v>33</v>
      </c>
      <c r="D132">
        <v>1</v>
      </c>
      <c r="G132">
        <v>5</v>
      </c>
      <c r="H132">
        <f t="shared" si="3"/>
        <v>6</v>
      </c>
    </row>
    <row r="133" spans="1:8" x14ac:dyDescent="0.25">
      <c r="A133" t="s">
        <v>1061</v>
      </c>
      <c r="B133" s="395" t="s">
        <v>34</v>
      </c>
      <c r="D133">
        <v>2</v>
      </c>
      <c r="F133">
        <v>25</v>
      </c>
      <c r="G133">
        <v>12</v>
      </c>
      <c r="H133">
        <f t="shared" si="3"/>
        <v>39</v>
      </c>
    </row>
    <row r="134" spans="1:8" x14ac:dyDescent="0.25">
      <c r="A134" t="s">
        <v>1061</v>
      </c>
      <c r="B134" s="395" t="s">
        <v>243</v>
      </c>
      <c r="C134">
        <v>7</v>
      </c>
      <c r="G134">
        <v>1</v>
      </c>
      <c r="H134">
        <f t="shared" si="3"/>
        <v>8</v>
      </c>
    </row>
    <row r="135" spans="1:8" x14ac:dyDescent="0.25">
      <c r="A135" t="s">
        <v>1061</v>
      </c>
      <c r="B135" s="395" t="s">
        <v>35</v>
      </c>
      <c r="D135">
        <v>1</v>
      </c>
      <c r="G135">
        <v>1</v>
      </c>
      <c r="H135">
        <f t="shared" si="3"/>
        <v>2</v>
      </c>
    </row>
    <row r="136" spans="1:8" x14ac:dyDescent="0.25">
      <c r="A136" t="s">
        <v>1061</v>
      </c>
      <c r="B136" s="395" t="s">
        <v>36</v>
      </c>
      <c r="D136">
        <v>1</v>
      </c>
      <c r="F136">
        <v>1</v>
      </c>
      <c r="G136">
        <v>15</v>
      </c>
      <c r="H136">
        <f t="shared" si="3"/>
        <v>17</v>
      </c>
    </row>
    <row r="137" spans="1:8" x14ac:dyDescent="0.25">
      <c r="A137" t="s">
        <v>1061</v>
      </c>
      <c r="B137" s="395" t="s">
        <v>37</v>
      </c>
      <c r="C137">
        <v>3</v>
      </c>
      <c r="D137">
        <v>1</v>
      </c>
      <c r="H137">
        <f t="shared" si="3"/>
        <v>4</v>
      </c>
    </row>
    <row r="138" spans="1:8" x14ac:dyDescent="0.25">
      <c r="A138" t="s">
        <v>1061</v>
      </c>
      <c r="B138" s="395" t="s">
        <v>38</v>
      </c>
      <c r="C138">
        <v>1</v>
      </c>
      <c r="G138">
        <v>7</v>
      </c>
      <c r="H138">
        <f t="shared" si="3"/>
        <v>8</v>
      </c>
    </row>
    <row r="139" spans="1:8" x14ac:dyDescent="0.25">
      <c r="A139" t="s">
        <v>1061</v>
      </c>
      <c r="B139" s="395" t="s">
        <v>39</v>
      </c>
      <c r="C139">
        <v>3</v>
      </c>
      <c r="H139">
        <f t="shared" si="3"/>
        <v>3</v>
      </c>
    </row>
    <row r="140" spans="1:8" x14ac:dyDescent="0.25">
      <c r="A140" t="s">
        <v>1061</v>
      </c>
      <c r="B140" s="395" t="s">
        <v>40</v>
      </c>
      <c r="C140">
        <v>1</v>
      </c>
      <c r="G140">
        <v>5</v>
      </c>
      <c r="H140">
        <f t="shared" si="3"/>
        <v>6</v>
      </c>
    </row>
    <row r="141" spans="1:8" x14ac:dyDescent="0.25">
      <c r="A141" t="s">
        <v>1061</v>
      </c>
      <c r="B141" s="395" t="s">
        <v>41</v>
      </c>
      <c r="C141">
        <v>2</v>
      </c>
      <c r="H141">
        <f t="shared" si="3"/>
        <v>2</v>
      </c>
    </row>
    <row r="142" spans="1:8" x14ac:dyDescent="0.25">
      <c r="A142" t="s">
        <v>1061</v>
      </c>
      <c r="B142" s="395" t="s">
        <v>42</v>
      </c>
      <c r="D142">
        <v>3</v>
      </c>
      <c r="G142">
        <v>2</v>
      </c>
      <c r="H142">
        <f t="shared" si="3"/>
        <v>5</v>
      </c>
    </row>
    <row r="143" spans="1:8" x14ac:dyDescent="0.25">
      <c r="A143" t="s">
        <v>1061</v>
      </c>
      <c r="B143" s="395" t="s">
        <v>43</v>
      </c>
      <c r="C143">
        <v>5</v>
      </c>
      <c r="G143">
        <v>8</v>
      </c>
      <c r="H143">
        <f t="shared" si="3"/>
        <v>13</v>
      </c>
    </row>
    <row r="144" spans="1:8" x14ac:dyDescent="0.25">
      <c r="A144" t="s">
        <v>1061</v>
      </c>
      <c r="B144" s="395" t="s">
        <v>117</v>
      </c>
      <c r="C144">
        <v>11</v>
      </c>
      <c r="H144">
        <f t="shared" si="3"/>
        <v>11</v>
      </c>
    </row>
    <row r="145" spans="1:8" x14ac:dyDescent="0.25">
      <c r="A145" t="s">
        <v>1061</v>
      </c>
      <c r="B145" s="395" t="s">
        <v>44</v>
      </c>
      <c r="D145">
        <v>1</v>
      </c>
      <c r="F145">
        <v>9</v>
      </c>
      <c r="G145">
        <v>51</v>
      </c>
      <c r="H145">
        <f t="shared" si="3"/>
        <v>61</v>
      </c>
    </row>
    <row r="146" spans="1:8" x14ac:dyDescent="0.25">
      <c r="A146" t="s">
        <v>1061</v>
      </c>
      <c r="B146" s="395" t="s">
        <v>45</v>
      </c>
      <c r="D146">
        <v>2</v>
      </c>
      <c r="G146">
        <v>1</v>
      </c>
      <c r="H146">
        <f t="shared" si="3"/>
        <v>3</v>
      </c>
    </row>
    <row r="147" spans="1:8" x14ac:dyDescent="0.25">
      <c r="A147" t="s">
        <v>1061</v>
      </c>
      <c r="B147" s="395" t="s">
        <v>46</v>
      </c>
      <c r="C147">
        <v>1</v>
      </c>
      <c r="G147">
        <v>1</v>
      </c>
      <c r="H147">
        <f t="shared" si="3"/>
        <v>2</v>
      </c>
    </row>
    <row r="148" spans="1:8" x14ac:dyDescent="0.25">
      <c r="A148" t="s">
        <v>1061</v>
      </c>
      <c r="B148" s="395" t="s">
        <v>47</v>
      </c>
      <c r="D148">
        <v>1</v>
      </c>
      <c r="F148">
        <v>1</v>
      </c>
      <c r="G148">
        <v>10</v>
      </c>
      <c r="H148">
        <f t="shared" si="3"/>
        <v>12</v>
      </c>
    </row>
    <row r="149" spans="1:8" x14ac:dyDescent="0.25">
      <c r="A149" t="s">
        <v>1061</v>
      </c>
      <c r="B149" s="395" t="s">
        <v>48</v>
      </c>
      <c r="G149">
        <v>14</v>
      </c>
      <c r="H149">
        <f t="shared" si="3"/>
        <v>14</v>
      </c>
    </row>
    <row r="150" spans="1:8" x14ac:dyDescent="0.25">
      <c r="A150" t="s">
        <v>1061</v>
      </c>
      <c r="B150" s="395" t="s">
        <v>49</v>
      </c>
      <c r="C150">
        <v>1</v>
      </c>
      <c r="D150">
        <v>2</v>
      </c>
      <c r="F150">
        <v>3</v>
      </c>
      <c r="G150">
        <v>8</v>
      </c>
      <c r="H150">
        <f t="shared" si="3"/>
        <v>14</v>
      </c>
    </row>
    <row r="151" spans="1:8" x14ac:dyDescent="0.25">
      <c r="A151" t="s">
        <v>1061</v>
      </c>
      <c r="B151" s="395" t="s">
        <v>50</v>
      </c>
      <c r="C151">
        <v>4</v>
      </c>
      <c r="G151">
        <v>3</v>
      </c>
      <c r="H151">
        <f t="shared" si="3"/>
        <v>7</v>
      </c>
    </row>
    <row r="152" spans="1:8" x14ac:dyDescent="0.25">
      <c r="A152" t="s">
        <v>1061</v>
      </c>
      <c r="B152" s="395" t="s">
        <v>51</v>
      </c>
      <c r="G152">
        <v>12</v>
      </c>
      <c r="H152">
        <f t="shared" si="3"/>
        <v>12</v>
      </c>
    </row>
    <row r="153" spans="1:8" x14ac:dyDescent="0.25">
      <c r="A153" t="s">
        <v>1061</v>
      </c>
      <c r="B153" s="395" t="s">
        <v>52</v>
      </c>
      <c r="C153">
        <v>1</v>
      </c>
      <c r="F153">
        <v>3</v>
      </c>
      <c r="G153">
        <v>10</v>
      </c>
      <c r="H153">
        <f t="shared" si="3"/>
        <v>14</v>
      </c>
    </row>
    <row r="154" spans="1:8" x14ac:dyDescent="0.25">
      <c r="A154" t="s">
        <v>1061</v>
      </c>
      <c r="B154" s="395" t="s">
        <v>53</v>
      </c>
      <c r="C154">
        <v>2</v>
      </c>
      <c r="D154">
        <v>1</v>
      </c>
      <c r="H154">
        <f t="shared" si="3"/>
        <v>3</v>
      </c>
    </row>
    <row r="155" spans="1:8" x14ac:dyDescent="0.25">
      <c r="A155" t="s">
        <v>1061</v>
      </c>
      <c r="B155" s="395" t="s">
        <v>54</v>
      </c>
      <c r="D155">
        <v>2</v>
      </c>
      <c r="G155">
        <v>11</v>
      </c>
      <c r="H155">
        <f t="shared" si="3"/>
        <v>13</v>
      </c>
    </row>
    <row r="156" spans="1:8" x14ac:dyDescent="0.25">
      <c r="A156" t="s">
        <v>1061</v>
      </c>
      <c r="B156" s="395" t="s">
        <v>55</v>
      </c>
      <c r="G156">
        <v>14</v>
      </c>
      <c r="H156">
        <f t="shared" si="3"/>
        <v>14</v>
      </c>
    </row>
    <row r="157" spans="1:8" x14ac:dyDescent="0.25">
      <c r="A157" t="s">
        <v>1061</v>
      </c>
      <c r="B157" s="395" t="s">
        <v>56</v>
      </c>
      <c r="D157">
        <v>1</v>
      </c>
      <c r="G157">
        <v>4</v>
      </c>
      <c r="H157">
        <f t="shared" si="3"/>
        <v>5</v>
      </c>
    </row>
    <row r="158" spans="1:8" x14ac:dyDescent="0.25">
      <c r="A158" t="s">
        <v>1061</v>
      </c>
      <c r="B158" s="395" t="s">
        <v>57</v>
      </c>
      <c r="C158">
        <v>3</v>
      </c>
      <c r="D158">
        <v>1</v>
      </c>
      <c r="F158">
        <v>1</v>
      </c>
      <c r="G158">
        <v>7</v>
      </c>
      <c r="H158">
        <f t="shared" si="3"/>
        <v>12</v>
      </c>
    </row>
    <row r="159" spans="1:8" x14ac:dyDescent="0.25">
      <c r="A159" t="s">
        <v>1061</v>
      </c>
      <c r="B159" s="395" t="s">
        <v>58</v>
      </c>
      <c r="C159">
        <v>1</v>
      </c>
      <c r="G159">
        <v>9</v>
      </c>
      <c r="H159">
        <f t="shared" si="3"/>
        <v>10</v>
      </c>
    </row>
    <row r="160" spans="1:8" x14ac:dyDescent="0.25">
      <c r="A160" t="s">
        <v>1061</v>
      </c>
      <c r="B160" s="395" t="s">
        <v>59</v>
      </c>
      <c r="C160">
        <v>1</v>
      </c>
      <c r="D160">
        <v>1</v>
      </c>
      <c r="G160">
        <v>1</v>
      </c>
      <c r="H160">
        <f t="shared" si="3"/>
        <v>3</v>
      </c>
    </row>
    <row r="161" spans="1:8" x14ac:dyDescent="0.25">
      <c r="A161" t="s">
        <v>1061</v>
      </c>
      <c r="B161" s="395" t="s">
        <v>60</v>
      </c>
      <c r="D161">
        <v>1</v>
      </c>
      <c r="E161">
        <v>1</v>
      </c>
      <c r="G161">
        <v>4</v>
      </c>
      <c r="H161">
        <f t="shared" si="3"/>
        <v>6</v>
      </c>
    </row>
    <row r="162" spans="1:8" x14ac:dyDescent="0.25">
      <c r="A162" t="s">
        <v>1108</v>
      </c>
      <c r="B162" t="s">
        <v>31</v>
      </c>
      <c r="C162">
        <v>3</v>
      </c>
      <c r="G162">
        <v>1</v>
      </c>
      <c r="H162">
        <v>4</v>
      </c>
    </row>
    <row r="163" spans="1:8" x14ac:dyDescent="0.25">
      <c r="A163" t="s">
        <v>1108</v>
      </c>
      <c r="B163" t="s">
        <v>32</v>
      </c>
      <c r="D163">
        <v>1</v>
      </c>
      <c r="G163">
        <v>23</v>
      </c>
      <c r="H163">
        <v>24</v>
      </c>
    </row>
    <row r="164" spans="1:8" x14ac:dyDescent="0.25">
      <c r="A164" t="s">
        <v>1108</v>
      </c>
      <c r="B164" t="s">
        <v>33</v>
      </c>
      <c r="D164">
        <v>1</v>
      </c>
      <c r="G164">
        <v>5</v>
      </c>
      <c r="H164">
        <v>6</v>
      </c>
    </row>
    <row r="165" spans="1:8" x14ac:dyDescent="0.25">
      <c r="A165" t="s">
        <v>1108</v>
      </c>
      <c r="B165" t="s">
        <v>34</v>
      </c>
      <c r="D165">
        <v>2</v>
      </c>
      <c r="F165">
        <v>25</v>
      </c>
      <c r="G165">
        <v>12</v>
      </c>
      <c r="H165">
        <v>39</v>
      </c>
    </row>
    <row r="166" spans="1:8" x14ac:dyDescent="0.25">
      <c r="A166" t="s">
        <v>1108</v>
      </c>
      <c r="B166" t="s">
        <v>243</v>
      </c>
      <c r="C166">
        <v>7</v>
      </c>
      <c r="G166">
        <v>1</v>
      </c>
      <c r="H166">
        <v>8</v>
      </c>
    </row>
    <row r="167" spans="1:8" x14ac:dyDescent="0.25">
      <c r="A167" t="s">
        <v>1108</v>
      </c>
      <c r="B167" t="s">
        <v>35</v>
      </c>
      <c r="D167">
        <v>1</v>
      </c>
      <c r="G167">
        <v>1</v>
      </c>
      <c r="H167">
        <v>2</v>
      </c>
    </row>
    <row r="168" spans="1:8" x14ac:dyDescent="0.25">
      <c r="A168" t="s">
        <v>1108</v>
      </c>
      <c r="B168" t="s">
        <v>36</v>
      </c>
      <c r="D168">
        <v>1</v>
      </c>
      <c r="F168">
        <v>1</v>
      </c>
      <c r="G168">
        <v>15</v>
      </c>
      <c r="H168">
        <v>17</v>
      </c>
    </row>
    <row r="169" spans="1:8" x14ac:dyDescent="0.25">
      <c r="A169" t="s">
        <v>1108</v>
      </c>
      <c r="B169" t="s">
        <v>37</v>
      </c>
      <c r="C169">
        <v>3</v>
      </c>
      <c r="D169">
        <v>1</v>
      </c>
      <c r="H169">
        <v>4</v>
      </c>
    </row>
    <row r="170" spans="1:8" x14ac:dyDescent="0.25">
      <c r="A170" t="s">
        <v>1108</v>
      </c>
      <c r="B170" t="s">
        <v>38</v>
      </c>
      <c r="C170">
        <v>1</v>
      </c>
      <c r="G170">
        <v>7</v>
      </c>
      <c r="H170">
        <v>8</v>
      </c>
    </row>
    <row r="171" spans="1:8" x14ac:dyDescent="0.25">
      <c r="A171" t="s">
        <v>1108</v>
      </c>
      <c r="B171" t="s">
        <v>39</v>
      </c>
      <c r="C171">
        <v>3</v>
      </c>
      <c r="H171">
        <v>3</v>
      </c>
    </row>
    <row r="172" spans="1:8" x14ac:dyDescent="0.25">
      <c r="A172" t="s">
        <v>1108</v>
      </c>
      <c r="B172" t="s">
        <v>40</v>
      </c>
      <c r="C172">
        <v>1</v>
      </c>
      <c r="G172">
        <v>5</v>
      </c>
      <c r="H172">
        <v>6</v>
      </c>
    </row>
    <row r="173" spans="1:8" x14ac:dyDescent="0.25">
      <c r="A173" t="s">
        <v>1108</v>
      </c>
      <c r="B173" t="s">
        <v>41</v>
      </c>
      <c r="C173">
        <v>2</v>
      </c>
      <c r="H173">
        <v>2</v>
      </c>
    </row>
    <row r="174" spans="1:8" x14ac:dyDescent="0.25">
      <c r="A174" t="s">
        <v>1108</v>
      </c>
      <c r="B174" t="s">
        <v>42</v>
      </c>
      <c r="D174">
        <v>3</v>
      </c>
      <c r="G174">
        <v>2</v>
      </c>
      <c r="H174">
        <v>5</v>
      </c>
    </row>
    <row r="175" spans="1:8" x14ac:dyDescent="0.25">
      <c r="A175" t="s">
        <v>1108</v>
      </c>
      <c r="B175" t="s">
        <v>43</v>
      </c>
      <c r="C175">
        <v>5</v>
      </c>
      <c r="G175">
        <v>8</v>
      </c>
      <c r="H175">
        <v>13</v>
      </c>
    </row>
    <row r="176" spans="1:8" x14ac:dyDescent="0.25">
      <c r="A176" t="s">
        <v>1108</v>
      </c>
      <c r="B176" t="s">
        <v>117</v>
      </c>
      <c r="C176">
        <v>11</v>
      </c>
      <c r="H176">
        <v>11</v>
      </c>
    </row>
    <row r="177" spans="1:8" x14ac:dyDescent="0.25">
      <c r="A177" t="s">
        <v>1108</v>
      </c>
      <c r="B177" t="s">
        <v>44</v>
      </c>
      <c r="D177">
        <v>1</v>
      </c>
      <c r="F177">
        <v>9</v>
      </c>
      <c r="G177">
        <v>51</v>
      </c>
      <c r="H177">
        <v>61</v>
      </c>
    </row>
    <row r="178" spans="1:8" x14ac:dyDescent="0.25">
      <c r="A178" t="s">
        <v>1108</v>
      </c>
      <c r="B178" t="s">
        <v>45</v>
      </c>
      <c r="D178">
        <v>2</v>
      </c>
      <c r="G178">
        <v>1</v>
      </c>
      <c r="H178">
        <v>3</v>
      </c>
    </row>
    <row r="179" spans="1:8" x14ac:dyDescent="0.25">
      <c r="A179" t="s">
        <v>1108</v>
      </c>
      <c r="B179" t="s">
        <v>46</v>
      </c>
      <c r="C179">
        <v>1</v>
      </c>
      <c r="G179">
        <v>1</v>
      </c>
      <c r="H179">
        <v>2</v>
      </c>
    </row>
    <row r="180" spans="1:8" x14ac:dyDescent="0.25">
      <c r="A180" t="s">
        <v>1108</v>
      </c>
      <c r="B180" t="s">
        <v>47</v>
      </c>
      <c r="D180">
        <v>1</v>
      </c>
      <c r="F180">
        <v>1</v>
      </c>
      <c r="G180">
        <v>10</v>
      </c>
      <c r="H180">
        <v>12</v>
      </c>
    </row>
    <row r="181" spans="1:8" x14ac:dyDescent="0.25">
      <c r="A181" t="s">
        <v>1108</v>
      </c>
      <c r="B181" t="s">
        <v>48</v>
      </c>
      <c r="G181">
        <v>14</v>
      </c>
      <c r="H181">
        <v>14</v>
      </c>
    </row>
    <row r="182" spans="1:8" x14ac:dyDescent="0.25">
      <c r="A182" t="s">
        <v>1108</v>
      </c>
      <c r="B182" t="s">
        <v>49</v>
      </c>
      <c r="C182">
        <v>1</v>
      </c>
      <c r="D182">
        <v>2</v>
      </c>
      <c r="F182">
        <v>3</v>
      </c>
      <c r="G182">
        <v>8</v>
      </c>
      <c r="H182">
        <v>14</v>
      </c>
    </row>
    <row r="183" spans="1:8" x14ac:dyDescent="0.25">
      <c r="A183" t="s">
        <v>1108</v>
      </c>
      <c r="B183" t="s">
        <v>50</v>
      </c>
      <c r="C183">
        <v>4</v>
      </c>
      <c r="G183">
        <v>3</v>
      </c>
      <c r="H183">
        <v>7</v>
      </c>
    </row>
    <row r="184" spans="1:8" x14ac:dyDescent="0.25">
      <c r="A184" t="s">
        <v>1108</v>
      </c>
      <c r="B184" t="s">
        <v>51</v>
      </c>
      <c r="G184">
        <v>12</v>
      </c>
      <c r="H184">
        <v>12</v>
      </c>
    </row>
    <row r="185" spans="1:8" x14ac:dyDescent="0.25">
      <c r="A185" t="s">
        <v>1108</v>
      </c>
      <c r="B185" t="s">
        <v>52</v>
      </c>
      <c r="C185">
        <v>1</v>
      </c>
      <c r="F185">
        <v>3</v>
      </c>
      <c r="G185">
        <v>10</v>
      </c>
      <c r="H185">
        <v>14</v>
      </c>
    </row>
    <row r="186" spans="1:8" x14ac:dyDescent="0.25">
      <c r="A186" t="s">
        <v>1108</v>
      </c>
      <c r="B186" t="s">
        <v>53</v>
      </c>
      <c r="C186">
        <v>2</v>
      </c>
      <c r="D186">
        <v>1</v>
      </c>
      <c r="H186">
        <v>3</v>
      </c>
    </row>
    <row r="187" spans="1:8" x14ac:dyDescent="0.25">
      <c r="A187" t="s">
        <v>1108</v>
      </c>
      <c r="B187" t="s">
        <v>54</v>
      </c>
      <c r="D187">
        <v>2</v>
      </c>
      <c r="G187">
        <v>11</v>
      </c>
      <c r="H187">
        <v>13</v>
      </c>
    </row>
    <row r="188" spans="1:8" x14ac:dyDescent="0.25">
      <c r="A188" t="s">
        <v>1108</v>
      </c>
      <c r="B188" t="s">
        <v>55</v>
      </c>
      <c r="G188">
        <v>14</v>
      </c>
      <c r="H188">
        <v>14</v>
      </c>
    </row>
    <row r="189" spans="1:8" x14ac:dyDescent="0.25">
      <c r="A189" t="s">
        <v>1108</v>
      </c>
      <c r="B189" t="s">
        <v>56</v>
      </c>
      <c r="D189">
        <v>1</v>
      </c>
      <c r="G189">
        <v>4</v>
      </c>
      <c r="H189">
        <v>5</v>
      </c>
    </row>
    <row r="190" spans="1:8" x14ac:dyDescent="0.25">
      <c r="A190" t="s">
        <v>1108</v>
      </c>
      <c r="B190" t="s">
        <v>57</v>
      </c>
      <c r="C190">
        <v>3</v>
      </c>
      <c r="D190">
        <v>1</v>
      </c>
      <c r="G190">
        <v>7</v>
      </c>
      <c r="H190">
        <v>12</v>
      </c>
    </row>
    <row r="191" spans="1:8" x14ac:dyDescent="0.25">
      <c r="A191" t="s">
        <v>1108</v>
      </c>
      <c r="B191" t="s">
        <v>58</v>
      </c>
      <c r="C191">
        <v>1</v>
      </c>
      <c r="G191">
        <v>9</v>
      </c>
      <c r="H191">
        <v>10</v>
      </c>
    </row>
    <row r="192" spans="1:8" x14ac:dyDescent="0.25">
      <c r="A192" t="s">
        <v>1108</v>
      </c>
      <c r="B192" t="s">
        <v>59</v>
      </c>
      <c r="C192">
        <v>1</v>
      </c>
      <c r="D192">
        <v>1</v>
      </c>
      <c r="G192">
        <v>1</v>
      </c>
      <c r="H192">
        <v>3</v>
      </c>
    </row>
    <row r="193" spans="1:8" x14ac:dyDescent="0.25">
      <c r="A193" t="s">
        <v>1108</v>
      </c>
      <c r="B193" t="s">
        <v>60</v>
      </c>
      <c r="D193">
        <v>1</v>
      </c>
      <c r="E193">
        <v>1</v>
      </c>
      <c r="G193">
        <v>4</v>
      </c>
      <c r="H193">
        <v>6</v>
      </c>
    </row>
  </sheetData>
  <phoneticPr fontId="53" type="noConversion"/>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9" tint="0.39997558519241921"/>
  </sheetPr>
  <dimension ref="A1:G5"/>
  <sheetViews>
    <sheetView workbookViewId="0">
      <selection activeCell="C4" sqref="C4"/>
    </sheetView>
  </sheetViews>
  <sheetFormatPr defaultRowHeight="15" x14ac:dyDescent="0.25"/>
  <cols>
    <col min="1" max="1" width="12.5703125" bestFit="1" customWidth="1"/>
    <col min="2" max="2" width="19.42578125" bestFit="1" customWidth="1"/>
    <col min="3" max="3" width="20.85546875" bestFit="1" customWidth="1"/>
    <col min="4" max="4" width="21.5703125" bestFit="1" customWidth="1"/>
    <col min="5" max="5" width="21" bestFit="1" customWidth="1"/>
    <col min="6" max="6" width="19.7109375" bestFit="1" customWidth="1"/>
    <col min="7" max="7" width="21.85546875" bestFit="1" customWidth="1"/>
  </cols>
  <sheetData>
    <row r="1" spans="1:7" x14ac:dyDescent="0.25">
      <c r="A1" s="394" t="s">
        <v>1</v>
      </c>
      <c r="B1" t="s">
        <v>1108</v>
      </c>
    </row>
    <row r="3" spans="1:7" x14ac:dyDescent="0.25">
      <c r="A3" s="394" t="s">
        <v>231</v>
      </c>
      <c r="B3" t="s">
        <v>250</v>
      </c>
      <c r="C3" t="s">
        <v>251</v>
      </c>
      <c r="D3" t="s">
        <v>252</v>
      </c>
      <c r="E3" t="s">
        <v>241</v>
      </c>
      <c r="F3" t="s">
        <v>253</v>
      </c>
      <c r="G3" t="s">
        <v>256</v>
      </c>
    </row>
    <row r="4" spans="1:7" x14ac:dyDescent="0.25">
      <c r="A4" s="395" t="s">
        <v>235</v>
      </c>
      <c r="B4">
        <v>1</v>
      </c>
      <c r="C4">
        <v>4</v>
      </c>
      <c r="D4">
        <v>9</v>
      </c>
      <c r="E4">
        <v>39.57</v>
      </c>
      <c r="F4">
        <v>25.79</v>
      </c>
      <c r="G4">
        <v>86.85</v>
      </c>
    </row>
    <row r="5" spans="1:7" x14ac:dyDescent="0.25">
      <c r="A5" s="395" t="s">
        <v>236</v>
      </c>
      <c r="B5">
        <v>1</v>
      </c>
      <c r="C5">
        <v>4</v>
      </c>
      <c r="D5">
        <v>9</v>
      </c>
      <c r="E5">
        <v>39.57</v>
      </c>
      <c r="F5">
        <v>25.79</v>
      </c>
      <c r="G5">
        <v>86.85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9" tint="0.39997558519241921"/>
  </sheetPr>
  <dimension ref="A1:K12"/>
  <sheetViews>
    <sheetView workbookViewId="0">
      <selection activeCell="F8" sqref="F8"/>
    </sheetView>
  </sheetViews>
  <sheetFormatPr defaultRowHeight="15" x14ac:dyDescent="0.25"/>
  <cols>
    <col min="1" max="1" width="7.42578125" bestFit="1" customWidth="1"/>
    <col min="2" max="2" width="15.5703125" bestFit="1" customWidth="1"/>
    <col min="3" max="3" width="7.85546875" bestFit="1" customWidth="1"/>
    <col min="4" max="4" width="9.7109375" bestFit="1" customWidth="1"/>
    <col min="5" max="5" width="11.85546875" bestFit="1" customWidth="1"/>
    <col min="6" max="6" width="14.85546875" bestFit="1" customWidth="1"/>
    <col min="7" max="7" width="16.42578125" bestFit="1" customWidth="1"/>
    <col min="8" max="8" width="17.140625" bestFit="1" customWidth="1"/>
    <col min="9" max="9" width="16.5703125" bestFit="1" customWidth="1"/>
    <col min="10" max="10" width="15.42578125" bestFit="1" customWidth="1"/>
    <col min="11" max="11" width="17.5703125" bestFit="1" customWidth="1"/>
  </cols>
  <sheetData>
    <row r="1" spans="1:11" x14ac:dyDescent="0.25">
      <c r="A1" t="s">
        <v>1</v>
      </c>
      <c r="B1" t="s">
        <v>982</v>
      </c>
      <c r="C1" t="s">
        <v>983</v>
      </c>
      <c r="D1" t="s">
        <v>242</v>
      </c>
      <c r="E1" t="s">
        <v>26</v>
      </c>
      <c r="F1" t="s">
        <v>18</v>
      </c>
      <c r="G1" t="s">
        <v>19</v>
      </c>
      <c r="H1" t="s">
        <v>20</v>
      </c>
      <c r="I1" t="s">
        <v>21</v>
      </c>
      <c r="J1" t="s">
        <v>22</v>
      </c>
      <c r="K1" t="s">
        <v>76</v>
      </c>
    </row>
    <row r="2" spans="1:11" x14ac:dyDescent="0.25">
      <c r="A2" t="s">
        <v>192</v>
      </c>
      <c r="B2" t="s">
        <v>235</v>
      </c>
      <c r="C2" t="s">
        <v>244</v>
      </c>
      <c r="D2" t="s">
        <v>347</v>
      </c>
      <c r="E2">
        <v>212.96</v>
      </c>
      <c r="F2">
        <v>0</v>
      </c>
      <c r="G2">
        <v>5</v>
      </c>
      <c r="H2">
        <v>11</v>
      </c>
      <c r="I2">
        <v>51.56</v>
      </c>
      <c r="J2">
        <v>51.01</v>
      </c>
      <c r="K2">
        <v>94.39</v>
      </c>
    </row>
    <row r="3" spans="1:11" x14ac:dyDescent="0.25">
      <c r="A3" t="s">
        <v>191</v>
      </c>
      <c r="B3" t="s">
        <v>235</v>
      </c>
      <c r="C3" t="s">
        <v>244</v>
      </c>
      <c r="D3" t="s">
        <v>347</v>
      </c>
      <c r="E3">
        <v>220.79</v>
      </c>
      <c r="F3">
        <v>0</v>
      </c>
      <c r="G3">
        <v>5</v>
      </c>
      <c r="H3">
        <v>12.85</v>
      </c>
      <c r="I3">
        <v>49.46</v>
      </c>
      <c r="J3">
        <v>50.79</v>
      </c>
      <c r="K3">
        <v>102.69</v>
      </c>
    </row>
    <row r="4" spans="1:11" x14ac:dyDescent="0.25">
      <c r="A4" t="s">
        <v>190</v>
      </c>
      <c r="B4" t="s">
        <v>235</v>
      </c>
      <c r="C4" t="s">
        <v>244</v>
      </c>
      <c r="D4" t="s">
        <v>347</v>
      </c>
      <c r="E4">
        <v>195.16952380952381</v>
      </c>
      <c r="F4">
        <v>0</v>
      </c>
      <c r="G4">
        <v>6</v>
      </c>
      <c r="H4">
        <v>6.8333333333333339</v>
      </c>
      <c r="I4">
        <v>50.314285714285717</v>
      </c>
      <c r="J4">
        <v>43</v>
      </c>
      <c r="K4">
        <v>89.021904761904764</v>
      </c>
    </row>
    <row r="5" spans="1:11" x14ac:dyDescent="0.25">
      <c r="A5" t="s">
        <v>257</v>
      </c>
      <c r="B5" t="s">
        <v>235</v>
      </c>
      <c r="C5" t="s">
        <v>244</v>
      </c>
      <c r="D5" t="s">
        <v>347</v>
      </c>
      <c r="E5">
        <v>160</v>
      </c>
      <c r="F5">
        <v>0</v>
      </c>
      <c r="G5">
        <v>5</v>
      </c>
      <c r="H5">
        <v>8</v>
      </c>
      <c r="I5">
        <v>40</v>
      </c>
      <c r="J5">
        <v>30</v>
      </c>
      <c r="K5">
        <v>76</v>
      </c>
    </row>
    <row r="6" spans="1:11" x14ac:dyDescent="0.25">
      <c r="A6" t="s">
        <v>240</v>
      </c>
      <c r="B6" t="s">
        <v>235</v>
      </c>
      <c r="C6" t="s">
        <v>244</v>
      </c>
      <c r="D6" t="s">
        <v>347</v>
      </c>
      <c r="E6">
        <v>184</v>
      </c>
      <c r="F6">
        <v>0</v>
      </c>
      <c r="G6">
        <v>5</v>
      </c>
      <c r="H6">
        <v>8</v>
      </c>
      <c r="I6">
        <v>43</v>
      </c>
      <c r="J6">
        <v>27</v>
      </c>
      <c r="K6">
        <v>101</v>
      </c>
    </row>
    <row r="7" spans="1:11" x14ac:dyDescent="0.25">
      <c r="A7" t="s">
        <v>239</v>
      </c>
      <c r="B7" t="s">
        <v>235</v>
      </c>
      <c r="C7" t="s">
        <v>244</v>
      </c>
      <c r="D7" t="s">
        <v>347</v>
      </c>
      <c r="E7">
        <v>202.32999999999998</v>
      </c>
      <c r="F7">
        <v>1</v>
      </c>
      <c r="G7">
        <v>4</v>
      </c>
      <c r="H7">
        <v>9</v>
      </c>
      <c r="I7">
        <v>42</v>
      </c>
      <c r="J7">
        <v>27</v>
      </c>
      <c r="K7">
        <v>119.33</v>
      </c>
    </row>
    <row r="8" spans="1:11" x14ac:dyDescent="0.25">
      <c r="A8" t="s">
        <v>760</v>
      </c>
      <c r="B8" t="s">
        <v>235</v>
      </c>
      <c r="C8" t="s">
        <v>244</v>
      </c>
      <c r="D8" t="s">
        <v>347</v>
      </c>
      <c r="E8">
        <v>183.82999999999998</v>
      </c>
      <c r="F8">
        <v>1</v>
      </c>
      <c r="G8">
        <v>4</v>
      </c>
      <c r="H8">
        <v>8</v>
      </c>
      <c r="I8">
        <v>45</v>
      </c>
      <c r="J8">
        <v>26</v>
      </c>
      <c r="K8">
        <v>99.83</v>
      </c>
    </row>
    <row r="9" spans="1:11" x14ac:dyDescent="0.25">
      <c r="A9" t="s">
        <v>917</v>
      </c>
      <c r="B9" t="s">
        <v>235</v>
      </c>
      <c r="C9" t="s">
        <v>244</v>
      </c>
      <c r="D9" t="s">
        <v>347</v>
      </c>
      <c r="E9">
        <v>176.06</v>
      </c>
      <c r="F9">
        <v>1</v>
      </c>
      <c r="G9">
        <v>4</v>
      </c>
      <c r="H9">
        <v>10</v>
      </c>
      <c r="I9">
        <v>41</v>
      </c>
      <c r="J9">
        <v>30</v>
      </c>
      <c r="K9">
        <v>90.06</v>
      </c>
    </row>
    <row r="10" spans="1:11" x14ac:dyDescent="0.25">
      <c r="A10" t="s">
        <v>1010</v>
      </c>
      <c r="B10" t="s">
        <v>235</v>
      </c>
      <c r="C10" t="s">
        <v>244</v>
      </c>
      <c r="D10" t="s">
        <v>347</v>
      </c>
      <c r="E10">
        <v>170.46</v>
      </c>
      <c r="F10">
        <v>1</v>
      </c>
      <c r="G10">
        <v>4</v>
      </c>
      <c r="H10">
        <v>10</v>
      </c>
      <c r="I10">
        <v>42</v>
      </c>
      <c r="J10">
        <v>27</v>
      </c>
      <c r="K10">
        <v>86.460000000000008</v>
      </c>
    </row>
    <row r="11" spans="1:11" x14ac:dyDescent="0.25">
      <c r="A11" t="s">
        <v>1061</v>
      </c>
      <c r="B11" t="s">
        <v>235</v>
      </c>
      <c r="C11" t="s">
        <v>244</v>
      </c>
      <c r="D11" t="s">
        <v>347</v>
      </c>
      <c r="E11">
        <v>168.06</v>
      </c>
      <c r="F11">
        <v>1</v>
      </c>
      <c r="G11">
        <v>4</v>
      </c>
      <c r="H11">
        <v>10</v>
      </c>
      <c r="I11">
        <v>36.86</v>
      </c>
      <c r="J11">
        <v>28.29</v>
      </c>
      <c r="K11">
        <v>87.91</v>
      </c>
    </row>
    <row r="12" spans="1:11" x14ac:dyDescent="0.25">
      <c r="A12" t="s">
        <v>1108</v>
      </c>
      <c r="B12" t="s">
        <v>235</v>
      </c>
      <c r="C12" t="s">
        <v>244</v>
      </c>
      <c r="D12" t="s">
        <v>347</v>
      </c>
      <c r="E12">
        <v>166.20999999999998</v>
      </c>
      <c r="F12">
        <v>1</v>
      </c>
      <c r="G12">
        <v>4</v>
      </c>
      <c r="H12">
        <v>9</v>
      </c>
      <c r="I12">
        <v>39.57</v>
      </c>
      <c r="J12">
        <v>25.79</v>
      </c>
      <c r="K12">
        <v>86.85</v>
      </c>
    </row>
  </sheetData>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9" tint="0.39997558519241921"/>
  </sheetPr>
  <dimension ref="A1:I5"/>
  <sheetViews>
    <sheetView workbookViewId="0">
      <selection activeCell="D4" sqref="D4"/>
    </sheetView>
  </sheetViews>
  <sheetFormatPr defaultRowHeight="15" x14ac:dyDescent="0.25"/>
  <cols>
    <col min="1" max="1" width="12.5703125" bestFit="1" customWidth="1"/>
    <col min="2" max="2" width="14.140625" bestFit="1" customWidth="1"/>
    <col min="3" max="3" width="21.5703125" bestFit="1" customWidth="1"/>
    <col min="4" max="4" width="18.28515625" bestFit="1" customWidth="1"/>
    <col min="5" max="5" width="18" bestFit="1" customWidth="1"/>
    <col min="6" max="6" width="24" bestFit="1" customWidth="1"/>
    <col min="7" max="7" width="18.5703125" bestFit="1" customWidth="1"/>
    <col min="8" max="8" width="20.140625" bestFit="1" customWidth="1"/>
    <col min="9" max="9" width="11.42578125" bestFit="1" customWidth="1"/>
  </cols>
  <sheetData>
    <row r="1" spans="1:9" x14ac:dyDescent="0.25">
      <c r="A1" s="394" t="s">
        <v>1</v>
      </c>
      <c r="B1" t="s">
        <v>1108</v>
      </c>
    </row>
    <row r="3" spans="1:9" x14ac:dyDescent="0.25">
      <c r="A3" s="394" t="s">
        <v>231</v>
      </c>
      <c r="B3" t="s">
        <v>258</v>
      </c>
      <c r="C3" t="s">
        <v>259</v>
      </c>
      <c r="D3" t="s">
        <v>260</v>
      </c>
      <c r="E3" t="s">
        <v>261</v>
      </c>
      <c r="F3" t="s">
        <v>262</v>
      </c>
      <c r="G3" t="s">
        <v>263</v>
      </c>
      <c r="H3" t="s">
        <v>264</v>
      </c>
      <c r="I3" t="s">
        <v>237</v>
      </c>
    </row>
    <row r="4" spans="1:9" x14ac:dyDescent="0.25">
      <c r="A4" s="395" t="s">
        <v>235</v>
      </c>
      <c r="B4">
        <v>3</v>
      </c>
      <c r="C4">
        <v>85.679999999999993</v>
      </c>
      <c r="D4">
        <v>35</v>
      </c>
      <c r="E4">
        <v>88.1</v>
      </c>
      <c r="F4">
        <v>438.38000000000022</v>
      </c>
      <c r="G4">
        <v>55.880000000000038</v>
      </c>
      <c r="H4">
        <v>123.36</v>
      </c>
      <c r="I4">
        <v>829.4000000000002</v>
      </c>
    </row>
    <row r="5" spans="1:9" x14ac:dyDescent="0.25">
      <c r="A5" s="395" t="s">
        <v>236</v>
      </c>
      <c r="B5">
        <v>3</v>
      </c>
      <c r="C5">
        <v>85.679999999999993</v>
      </c>
      <c r="D5">
        <v>35</v>
      </c>
      <c r="E5">
        <v>88.1</v>
      </c>
      <c r="F5">
        <v>438.38000000000022</v>
      </c>
      <c r="G5">
        <v>55.880000000000038</v>
      </c>
      <c r="H5">
        <v>123.36</v>
      </c>
      <c r="I5">
        <v>829.4000000000002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9" tint="0.39997558519241921"/>
  </sheetPr>
  <dimension ref="A1:L12"/>
  <sheetViews>
    <sheetView workbookViewId="0">
      <selection activeCell="E5" sqref="E5"/>
    </sheetView>
  </sheetViews>
  <sheetFormatPr defaultRowHeight="15" x14ac:dyDescent="0.25"/>
  <cols>
    <col min="1" max="1" width="7.42578125" bestFit="1" customWidth="1"/>
    <col min="2" max="2" width="9.7109375" bestFit="1" customWidth="1"/>
    <col min="3" max="3" width="15.5703125" bestFit="1" customWidth="1"/>
    <col min="4" max="4" width="7.85546875" bestFit="1" customWidth="1"/>
    <col min="5" max="5" width="9.85546875" bestFit="1" customWidth="1"/>
    <col min="6" max="6" width="16.85546875" bestFit="1" customWidth="1"/>
    <col min="7" max="7" width="13.85546875" bestFit="1" customWidth="1"/>
    <col min="8" max="8" width="13.42578125" bestFit="1" customWidth="1"/>
    <col min="9" max="9" width="19.140625" bestFit="1" customWidth="1"/>
    <col min="10" max="10" width="14.140625" bestFit="1" customWidth="1"/>
    <col min="11" max="11" width="15.7109375" bestFit="1" customWidth="1"/>
    <col min="12" max="12" width="11.85546875" bestFit="1" customWidth="1"/>
  </cols>
  <sheetData>
    <row r="1" spans="1:12" x14ac:dyDescent="0.25">
      <c r="A1" t="s">
        <v>1</v>
      </c>
      <c r="B1" t="s">
        <v>242</v>
      </c>
      <c r="C1" t="s">
        <v>982</v>
      </c>
      <c r="D1" t="s">
        <v>983</v>
      </c>
      <c r="E1" t="s">
        <v>197</v>
      </c>
      <c r="F1" t="s">
        <v>77</v>
      </c>
      <c r="G1" t="s">
        <v>83</v>
      </c>
      <c r="H1" t="s">
        <v>79</v>
      </c>
      <c r="I1" t="s">
        <v>301</v>
      </c>
      <c r="J1" t="s">
        <v>302</v>
      </c>
      <c r="K1" t="s">
        <v>94</v>
      </c>
      <c r="L1" t="s">
        <v>26</v>
      </c>
    </row>
    <row r="2" spans="1:12" x14ac:dyDescent="0.25">
      <c r="A2" t="s">
        <v>192</v>
      </c>
      <c r="B2" t="s">
        <v>347</v>
      </c>
      <c r="C2" t="s">
        <v>235</v>
      </c>
      <c r="D2" t="s">
        <v>244</v>
      </c>
      <c r="F2">
        <v>69.7</v>
      </c>
      <c r="G2">
        <v>19.8</v>
      </c>
      <c r="H2">
        <v>42.3</v>
      </c>
      <c r="I2">
        <v>256.40000000000003</v>
      </c>
      <c r="J2">
        <v>199.5</v>
      </c>
      <c r="K2">
        <v>223.6</v>
      </c>
      <c r="L2">
        <v>811.3</v>
      </c>
    </row>
    <row r="3" spans="1:12" x14ac:dyDescent="0.25">
      <c r="A3" t="s">
        <v>191</v>
      </c>
      <c r="B3" t="s">
        <v>347</v>
      </c>
      <c r="C3" t="s">
        <v>235</v>
      </c>
      <c r="D3" t="s">
        <v>244</v>
      </c>
      <c r="E3">
        <v>2</v>
      </c>
      <c r="F3">
        <v>43.99</v>
      </c>
      <c r="G3">
        <v>35.9</v>
      </c>
      <c r="H3">
        <v>55.47</v>
      </c>
      <c r="I3">
        <v>327.22999999999996</v>
      </c>
      <c r="J3">
        <v>126.98</v>
      </c>
      <c r="K3">
        <v>152.39000000000001</v>
      </c>
      <c r="L3">
        <v>743.95999999999992</v>
      </c>
    </row>
    <row r="4" spans="1:12" x14ac:dyDescent="0.25">
      <c r="A4" t="s">
        <v>190</v>
      </c>
      <c r="B4" t="s">
        <v>347</v>
      </c>
      <c r="C4" t="s">
        <v>235</v>
      </c>
      <c r="D4" t="s">
        <v>244</v>
      </c>
      <c r="E4">
        <v>3</v>
      </c>
      <c r="F4">
        <v>40</v>
      </c>
      <c r="G4">
        <v>33.309428571428569</v>
      </c>
      <c r="H4">
        <v>70.714285714285722</v>
      </c>
      <c r="I4">
        <v>303.60857142857139</v>
      </c>
      <c r="J4">
        <v>122.20028571428574</v>
      </c>
      <c r="K4">
        <v>146</v>
      </c>
      <c r="L4">
        <v>718.56228571428574</v>
      </c>
    </row>
    <row r="5" spans="1:12" x14ac:dyDescent="0.25">
      <c r="A5" t="s">
        <v>257</v>
      </c>
      <c r="B5" t="s">
        <v>347</v>
      </c>
      <c r="C5" t="s">
        <v>235</v>
      </c>
      <c r="D5" t="s">
        <v>244</v>
      </c>
      <c r="E5">
        <v>3</v>
      </c>
      <c r="F5">
        <v>42</v>
      </c>
      <c r="G5">
        <v>33</v>
      </c>
      <c r="H5">
        <v>74</v>
      </c>
      <c r="I5">
        <v>334</v>
      </c>
      <c r="J5">
        <v>115</v>
      </c>
      <c r="K5">
        <v>140</v>
      </c>
      <c r="L5">
        <v>745</v>
      </c>
    </row>
    <row r="6" spans="1:12" x14ac:dyDescent="0.25">
      <c r="A6" t="s">
        <v>240</v>
      </c>
      <c r="B6" t="s">
        <v>347</v>
      </c>
      <c r="C6" t="s">
        <v>235</v>
      </c>
      <c r="D6" t="s">
        <v>244</v>
      </c>
      <c r="E6">
        <v>2</v>
      </c>
      <c r="F6">
        <v>50</v>
      </c>
      <c r="G6">
        <v>31</v>
      </c>
      <c r="H6">
        <v>76</v>
      </c>
      <c r="I6">
        <v>355</v>
      </c>
      <c r="J6">
        <v>110</v>
      </c>
      <c r="K6">
        <v>135</v>
      </c>
      <c r="L6">
        <v>759</v>
      </c>
    </row>
    <row r="7" spans="1:12" x14ac:dyDescent="0.25">
      <c r="A7" t="s">
        <v>239</v>
      </c>
      <c r="B7" t="s">
        <v>347</v>
      </c>
      <c r="C7" t="s">
        <v>235</v>
      </c>
      <c r="D7" t="s">
        <v>244</v>
      </c>
      <c r="E7">
        <v>3</v>
      </c>
      <c r="F7">
        <v>49</v>
      </c>
      <c r="G7">
        <v>34</v>
      </c>
      <c r="H7">
        <v>80.399999999999991</v>
      </c>
      <c r="I7">
        <v>375.56000000000012</v>
      </c>
      <c r="J7">
        <v>58.610000000000042</v>
      </c>
      <c r="K7">
        <v>144.99</v>
      </c>
      <c r="L7">
        <v>745.56000000000006</v>
      </c>
    </row>
    <row r="8" spans="1:12" x14ac:dyDescent="0.25">
      <c r="A8" t="s">
        <v>760</v>
      </c>
      <c r="B8" t="s">
        <v>347</v>
      </c>
      <c r="C8" t="s">
        <v>235</v>
      </c>
      <c r="D8" t="s">
        <v>244</v>
      </c>
      <c r="E8">
        <v>3</v>
      </c>
      <c r="F8">
        <v>47</v>
      </c>
      <c r="G8">
        <v>32</v>
      </c>
      <c r="H8">
        <v>88.61</v>
      </c>
      <c r="I8">
        <v>382.50000000000017</v>
      </c>
      <c r="J8">
        <v>56.950000000000038</v>
      </c>
      <c r="K8">
        <v>154.34</v>
      </c>
      <c r="L8">
        <v>764.4000000000002</v>
      </c>
    </row>
    <row r="9" spans="1:12" x14ac:dyDescent="0.25">
      <c r="A9" t="s">
        <v>917</v>
      </c>
      <c r="B9" t="s">
        <v>347</v>
      </c>
      <c r="C9" t="s">
        <v>235</v>
      </c>
      <c r="D9" t="s">
        <v>244</v>
      </c>
      <c r="E9">
        <v>3</v>
      </c>
      <c r="F9">
        <v>49.8</v>
      </c>
      <c r="G9">
        <v>30</v>
      </c>
      <c r="H9">
        <v>88.429999999999993</v>
      </c>
      <c r="I9">
        <v>398.88000000000017</v>
      </c>
      <c r="J9">
        <v>55.73000000000004</v>
      </c>
      <c r="K9">
        <v>160.44999999999996</v>
      </c>
      <c r="L9">
        <v>786.29000000000008</v>
      </c>
    </row>
    <row r="10" spans="1:12" x14ac:dyDescent="0.25">
      <c r="A10" t="s">
        <v>1010</v>
      </c>
      <c r="B10" t="s">
        <v>347</v>
      </c>
      <c r="C10" t="s">
        <v>235</v>
      </c>
      <c r="D10" t="s">
        <v>244</v>
      </c>
      <c r="E10">
        <v>4</v>
      </c>
      <c r="F10">
        <v>57</v>
      </c>
      <c r="G10">
        <v>32</v>
      </c>
      <c r="H10">
        <v>100.35</v>
      </c>
      <c r="I10">
        <v>449.55000000000018</v>
      </c>
      <c r="J10">
        <v>55.650000000000041</v>
      </c>
      <c r="K10">
        <v>163.91000000000003</v>
      </c>
      <c r="L10">
        <v>862.46000000000026</v>
      </c>
    </row>
    <row r="11" spans="1:12" x14ac:dyDescent="0.25">
      <c r="A11" t="s">
        <v>1061</v>
      </c>
      <c r="B11" t="s">
        <v>347</v>
      </c>
      <c r="C11" t="s">
        <v>235</v>
      </c>
      <c r="D11" t="s">
        <v>244</v>
      </c>
      <c r="E11">
        <v>4</v>
      </c>
      <c r="F11">
        <v>80.139999999999986</v>
      </c>
      <c r="G11">
        <v>36</v>
      </c>
      <c r="H11">
        <v>94.669999999999973</v>
      </c>
      <c r="I11">
        <v>441.38000000000017</v>
      </c>
      <c r="J11">
        <v>53.880000000000038</v>
      </c>
      <c r="K11">
        <v>140.27999999999997</v>
      </c>
      <c r="L11">
        <v>850.35</v>
      </c>
    </row>
    <row r="12" spans="1:12" x14ac:dyDescent="0.25">
      <c r="A12" t="s">
        <v>1108</v>
      </c>
      <c r="B12" t="s">
        <v>347</v>
      </c>
      <c r="C12" t="s">
        <v>235</v>
      </c>
      <c r="D12" t="s">
        <v>244</v>
      </c>
      <c r="E12">
        <v>3</v>
      </c>
      <c r="F12">
        <v>85.679999999999993</v>
      </c>
      <c r="G12">
        <v>35</v>
      </c>
      <c r="H12">
        <v>88.1</v>
      </c>
      <c r="I12">
        <v>438.38000000000022</v>
      </c>
      <c r="J12">
        <v>55.880000000000038</v>
      </c>
      <c r="K12">
        <v>123.36</v>
      </c>
      <c r="L12">
        <v>829.4000000000002</v>
      </c>
    </row>
  </sheetData>
  <pageMargins left="0.7" right="0.7" top="0.75" bottom="0.75" header="0.3" footer="0.3"/>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3">
    <tabColor theme="9" tint="0.39997558519241921"/>
    <pageSetUpPr fitToPage="1"/>
  </sheetPr>
  <dimension ref="A1:XFC42"/>
  <sheetViews>
    <sheetView showGridLines="0" zoomScaleNormal="100" workbookViewId="0">
      <pane ySplit="2" topLeftCell="A3" activePane="bottomLeft" state="frozen"/>
      <selection pane="bottomLeft" sqref="A1:H1"/>
    </sheetView>
  </sheetViews>
  <sheetFormatPr defaultRowHeight="15" x14ac:dyDescent="0.25"/>
  <cols>
    <col min="1" max="1" width="17.28515625" customWidth="1"/>
    <col min="2" max="2" width="58.7109375" customWidth="1"/>
    <col min="3" max="10" width="12.7109375" customWidth="1"/>
  </cols>
  <sheetData>
    <row r="1" spans="1:16383" ht="15.75" x14ac:dyDescent="0.25">
      <c r="A1" s="993" t="s">
        <v>450</v>
      </c>
      <c r="B1" s="993"/>
      <c r="C1" s="993"/>
      <c r="D1" s="993"/>
      <c r="E1" s="993"/>
      <c r="F1" s="993"/>
      <c r="G1" s="993"/>
      <c r="H1" s="993"/>
    </row>
    <row r="2" spans="1:16383" ht="15.75" x14ac:dyDescent="0.25">
      <c r="A2" s="507" t="s">
        <v>511</v>
      </c>
      <c r="C2" s="449"/>
      <c r="D2" s="449"/>
      <c r="E2" s="449"/>
      <c r="F2" s="449"/>
      <c r="G2" s="449"/>
      <c r="H2" s="449"/>
    </row>
    <row r="3" spans="1:16383" ht="15.75" x14ac:dyDescent="0.25">
      <c r="C3" s="449"/>
      <c r="D3" s="449"/>
      <c r="E3" s="449"/>
      <c r="F3" s="449"/>
      <c r="G3" s="449"/>
      <c r="H3" s="449"/>
    </row>
    <row r="4" spans="1:16383" ht="31.5" customHeight="1" x14ac:dyDescent="0.25">
      <c r="A4" s="429" t="s">
        <v>466</v>
      </c>
      <c r="B4" s="429"/>
      <c r="C4" s="429"/>
      <c r="D4" s="429"/>
      <c r="E4" s="429"/>
      <c r="F4" s="429"/>
      <c r="G4" s="429"/>
      <c r="H4" s="429"/>
      <c r="I4" s="429"/>
      <c r="J4" s="83"/>
    </row>
    <row r="5" spans="1:16383" ht="15" customHeight="1" x14ac:dyDescent="0.25">
      <c r="A5" t="s">
        <v>328</v>
      </c>
      <c r="B5" t="s">
        <v>676</v>
      </c>
      <c r="C5" s="429"/>
      <c r="D5" s="429"/>
      <c r="E5" s="429"/>
      <c r="F5" s="429"/>
      <c r="G5" s="429"/>
      <c r="H5" s="429"/>
      <c r="I5" s="429"/>
      <c r="J5" s="83"/>
    </row>
    <row r="6" spans="1:16383" ht="15" customHeight="1" x14ac:dyDescent="0.25">
      <c r="A6" t="s">
        <v>329</v>
      </c>
      <c r="B6" t="s">
        <v>331</v>
      </c>
      <c r="C6" s="429"/>
      <c r="D6" s="429"/>
      <c r="E6" s="429"/>
      <c r="F6" s="429"/>
      <c r="G6" s="429"/>
      <c r="H6" s="429"/>
      <c r="I6" s="429"/>
      <c r="J6" s="83"/>
    </row>
    <row r="7" spans="1:16383" ht="15" customHeight="1" x14ac:dyDescent="0.25">
      <c r="A7" t="s">
        <v>330</v>
      </c>
      <c r="B7" t="s">
        <v>332</v>
      </c>
      <c r="C7" s="429"/>
      <c r="D7" s="429"/>
      <c r="E7" s="429"/>
      <c r="F7" s="429"/>
      <c r="G7" s="429"/>
      <c r="H7" s="429"/>
      <c r="I7" s="429"/>
      <c r="J7" s="83"/>
    </row>
    <row r="8" spans="1:16383" ht="25.5" x14ac:dyDescent="0.25">
      <c r="A8" s="78" t="s">
        <v>456</v>
      </c>
      <c r="B8" s="78" t="s">
        <v>205</v>
      </c>
      <c r="C8" s="84" t="s">
        <v>838</v>
      </c>
      <c r="D8" s="84" t="s">
        <v>839</v>
      </c>
      <c r="E8" s="84" t="s">
        <v>840</v>
      </c>
      <c r="F8" s="84" t="s">
        <v>841</v>
      </c>
      <c r="G8" s="84" t="s">
        <v>842</v>
      </c>
      <c r="H8" s="84" t="s">
        <v>76</v>
      </c>
      <c r="I8" s="488" t="s">
        <v>26</v>
      </c>
    </row>
    <row r="9" spans="1:16383" ht="15.75" thickBot="1" x14ac:dyDescent="0.3">
      <c r="A9" s="463" t="s">
        <v>347</v>
      </c>
      <c r="B9" s="80" t="s">
        <v>460</v>
      </c>
      <c r="C9" s="320">
        <f>GETPIVOTDATA("Sum of Area Manager",CSFTERoleAreaControlPivot!$A$3,"ReportingLevel","4:National")</f>
        <v>1</v>
      </c>
      <c r="D9" s="320">
        <f>GETPIVOTDATA("Sum of Group Manager",CSFTERoleAreaControlPivot!$A$3,"ReportingLevel","4:National")</f>
        <v>4</v>
      </c>
      <c r="E9" s="320">
        <f>GETPIVOTDATA("Sum of Station Manager",CSFTERoleAreaControlPivot!$A$3,"ReportingLevel","4:National")</f>
        <v>9</v>
      </c>
      <c r="F9" s="320">
        <f>GETPIVOTDATA("Sum of Watch Manager",CSFTERoleAreaControlPivot!$A$3,"ReportingLevel","4:National")</f>
        <v>39.57</v>
      </c>
      <c r="G9" s="320">
        <f>GETPIVOTDATA("Sum of Crew Manager",CSFTERoleAreaControlPivot!$A$3,"ReportingLevel","4:National")</f>
        <v>25.79</v>
      </c>
      <c r="H9" s="320">
        <f>GETPIVOTDATA("Sum of Control Operator",CSFTERoleAreaControlPivot!$A$3,"ReportingLevel","4:National")</f>
        <v>86.85</v>
      </c>
      <c r="I9" s="489">
        <f>SUM(C9:H9)</f>
        <v>166.20999999999998</v>
      </c>
      <c r="K9" s="69"/>
      <c r="L9" s="69"/>
      <c r="M9" s="69"/>
      <c r="N9" s="69"/>
      <c r="O9" s="69"/>
      <c r="P9" s="69"/>
      <c r="Q9" s="69"/>
      <c r="R9" s="69"/>
    </row>
    <row r="10" spans="1:16383" x14ac:dyDescent="0.25">
      <c r="B10" s="82"/>
      <c r="C10" s="15"/>
      <c r="D10" s="15"/>
      <c r="E10" s="15"/>
      <c r="F10" s="15"/>
      <c r="G10" s="15"/>
      <c r="H10" s="15"/>
      <c r="I10" s="12"/>
      <c r="J10" s="19"/>
    </row>
    <row r="11" spans="1:16383" x14ac:dyDescent="0.25">
      <c r="A11" s="381" t="s">
        <v>8</v>
      </c>
      <c r="C11" s="15"/>
      <c r="D11" s="15"/>
      <c r="E11" s="15"/>
      <c r="F11" s="15"/>
      <c r="G11" s="15"/>
      <c r="H11" s="15"/>
      <c r="I11" s="12"/>
      <c r="J11" s="19"/>
    </row>
    <row r="12" spans="1:16383" x14ac:dyDescent="0.25">
      <c r="A12" s="466" t="s">
        <v>212</v>
      </c>
      <c r="B12" s="395"/>
      <c r="C12" s="472"/>
      <c r="D12" s="472"/>
      <c r="E12" s="472"/>
      <c r="F12" s="472"/>
      <c r="G12" s="472"/>
      <c r="H12" s="472"/>
      <c r="I12" s="472"/>
      <c r="J12" s="472"/>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row>
    <row r="13" spans="1:16383" ht="15.75" x14ac:dyDescent="0.25">
      <c r="A13" s="473" t="s">
        <v>213</v>
      </c>
      <c r="B13" s="474"/>
      <c r="C13" s="467"/>
      <c r="D13" s="467"/>
      <c r="E13" s="467"/>
      <c r="F13" s="467"/>
      <c r="G13" s="467"/>
      <c r="H13" s="467"/>
      <c r="I13" s="467"/>
      <c r="J13" s="475"/>
    </row>
    <row r="14" spans="1:16383" ht="15.75" x14ac:dyDescent="0.25">
      <c r="A14" s="395" t="s">
        <v>218</v>
      </c>
      <c r="B14" s="474"/>
      <c r="C14" s="467"/>
      <c r="D14" s="467"/>
      <c r="E14" s="467"/>
      <c r="F14" s="467"/>
      <c r="G14" s="467"/>
      <c r="H14" s="467"/>
      <c r="I14" s="467"/>
      <c r="J14" s="475"/>
    </row>
    <row r="15" spans="1:16383" ht="30.95" customHeight="1" x14ac:dyDescent="0.25">
      <c r="A15" s="1003" t="s">
        <v>844</v>
      </c>
      <c r="B15" s="1003"/>
      <c r="C15" s="1003"/>
      <c r="D15" s="1003"/>
      <c r="E15" s="1003"/>
      <c r="F15" s="1003"/>
      <c r="G15" s="1003"/>
      <c r="H15" s="1003"/>
      <c r="I15" s="1003"/>
      <c r="J15" s="475"/>
    </row>
    <row r="16" spans="1:16383" x14ac:dyDescent="0.25">
      <c r="A16" s="581"/>
      <c r="B16" s="581"/>
      <c r="C16" s="581"/>
      <c r="D16" s="581"/>
      <c r="E16" s="581"/>
      <c r="F16" s="581"/>
      <c r="G16" s="581"/>
      <c r="H16" s="581"/>
      <c r="I16" s="581"/>
      <c r="J16" s="475"/>
    </row>
    <row r="17" spans="1:10" ht="37.5" customHeight="1" x14ac:dyDescent="0.25">
      <c r="A17" s="429" t="s">
        <v>467</v>
      </c>
      <c r="B17" s="429"/>
      <c r="C17" s="429"/>
      <c r="D17" s="429"/>
      <c r="E17" s="429"/>
      <c r="F17" s="429"/>
      <c r="G17" s="429"/>
      <c r="H17" s="429"/>
      <c r="I17" s="429"/>
      <c r="J17" s="83"/>
    </row>
    <row r="18" spans="1:10" ht="15" customHeight="1" x14ac:dyDescent="0.25">
      <c r="A18" t="s">
        <v>328</v>
      </c>
      <c r="B18" t="s">
        <v>677</v>
      </c>
      <c r="C18" s="429"/>
      <c r="D18" s="429"/>
      <c r="E18" s="429"/>
      <c r="F18" s="429"/>
      <c r="G18" s="429"/>
      <c r="H18" s="429"/>
      <c r="I18" s="429"/>
      <c r="J18" s="83"/>
    </row>
    <row r="19" spans="1:10" ht="15" customHeight="1" x14ac:dyDescent="0.25">
      <c r="A19" t="s">
        <v>329</v>
      </c>
      <c r="B19" t="s">
        <v>331</v>
      </c>
      <c r="C19" s="429"/>
      <c r="D19" s="429"/>
      <c r="E19" s="429"/>
      <c r="F19" s="429"/>
      <c r="G19" s="429"/>
      <c r="H19" s="429"/>
      <c r="I19" s="429"/>
      <c r="J19" s="83"/>
    </row>
    <row r="20" spans="1:10" ht="15" customHeight="1" x14ac:dyDescent="0.25">
      <c r="A20" t="s">
        <v>330</v>
      </c>
      <c r="B20" t="s">
        <v>332</v>
      </c>
      <c r="C20" s="429"/>
      <c r="D20" s="429"/>
      <c r="E20" s="429"/>
      <c r="F20" s="429"/>
      <c r="G20" s="429"/>
      <c r="H20" s="429"/>
      <c r="I20" s="429"/>
      <c r="J20" s="83"/>
    </row>
    <row r="21" spans="1:10" ht="26.25" x14ac:dyDescent="0.25">
      <c r="A21" s="78" t="s">
        <v>456</v>
      </c>
      <c r="B21" s="78" t="s">
        <v>205</v>
      </c>
      <c r="C21" s="37" t="s">
        <v>197</v>
      </c>
      <c r="D21" s="37" t="s">
        <v>77</v>
      </c>
      <c r="E21" s="37" t="s">
        <v>78</v>
      </c>
      <c r="F21" s="37" t="s">
        <v>79</v>
      </c>
      <c r="G21" s="37" t="s">
        <v>80</v>
      </c>
      <c r="H21" s="37" t="s">
        <v>81</v>
      </c>
      <c r="I21" s="37" t="s">
        <v>82</v>
      </c>
      <c r="J21" s="488" t="s">
        <v>26</v>
      </c>
    </row>
    <row r="22" spans="1:10" ht="15.75" thickBot="1" x14ac:dyDescent="0.3">
      <c r="A22" s="463" t="s">
        <v>347</v>
      </c>
      <c r="B22" s="80" t="s">
        <v>460</v>
      </c>
      <c r="C22" s="319">
        <f>GETPIVOTDATA("Sum of Director",CSFTERoleAreaSupportPivot!$A$3,"ReportingLevel","4:National")</f>
        <v>3</v>
      </c>
      <c r="D22" s="319">
        <f>GETPIVOTDATA("Sum of Service Manager",CSFTERoleAreaSupportPivot!$A$3,"ReportingLevel","4:National")</f>
        <v>85.679999999999993</v>
      </c>
      <c r="E22" s="319">
        <f>GETPIVOTDATA("Sum of Team Leader",CSFTERoleAreaSupportPivot!$A$3,"ReportingLevel","4:National")</f>
        <v>35</v>
      </c>
      <c r="F22" s="319">
        <f>GETPIVOTDATA("Sum of Professional",CSFTERoleAreaSupportPivot!$A$3,"ReportingLevel","4:National")</f>
        <v>88.1</v>
      </c>
      <c r="G22" s="319">
        <f>GETPIVOTDATA("Sum of Specialist Technical",CSFTERoleAreaSupportPivot!$A$3,"ReportingLevel","4:National")</f>
        <v>438.38000000000022</v>
      </c>
      <c r="H22" s="319">
        <f>GETPIVOTDATA("Sum of Tech Support",CSFTERoleAreaSupportPivot!$A$3,"ReportingLevel","4:National")</f>
        <v>55.880000000000038</v>
      </c>
      <c r="I22" s="319">
        <f>GETPIVOTDATA("Sum of Administration",CSFTERoleAreaSupportPivot!$A$3,"ReportingLevel","4:National")</f>
        <v>123.36</v>
      </c>
      <c r="J22" s="489">
        <f>GETPIVOTDATA("Sum of Total",CSFTERoleAreaSupportPivot!$A$3,"ReportingLevel","4:National")</f>
        <v>829.4000000000002</v>
      </c>
    </row>
    <row r="23" spans="1:10" x14ac:dyDescent="0.25">
      <c r="B23" s="82"/>
      <c r="C23" s="82"/>
      <c r="D23" s="88"/>
      <c r="E23" s="88"/>
      <c r="F23" s="88"/>
      <c r="G23" s="88"/>
      <c r="H23" s="88"/>
    </row>
    <row r="24" spans="1:10" x14ac:dyDescent="0.25">
      <c r="A24" s="48"/>
      <c r="B24" s="469"/>
      <c r="C24" s="469"/>
      <c r="D24" s="469"/>
      <c r="E24" s="469"/>
      <c r="F24" s="469"/>
      <c r="G24" s="469"/>
      <c r="H24" s="470"/>
      <c r="I24" s="471"/>
    </row>
    <row r="25" spans="1:10" x14ac:dyDescent="0.25">
      <c r="A25" s="347" t="s">
        <v>8</v>
      </c>
      <c r="B25" s="456"/>
      <c r="C25" s="456"/>
      <c r="D25" s="456"/>
      <c r="E25" s="456"/>
      <c r="F25" s="456"/>
      <c r="G25" s="456"/>
      <c r="H25" s="457"/>
      <c r="I25" s="458"/>
    </row>
    <row r="26" spans="1:10" x14ac:dyDescent="0.25">
      <c r="A26" s="466" t="s">
        <v>212</v>
      </c>
      <c r="B26" s="456"/>
      <c r="C26" s="456"/>
      <c r="D26" s="456"/>
      <c r="E26" s="456"/>
      <c r="F26" s="456"/>
      <c r="G26" s="456"/>
      <c r="H26" s="457"/>
      <c r="I26" s="458"/>
    </row>
    <row r="27" spans="1:10" x14ac:dyDescent="0.25">
      <c r="A27" s="377" t="s">
        <v>213</v>
      </c>
      <c r="B27" s="456"/>
      <c r="C27" s="456"/>
      <c r="D27" s="456"/>
      <c r="E27" s="456"/>
      <c r="F27" s="456"/>
      <c r="G27" s="456"/>
      <c r="H27" s="457"/>
      <c r="I27" s="458"/>
    </row>
    <row r="28" spans="1:10" x14ac:dyDescent="0.25">
      <c r="A28" s="573" t="s">
        <v>729</v>
      </c>
      <c r="B28" s="456"/>
      <c r="C28" s="456"/>
      <c r="D28" s="456"/>
      <c r="E28" s="456"/>
      <c r="F28" s="456"/>
      <c r="G28" s="456"/>
      <c r="H28" s="457"/>
      <c r="I28" s="458"/>
    </row>
    <row r="29" spans="1:10" ht="31.5" customHeight="1" x14ac:dyDescent="0.25">
      <c r="A29" s="992" t="s">
        <v>1057</v>
      </c>
      <c r="B29" s="992"/>
      <c r="C29" s="992"/>
      <c r="D29" s="992"/>
      <c r="E29" s="992"/>
      <c r="F29" s="992"/>
      <c r="G29" s="992"/>
      <c r="H29" s="992"/>
      <c r="I29" s="992"/>
      <c r="J29" s="992"/>
    </row>
    <row r="30" spans="1:10" x14ac:dyDescent="0.25">
      <c r="A30" s="459" t="s">
        <v>215</v>
      </c>
      <c r="B30" s="459"/>
      <c r="C30" s="459"/>
      <c r="D30" s="459"/>
      <c r="E30" s="459"/>
      <c r="F30" s="459"/>
      <c r="G30" s="459"/>
      <c r="H30" s="459"/>
      <c r="I30" s="459"/>
      <c r="J30" s="459"/>
    </row>
    <row r="31" spans="1:10" x14ac:dyDescent="0.25">
      <c r="A31" s="1010" t="s">
        <v>216</v>
      </c>
      <c r="B31" s="1010"/>
      <c r="C31" s="1010"/>
      <c r="D31" s="1010"/>
      <c r="E31" s="1010"/>
      <c r="F31" s="1010"/>
      <c r="G31" s="1010"/>
      <c r="H31" s="1010"/>
      <c r="I31" s="1010"/>
      <c r="J31" s="1010"/>
    </row>
    <row r="32" spans="1:10" x14ac:dyDescent="0.25">
      <c r="A32" s="350" t="s">
        <v>217</v>
      </c>
      <c r="B32" s="343"/>
      <c r="C32" s="351"/>
      <c r="D32" s="460"/>
      <c r="E32" s="460"/>
      <c r="F32" s="460"/>
      <c r="G32" s="460"/>
      <c r="H32" s="460"/>
      <c r="I32" s="460"/>
    </row>
    <row r="36" spans="1:10" ht="15" customHeight="1" x14ac:dyDescent="0.25"/>
    <row r="37" spans="1:10" ht="30" customHeight="1" x14ac:dyDescent="0.25">
      <c r="B37" s="1010"/>
      <c r="C37" s="1010"/>
      <c r="D37" s="1010"/>
      <c r="E37" s="1010"/>
      <c r="F37" s="1010"/>
      <c r="G37" s="1010"/>
      <c r="H37" s="1010"/>
      <c r="I37" s="1010"/>
      <c r="J37" s="1010"/>
    </row>
    <row r="38" spans="1:10" ht="15" customHeight="1" x14ac:dyDescent="0.25">
      <c r="A38" s="573"/>
      <c r="B38" s="456"/>
      <c r="C38" s="456"/>
      <c r="D38" s="456"/>
      <c r="E38" s="456"/>
      <c r="F38" s="456"/>
      <c r="G38" s="456"/>
      <c r="H38" s="457"/>
      <c r="I38" s="458"/>
    </row>
    <row r="39" spans="1:10" ht="30" customHeight="1" x14ac:dyDescent="0.25">
      <c r="A39" s="992"/>
      <c r="B39" s="992"/>
      <c r="C39" s="992"/>
      <c r="D39" s="992"/>
      <c r="E39" s="992"/>
      <c r="F39" s="992"/>
      <c r="G39" s="992"/>
      <c r="H39" s="992"/>
      <c r="I39" s="992"/>
      <c r="J39" s="992"/>
    </row>
    <row r="40" spans="1:10" ht="15" customHeight="1" x14ac:dyDescent="0.25">
      <c r="A40" s="459"/>
      <c r="B40" s="459"/>
      <c r="C40" s="459"/>
      <c r="D40" s="459"/>
      <c r="E40" s="459"/>
      <c r="F40" s="459"/>
      <c r="G40" s="459"/>
      <c r="H40" s="459"/>
      <c r="I40" s="459"/>
      <c r="J40" s="459"/>
    </row>
    <row r="41" spans="1:10" x14ac:dyDescent="0.25">
      <c r="A41" s="1010"/>
      <c r="B41" s="1010"/>
      <c r="C41" s="1010"/>
      <c r="D41" s="1010"/>
      <c r="E41" s="1010"/>
      <c r="F41" s="1010"/>
      <c r="G41" s="1010"/>
      <c r="H41" s="1010"/>
      <c r="I41" s="1010"/>
      <c r="J41" s="1010"/>
    </row>
    <row r="42" spans="1:10" x14ac:dyDescent="0.25">
      <c r="A42" s="350"/>
      <c r="B42" s="343"/>
      <c r="C42" s="351"/>
      <c r="D42" s="460"/>
      <c r="E42" s="460"/>
      <c r="F42" s="460"/>
      <c r="G42" s="460"/>
      <c r="H42" s="460"/>
      <c r="I42" s="460"/>
    </row>
  </sheetData>
  <sheetProtection algorithmName="SHA-512" hashValue="aCqa5f+yEV64IDhn7xIzzlLUDxbQ6Y7HE/7/wbdtA4tgvxAIgnkCvX4rSnQbiVR9DNdKb9Ri08acolf5INhbzQ==" saltValue="2veycUDXJ/QS1qdfZ9uygA==" spinCount="100000" sheet="1" scenarios="1" formatCells="0" sort="0" autoFilter="0" pivotTables="0"/>
  <mergeCells count="7">
    <mergeCell ref="A41:J41"/>
    <mergeCell ref="A39:J39"/>
    <mergeCell ref="A1:H1"/>
    <mergeCell ref="B37:J37"/>
    <mergeCell ref="A29:J29"/>
    <mergeCell ref="A31:J31"/>
    <mergeCell ref="A15:I15"/>
  </mergeCells>
  <conditionalFormatting sqref="A21:A22">
    <cfRule type="duplicateValues" dxfId="0" priority="1"/>
  </conditionalFormatting>
  <hyperlinks>
    <hyperlink ref="A2" location="'Table of Contents'!A1" display="Back to Table of Contents" xr:uid="{00000000-0004-0000-4F00-000000000000}"/>
  </hyperlinks>
  <pageMargins left="0.70866141732283472" right="0.70866141732283472" top="0.74803149606299213" bottom="0.74803149606299213" header="0.31496062992125984" footer="0.31496062992125984"/>
  <pageSetup paperSize="9" scale="85" orientation="landscape" r:id="rId1"/>
  <drawing r:id="rId2"/>
  <extLst>
    <ext xmlns:x14="http://schemas.microsoft.com/office/spreadsheetml/2009/9/main" uri="{A8765BA9-456A-4dab-B4F3-ACF838C121DE}">
      <x14:slicerList>
        <x14:slicer r:id="rId3"/>
      </x14:slicerList>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84DCA-7C0E-46FE-AF0E-11A28C21773F}">
  <sheetPr>
    <tabColor theme="9" tint="0.39997558519241921"/>
  </sheetPr>
  <dimension ref="B5:N20"/>
  <sheetViews>
    <sheetView topLeftCell="J1" workbookViewId="0">
      <selection activeCell="M23" sqref="M23"/>
    </sheetView>
  </sheetViews>
  <sheetFormatPr defaultRowHeight="15" x14ac:dyDescent="0.25"/>
  <cols>
    <col min="2" max="2" width="12.5703125" bestFit="1" customWidth="1"/>
    <col min="3" max="3" width="16.5703125" bestFit="1" customWidth="1"/>
    <col min="4" max="4" width="14.5703125" bestFit="1" customWidth="1"/>
    <col min="5" max="5" width="17" bestFit="1" customWidth="1"/>
    <col min="6" max="6" width="15" bestFit="1" customWidth="1"/>
    <col min="7" max="7" width="24.85546875" bestFit="1" customWidth="1"/>
    <col min="8" max="8" width="22.7109375" bestFit="1" customWidth="1"/>
    <col min="9" max="9" width="20" bestFit="1" customWidth="1"/>
    <col min="10" max="10" width="18.140625" bestFit="1" customWidth="1"/>
    <col min="11" max="11" width="20.5703125" bestFit="1" customWidth="1"/>
    <col min="12" max="12" width="18.5703125" bestFit="1" customWidth="1"/>
    <col min="13" max="13" width="16.5703125" bestFit="1" customWidth="1"/>
    <col min="14" max="14" width="14.5703125" bestFit="1" customWidth="1"/>
  </cols>
  <sheetData>
    <row r="5" spans="2:14" x14ac:dyDescent="0.25">
      <c r="B5" s="394" t="s">
        <v>231</v>
      </c>
      <c r="C5" t="s">
        <v>1143</v>
      </c>
      <c r="D5" t="s">
        <v>1144</v>
      </c>
      <c r="E5" t="s">
        <v>1145</v>
      </c>
      <c r="F5" t="s">
        <v>1146</v>
      </c>
      <c r="G5" t="s">
        <v>1147</v>
      </c>
      <c r="H5" t="s">
        <v>1148</v>
      </c>
      <c r="I5" t="s">
        <v>1149</v>
      </c>
      <c r="J5" t="s">
        <v>1150</v>
      </c>
      <c r="K5" t="s">
        <v>1151</v>
      </c>
      <c r="L5" t="s">
        <v>1152</v>
      </c>
      <c r="M5" t="s">
        <v>1153</v>
      </c>
      <c r="N5" t="s">
        <v>1154</v>
      </c>
    </row>
    <row r="6" spans="2:14" x14ac:dyDescent="0.25">
      <c r="B6" s="395" t="s">
        <v>923</v>
      </c>
      <c r="C6">
        <v>146</v>
      </c>
      <c r="D6">
        <v>4055</v>
      </c>
      <c r="E6">
        <v>160</v>
      </c>
      <c r="F6">
        <v>2879</v>
      </c>
      <c r="I6">
        <v>199</v>
      </c>
      <c r="J6">
        <v>34</v>
      </c>
      <c r="K6">
        <v>650</v>
      </c>
      <c r="L6">
        <v>464</v>
      </c>
      <c r="M6">
        <v>63</v>
      </c>
      <c r="N6">
        <v>374</v>
      </c>
    </row>
    <row r="7" spans="2:14" x14ac:dyDescent="0.25">
      <c r="B7" s="395" t="s">
        <v>309</v>
      </c>
      <c r="C7">
        <v>148</v>
      </c>
      <c r="D7">
        <v>4011</v>
      </c>
      <c r="E7">
        <v>182</v>
      </c>
      <c r="F7">
        <v>2870</v>
      </c>
      <c r="I7">
        <v>202</v>
      </c>
      <c r="J7">
        <v>32</v>
      </c>
      <c r="K7">
        <v>649</v>
      </c>
      <c r="L7">
        <v>487</v>
      </c>
      <c r="M7">
        <v>59</v>
      </c>
      <c r="N7">
        <v>400</v>
      </c>
    </row>
    <row r="8" spans="2:14" x14ac:dyDescent="0.25">
      <c r="B8" s="395" t="s">
        <v>193</v>
      </c>
      <c r="C8">
        <v>158</v>
      </c>
      <c r="D8">
        <v>3993</v>
      </c>
      <c r="E8">
        <v>173</v>
      </c>
      <c r="F8">
        <v>2903</v>
      </c>
      <c r="I8">
        <v>203</v>
      </c>
      <c r="J8">
        <v>31</v>
      </c>
      <c r="K8">
        <v>604</v>
      </c>
      <c r="L8">
        <v>482</v>
      </c>
      <c r="M8">
        <v>52</v>
      </c>
      <c r="N8">
        <v>365</v>
      </c>
    </row>
    <row r="9" spans="2:14" x14ac:dyDescent="0.25">
      <c r="B9" s="395" t="s">
        <v>192</v>
      </c>
      <c r="C9">
        <v>159</v>
      </c>
      <c r="D9">
        <v>3842</v>
      </c>
      <c r="E9">
        <v>178</v>
      </c>
      <c r="F9">
        <v>2762</v>
      </c>
      <c r="I9">
        <v>199</v>
      </c>
      <c r="J9">
        <v>24</v>
      </c>
      <c r="K9">
        <v>545</v>
      </c>
      <c r="L9">
        <v>416</v>
      </c>
      <c r="M9">
        <v>52</v>
      </c>
      <c r="N9">
        <v>307</v>
      </c>
    </row>
    <row r="10" spans="2:14" x14ac:dyDescent="0.25">
      <c r="B10" s="395" t="s">
        <v>191</v>
      </c>
      <c r="C10">
        <v>164</v>
      </c>
      <c r="D10">
        <v>3692</v>
      </c>
      <c r="E10">
        <v>172</v>
      </c>
      <c r="F10">
        <v>2778</v>
      </c>
      <c r="I10">
        <v>192</v>
      </c>
      <c r="J10">
        <v>38</v>
      </c>
      <c r="K10">
        <v>480</v>
      </c>
      <c r="L10">
        <v>387</v>
      </c>
      <c r="M10">
        <v>56</v>
      </c>
      <c r="N10">
        <v>322</v>
      </c>
    </row>
    <row r="11" spans="2:14" x14ac:dyDescent="0.25">
      <c r="B11" s="395" t="s">
        <v>190</v>
      </c>
      <c r="C11">
        <v>167</v>
      </c>
      <c r="D11">
        <v>3523</v>
      </c>
      <c r="E11">
        <v>163</v>
      </c>
      <c r="F11">
        <v>2707</v>
      </c>
      <c r="I11">
        <v>171</v>
      </c>
      <c r="J11">
        <v>32</v>
      </c>
      <c r="K11">
        <v>463</v>
      </c>
      <c r="L11">
        <v>365</v>
      </c>
      <c r="M11">
        <v>56</v>
      </c>
      <c r="N11">
        <v>286</v>
      </c>
    </row>
    <row r="12" spans="2:14" x14ac:dyDescent="0.25">
      <c r="B12" s="395" t="s">
        <v>257</v>
      </c>
      <c r="C12">
        <v>178</v>
      </c>
      <c r="D12">
        <v>3467</v>
      </c>
      <c r="E12">
        <v>158</v>
      </c>
      <c r="F12">
        <v>2712</v>
      </c>
      <c r="I12">
        <v>139</v>
      </c>
      <c r="J12">
        <v>26</v>
      </c>
      <c r="K12">
        <v>466</v>
      </c>
      <c r="L12">
        <v>372</v>
      </c>
      <c r="M12">
        <v>48</v>
      </c>
      <c r="N12">
        <v>268</v>
      </c>
    </row>
    <row r="13" spans="2:14" x14ac:dyDescent="0.25">
      <c r="B13" s="395" t="s">
        <v>240</v>
      </c>
      <c r="C13">
        <v>175</v>
      </c>
      <c r="D13">
        <v>3371</v>
      </c>
      <c r="E13">
        <v>171</v>
      </c>
      <c r="F13">
        <v>2692</v>
      </c>
      <c r="I13">
        <v>158</v>
      </c>
      <c r="J13">
        <v>31</v>
      </c>
      <c r="K13">
        <v>476</v>
      </c>
      <c r="L13">
        <v>370</v>
      </c>
      <c r="M13">
        <v>55</v>
      </c>
      <c r="N13">
        <v>277</v>
      </c>
    </row>
    <row r="14" spans="2:14" x14ac:dyDescent="0.25">
      <c r="B14" s="395" t="s">
        <v>239</v>
      </c>
      <c r="C14">
        <v>196</v>
      </c>
      <c r="D14">
        <v>3441</v>
      </c>
      <c r="E14">
        <v>201</v>
      </c>
      <c r="F14">
        <v>2734</v>
      </c>
      <c r="G14">
        <v>1</v>
      </c>
      <c r="H14">
        <v>17</v>
      </c>
      <c r="I14">
        <v>172</v>
      </c>
      <c r="J14">
        <v>35</v>
      </c>
      <c r="K14">
        <v>427</v>
      </c>
      <c r="L14">
        <v>365</v>
      </c>
      <c r="M14">
        <v>54</v>
      </c>
      <c r="N14">
        <v>263</v>
      </c>
    </row>
    <row r="15" spans="2:14" x14ac:dyDescent="0.25">
      <c r="B15" s="395" t="s">
        <v>760</v>
      </c>
      <c r="C15">
        <v>222</v>
      </c>
      <c r="D15">
        <v>3414</v>
      </c>
      <c r="E15">
        <v>208</v>
      </c>
      <c r="F15">
        <v>2729</v>
      </c>
      <c r="G15">
        <v>7</v>
      </c>
      <c r="H15">
        <v>29</v>
      </c>
      <c r="I15">
        <v>156</v>
      </c>
      <c r="J15">
        <v>32</v>
      </c>
      <c r="K15">
        <v>447</v>
      </c>
      <c r="L15">
        <v>370</v>
      </c>
      <c r="M15">
        <v>54</v>
      </c>
      <c r="N15">
        <v>261</v>
      </c>
    </row>
    <row r="16" spans="2:14" x14ac:dyDescent="0.25">
      <c r="B16" s="395" t="s">
        <v>917</v>
      </c>
      <c r="C16">
        <v>219</v>
      </c>
      <c r="D16">
        <v>3362</v>
      </c>
      <c r="E16">
        <v>197</v>
      </c>
      <c r="F16">
        <v>2675</v>
      </c>
      <c r="G16">
        <v>11</v>
      </c>
      <c r="H16">
        <v>43</v>
      </c>
      <c r="I16">
        <v>151</v>
      </c>
      <c r="J16">
        <v>31</v>
      </c>
      <c r="K16">
        <v>461</v>
      </c>
      <c r="L16">
        <v>374</v>
      </c>
      <c r="M16">
        <v>52</v>
      </c>
      <c r="N16">
        <v>251</v>
      </c>
    </row>
    <row r="17" spans="2:14" x14ac:dyDescent="0.25">
      <c r="B17" s="395" t="s">
        <v>1010</v>
      </c>
      <c r="C17">
        <v>225</v>
      </c>
      <c r="D17">
        <v>3305</v>
      </c>
      <c r="E17">
        <v>191</v>
      </c>
      <c r="F17">
        <v>2567</v>
      </c>
      <c r="G17">
        <v>10</v>
      </c>
      <c r="H17">
        <v>43</v>
      </c>
      <c r="I17">
        <v>146</v>
      </c>
      <c r="J17">
        <v>28</v>
      </c>
      <c r="K17">
        <v>501</v>
      </c>
      <c r="L17">
        <v>419</v>
      </c>
      <c r="M17">
        <v>46</v>
      </c>
      <c r="N17">
        <v>231</v>
      </c>
    </row>
    <row r="18" spans="2:14" x14ac:dyDescent="0.25">
      <c r="B18" s="395" t="s">
        <v>1061</v>
      </c>
      <c r="C18">
        <v>227</v>
      </c>
      <c r="D18">
        <v>3263</v>
      </c>
      <c r="E18">
        <v>185</v>
      </c>
      <c r="F18">
        <v>2550</v>
      </c>
      <c r="G18">
        <v>9</v>
      </c>
      <c r="H18">
        <v>46</v>
      </c>
      <c r="I18">
        <v>144</v>
      </c>
      <c r="J18">
        <v>28</v>
      </c>
      <c r="K18">
        <v>484</v>
      </c>
      <c r="L18">
        <v>417</v>
      </c>
      <c r="M18">
        <v>40</v>
      </c>
      <c r="N18">
        <v>226</v>
      </c>
    </row>
    <row r="19" spans="2:14" x14ac:dyDescent="0.25">
      <c r="B19" s="395" t="s">
        <v>1108</v>
      </c>
      <c r="C19">
        <v>220</v>
      </c>
      <c r="D19">
        <v>3202</v>
      </c>
      <c r="E19">
        <v>191</v>
      </c>
      <c r="F19">
        <v>2517</v>
      </c>
      <c r="G19">
        <v>8</v>
      </c>
      <c r="H19">
        <v>47</v>
      </c>
      <c r="I19">
        <v>142</v>
      </c>
      <c r="J19">
        <v>29</v>
      </c>
      <c r="K19">
        <v>482</v>
      </c>
      <c r="L19">
        <v>405</v>
      </c>
      <c r="M19">
        <v>42</v>
      </c>
      <c r="N19">
        <v>227</v>
      </c>
    </row>
    <row r="20" spans="2:14" x14ac:dyDescent="0.25">
      <c r="B20" s="395" t="s">
        <v>236</v>
      </c>
      <c r="C20">
        <v>2604</v>
      </c>
      <c r="D20">
        <v>49941</v>
      </c>
      <c r="E20">
        <v>2530</v>
      </c>
      <c r="F20">
        <v>38075</v>
      </c>
      <c r="G20">
        <v>46</v>
      </c>
      <c r="H20">
        <v>225</v>
      </c>
      <c r="I20">
        <v>2374</v>
      </c>
      <c r="J20">
        <v>431</v>
      </c>
      <c r="K20">
        <v>7135</v>
      </c>
      <c r="L20">
        <v>5693</v>
      </c>
      <c r="M20">
        <v>729</v>
      </c>
      <c r="N20">
        <v>4058</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C08EC-A081-4979-8390-86EE4FCB83CC}">
  <sheetPr>
    <tabColor theme="9" tint="0.39997558519241921"/>
  </sheetPr>
  <dimension ref="A1:M15"/>
  <sheetViews>
    <sheetView workbookViewId="0">
      <selection activeCell="F23" sqref="F23"/>
    </sheetView>
  </sheetViews>
  <sheetFormatPr defaultRowHeight="15" x14ac:dyDescent="0.25"/>
  <cols>
    <col min="1" max="1" width="7.42578125" bestFit="1" customWidth="1"/>
    <col min="2" max="2" width="12.42578125" bestFit="1" customWidth="1"/>
    <col min="3" max="3" width="10.42578125" bestFit="1" customWidth="1"/>
    <col min="4" max="4" width="12.85546875" bestFit="1" customWidth="1"/>
    <col min="5" max="5" width="10.85546875" bestFit="1" customWidth="1"/>
    <col min="6" max="6" width="20.5703125" bestFit="1" customWidth="1"/>
    <col min="7" max="7" width="18.5703125" bestFit="1" customWidth="1"/>
    <col min="8" max="8" width="15.85546875" bestFit="1" customWidth="1"/>
    <col min="9" max="9" width="13.85546875" bestFit="1" customWidth="1"/>
    <col min="10" max="10" width="16.42578125" bestFit="1" customWidth="1"/>
    <col min="11" max="11" width="14.28515625" bestFit="1" customWidth="1"/>
    <col min="12" max="12" width="12.42578125" bestFit="1" customWidth="1"/>
    <col min="13" max="13" width="10.42578125" bestFit="1" customWidth="1"/>
  </cols>
  <sheetData>
    <row r="1" spans="1:13" x14ac:dyDescent="0.25">
      <c r="A1" t="s">
        <v>1</v>
      </c>
      <c r="B1" t="s">
        <v>1131</v>
      </c>
      <c r="C1" t="s">
        <v>1132</v>
      </c>
      <c r="D1" t="s">
        <v>1133</v>
      </c>
      <c r="E1" t="s">
        <v>1134</v>
      </c>
      <c r="F1" t="s">
        <v>1135</v>
      </c>
      <c r="G1" t="s">
        <v>1136</v>
      </c>
      <c r="H1" t="s">
        <v>1137</v>
      </c>
      <c r="I1" t="s">
        <v>1138</v>
      </c>
      <c r="J1" t="s">
        <v>1139</v>
      </c>
      <c r="K1" t="s">
        <v>1140</v>
      </c>
      <c r="L1" t="s">
        <v>1141</v>
      </c>
      <c r="M1" t="s">
        <v>1142</v>
      </c>
    </row>
    <row r="2" spans="1:13" x14ac:dyDescent="0.25">
      <c r="A2" t="s">
        <v>923</v>
      </c>
      <c r="B2">
        <v>146</v>
      </c>
      <c r="C2">
        <v>4055</v>
      </c>
      <c r="D2">
        <v>160</v>
      </c>
      <c r="E2">
        <v>2879</v>
      </c>
      <c r="H2">
        <v>199</v>
      </c>
      <c r="I2">
        <v>34</v>
      </c>
      <c r="J2">
        <v>650</v>
      </c>
      <c r="K2">
        <v>464</v>
      </c>
      <c r="L2">
        <v>63</v>
      </c>
      <c r="M2">
        <v>374</v>
      </c>
    </row>
    <row r="3" spans="1:13" x14ac:dyDescent="0.25">
      <c r="A3" t="s">
        <v>240</v>
      </c>
      <c r="B3">
        <v>175</v>
      </c>
      <c r="C3">
        <v>3371</v>
      </c>
      <c r="D3">
        <v>171</v>
      </c>
      <c r="E3">
        <v>2692</v>
      </c>
      <c r="H3">
        <v>158</v>
      </c>
      <c r="I3">
        <v>31</v>
      </c>
      <c r="J3">
        <v>476</v>
      </c>
      <c r="K3">
        <v>370</v>
      </c>
      <c r="L3">
        <v>55</v>
      </c>
      <c r="M3">
        <v>277</v>
      </c>
    </row>
    <row r="4" spans="1:13" x14ac:dyDescent="0.25">
      <c r="A4" t="s">
        <v>309</v>
      </c>
      <c r="B4">
        <v>148</v>
      </c>
      <c r="C4">
        <v>4011</v>
      </c>
      <c r="D4">
        <v>182</v>
      </c>
      <c r="E4">
        <v>2870</v>
      </c>
      <c r="H4">
        <v>202</v>
      </c>
      <c r="I4">
        <v>32</v>
      </c>
      <c r="J4">
        <v>649</v>
      </c>
      <c r="K4">
        <v>487</v>
      </c>
      <c r="L4">
        <v>59</v>
      </c>
      <c r="M4">
        <v>400</v>
      </c>
    </row>
    <row r="5" spans="1:13" x14ac:dyDescent="0.25">
      <c r="A5" t="s">
        <v>917</v>
      </c>
      <c r="B5">
        <v>219</v>
      </c>
      <c r="C5">
        <v>3362</v>
      </c>
      <c r="D5">
        <v>197</v>
      </c>
      <c r="E5">
        <v>2675</v>
      </c>
      <c r="F5">
        <v>11</v>
      </c>
      <c r="G5">
        <v>43</v>
      </c>
      <c r="H5">
        <v>151</v>
      </c>
      <c r="I5">
        <v>31</v>
      </c>
      <c r="J5">
        <v>461</v>
      </c>
      <c r="K5">
        <v>374</v>
      </c>
      <c r="L5">
        <v>52</v>
      </c>
      <c r="M5">
        <v>251</v>
      </c>
    </row>
    <row r="6" spans="1:13" x14ac:dyDescent="0.25">
      <c r="A6" t="s">
        <v>193</v>
      </c>
      <c r="B6">
        <v>158</v>
      </c>
      <c r="C6">
        <v>3993</v>
      </c>
      <c r="D6">
        <v>173</v>
      </c>
      <c r="E6">
        <v>2903</v>
      </c>
      <c r="H6">
        <v>203</v>
      </c>
      <c r="I6">
        <v>31</v>
      </c>
      <c r="J6">
        <v>604</v>
      </c>
      <c r="K6">
        <v>482</v>
      </c>
      <c r="L6">
        <v>52</v>
      </c>
      <c r="M6">
        <v>365</v>
      </c>
    </row>
    <row r="7" spans="1:13" x14ac:dyDescent="0.25">
      <c r="A7" t="s">
        <v>1010</v>
      </c>
      <c r="B7">
        <v>225</v>
      </c>
      <c r="C7">
        <v>3305</v>
      </c>
      <c r="D7">
        <v>191</v>
      </c>
      <c r="E7">
        <v>2567</v>
      </c>
      <c r="F7">
        <v>10</v>
      </c>
      <c r="G7">
        <v>43</v>
      </c>
      <c r="H7">
        <v>146</v>
      </c>
      <c r="I7">
        <v>28</v>
      </c>
      <c r="J7">
        <v>501</v>
      </c>
      <c r="K7">
        <v>419</v>
      </c>
      <c r="L7">
        <v>46</v>
      </c>
      <c r="M7">
        <v>231</v>
      </c>
    </row>
    <row r="8" spans="1:13" x14ac:dyDescent="0.25">
      <c r="A8" t="s">
        <v>1061</v>
      </c>
      <c r="B8">
        <v>227</v>
      </c>
      <c r="C8">
        <v>3263</v>
      </c>
      <c r="D8">
        <v>185</v>
      </c>
      <c r="E8">
        <v>2550</v>
      </c>
      <c r="F8">
        <v>9</v>
      </c>
      <c r="G8">
        <v>46</v>
      </c>
      <c r="H8">
        <v>144</v>
      </c>
      <c r="I8">
        <v>28</v>
      </c>
      <c r="J8">
        <v>484</v>
      </c>
      <c r="K8">
        <v>417</v>
      </c>
      <c r="L8">
        <v>40</v>
      </c>
      <c r="M8">
        <v>226</v>
      </c>
    </row>
    <row r="9" spans="1:13" x14ac:dyDescent="0.25">
      <c r="A9" t="s">
        <v>192</v>
      </c>
      <c r="B9">
        <v>159</v>
      </c>
      <c r="C9">
        <v>3842</v>
      </c>
      <c r="D9">
        <v>178</v>
      </c>
      <c r="E9">
        <v>2762</v>
      </c>
      <c r="H9">
        <v>199</v>
      </c>
      <c r="I9">
        <v>24</v>
      </c>
      <c r="J9">
        <v>545</v>
      </c>
      <c r="K9">
        <v>416</v>
      </c>
      <c r="L9">
        <v>52</v>
      </c>
      <c r="M9">
        <v>307</v>
      </c>
    </row>
    <row r="10" spans="1:13" x14ac:dyDescent="0.25">
      <c r="A10" t="s">
        <v>191</v>
      </c>
      <c r="B10">
        <v>164</v>
      </c>
      <c r="C10">
        <v>3692</v>
      </c>
      <c r="D10">
        <v>172</v>
      </c>
      <c r="E10">
        <v>2778</v>
      </c>
      <c r="H10">
        <v>192</v>
      </c>
      <c r="I10">
        <v>38</v>
      </c>
      <c r="J10">
        <v>480</v>
      </c>
      <c r="K10">
        <v>387</v>
      </c>
      <c r="L10">
        <v>56</v>
      </c>
      <c r="M10">
        <v>322</v>
      </c>
    </row>
    <row r="11" spans="1:13" x14ac:dyDescent="0.25">
      <c r="A11" t="s">
        <v>190</v>
      </c>
      <c r="B11">
        <v>167</v>
      </c>
      <c r="C11">
        <v>3523</v>
      </c>
      <c r="D11">
        <v>163</v>
      </c>
      <c r="E11">
        <v>2707</v>
      </c>
      <c r="H11">
        <v>171</v>
      </c>
      <c r="I11">
        <v>32</v>
      </c>
      <c r="J11">
        <v>463</v>
      </c>
      <c r="K11">
        <v>365</v>
      </c>
      <c r="L11">
        <v>56</v>
      </c>
      <c r="M11">
        <v>286</v>
      </c>
    </row>
    <row r="12" spans="1:13" x14ac:dyDescent="0.25">
      <c r="A12" t="s">
        <v>257</v>
      </c>
      <c r="B12">
        <v>178</v>
      </c>
      <c r="C12">
        <v>3467</v>
      </c>
      <c r="D12">
        <v>158</v>
      </c>
      <c r="E12">
        <v>2712</v>
      </c>
      <c r="H12">
        <v>139</v>
      </c>
      <c r="I12">
        <v>26</v>
      </c>
      <c r="J12">
        <v>466</v>
      </c>
      <c r="K12">
        <v>372</v>
      </c>
      <c r="L12">
        <v>48</v>
      </c>
      <c r="M12">
        <v>268</v>
      </c>
    </row>
    <row r="13" spans="1:13" x14ac:dyDescent="0.25">
      <c r="A13" t="s">
        <v>1108</v>
      </c>
      <c r="B13">
        <v>220</v>
      </c>
      <c r="C13">
        <v>3202</v>
      </c>
      <c r="D13">
        <v>191</v>
      </c>
      <c r="E13">
        <v>2517</v>
      </c>
      <c r="F13">
        <v>8</v>
      </c>
      <c r="G13">
        <v>47</v>
      </c>
      <c r="H13">
        <v>142</v>
      </c>
      <c r="I13">
        <v>29</v>
      </c>
      <c r="J13">
        <v>482</v>
      </c>
      <c r="K13">
        <v>405</v>
      </c>
      <c r="L13">
        <v>42</v>
      </c>
      <c r="M13">
        <v>227</v>
      </c>
    </row>
    <row r="14" spans="1:13" x14ac:dyDescent="0.25">
      <c r="A14" t="s">
        <v>239</v>
      </c>
      <c r="B14">
        <v>196</v>
      </c>
      <c r="C14">
        <v>3441</v>
      </c>
      <c r="D14">
        <v>201</v>
      </c>
      <c r="E14">
        <v>2734</v>
      </c>
      <c r="F14">
        <v>1</v>
      </c>
      <c r="G14">
        <v>17</v>
      </c>
      <c r="H14">
        <v>172</v>
      </c>
      <c r="I14">
        <v>35</v>
      </c>
      <c r="J14">
        <v>427</v>
      </c>
      <c r="K14">
        <v>365</v>
      </c>
      <c r="L14">
        <v>54</v>
      </c>
      <c r="M14">
        <v>263</v>
      </c>
    </row>
    <row r="15" spans="1:13" x14ac:dyDescent="0.25">
      <c r="A15" t="s">
        <v>760</v>
      </c>
      <c r="B15">
        <v>222</v>
      </c>
      <c r="C15">
        <v>3414</v>
      </c>
      <c r="D15">
        <v>208</v>
      </c>
      <c r="E15">
        <v>2729</v>
      </c>
      <c r="F15">
        <v>7</v>
      </c>
      <c r="G15">
        <v>29</v>
      </c>
      <c r="H15">
        <v>156</v>
      </c>
      <c r="I15">
        <v>32</v>
      </c>
      <c r="J15">
        <v>447</v>
      </c>
      <c r="K15">
        <v>370</v>
      </c>
      <c r="L15">
        <v>54</v>
      </c>
      <c r="M15">
        <v>261</v>
      </c>
    </row>
  </sheetData>
  <pageMargins left="0.7" right="0.7" top="0.75" bottom="0.75" header="0.3" footer="0.3"/>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4">
    <tabColor theme="9" tint="0.39997558519241921"/>
    <pageSetUpPr fitToPage="1"/>
  </sheetPr>
  <dimension ref="A1:R63"/>
  <sheetViews>
    <sheetView showGridLines="0" zoomScaleNormal="100" workbookViewId="0">
      <pane ySplit="2" topLeftCell="A3" activePane="bottomLeft" state="frozen"/>
      <selection pane="bottomLeft" sqref="A1:E1"/>
    </sheetView>
  </sheetViews>
  <sheetFormatPr defaultRowHeight="15" x14ac:dyDescent="0.25"/>
  <cols>
    <col min="1" max="1" width="18.5703125" customWidth="1"/>
    <col min="2" max="2" width="12.5703125" customWidth="1"/>
    <col min="3" max="3" width="11.42578125" customWidth="1"/>
    <col min="4" max="4" width="12.85546875" bestFit="1" customWidth="1"/>
    <col min="5" max="5" width="10.7109375" bestFit="1" customWidth="1"/>
    <col min="6" max="6" width="20.5703125" bestFit="1" customWidth="1"/>
    <col min="7" max="7" width="18.42578125" bestFit="1" customWidth="1"/>
    <col min="8" max="8" width="15.85546875" bestFit="1" customWidth="1"/>
    <col min="9" max="9" width="13.7109375" bestFit="1" customWidth="1"/>
    <col min="10" max="10" width="16.42578125" bestFit="1" customWidth="1"/>
    <col min="11" max="11" width="14.140625" bestFit="1" customWidth="1"/>
    <col min="12" max="12" width="12.42578125" bestFit="1" customWidth="1"/>
    <col min="13" max="13" width="10.42578125" bestFit="1" customWidth="1"/>
    <col min="14" max="17" width="11.140625" customWidth="1"/>
  </cols>
  <sheetData>
    <row r="1" spans="1:18" ht="15.75" x14ac:dyDescent="0.25">
      <c r="A1" s="993" t="s">
        <v>450</v>
      </c>
      <c r="B1" s="993"/>
      <c r="C1" s="993"/>
      <c r="D1" s="993"/>
      <c r="E1" s="993"/>
      <c r="F1" s="449"/>
      <c r="G1" s="449"/>
    </row>
    <row r="2" spans="1:18" ht="15.75" x14ac:dyDescent="0.25">
      <c r="A2" s="507" t="s">
        <v>511</v>
      </c>
      <c r="C2" s="449"/>
      <c r="D2" s="449"/>
      <c r="E2" s="449"/>
      <c r="F2" s="449"/>
      <c r="G2" s="449"/>
    </row>
    <row r="3" spans="1:18" ht="15.75" x14ac:dyDescent="0.25">
      <c r="C3" s="449"/>
      <c r="D3" s="449"/>
      <c r="E3" s="449"/>
      <c r="F3" s="449"/>
      <c r="G3" s="449"/>
      <c r="H3" s="25"/>
      <c r="I3" s="25"/>
      <c r="J3" s="25"/>
      <c r="K3" s="25"/>
      <c r="L3" s="25"/>
      <c r="M3" s="25"/>
      <c r="N3" s="25"/>
      <c r="O3" s="25"/>
      <c r="P3" s="25"/>
      <c r="Q3" s="25"/>
    </row>
    <row r="4" spans="1:18" ht="15.75" x14ac:dyDescent="0.25">
      <c r="A4" s="1019" t="s">
        <v>1249</v>
      </c>
      <c r="B4" s="1019"/>
      <c r="C4" s="1019"/>
      <c r="D4" s="1019"/>
      <c r="E4" s="1019"/>
      <c r="F4" s="1019"/>
      <c r="G4" s="1019"/>
      <c r="H4" s="1019"/>
      <c r="I4" s="1019"/>
      <c r="J4" s="1019"/>
      <c r="K4" s="1019"/>
      <c r="L4" s="1019"/>
      <c r="M4" s="1019"/>
      <c r="N4" s="1019"/>
      <c r="O4" s="1019"/>
      <c r="P4" s="1019"/>
      <c r="Q4" s="1019"/>
    </row>
    <row r="5" spans="1:18" ht="15.75" x14ac:dyDescent="0.25">
      <c r="A5" t="s">
        <v>328</v>
      </c>
      <c r="B5" t="s">
        <v>678</v>
      </c>
      <c r="C5" s="429"/>
      <c r="D5" s="429"/>
      <c r="E5" s="429"/>
      <c r="F5" s="429"/>
      <c r="G5" s="429"/>
      <c r="H5" s="429"/>
      <c r="I5" s="429"/>
      <c r="J5" s="429"/>
      <c r="K5" s="429"/>
      <c r="L5" s="429"/>
      <c r="M5" s="429"/>
      <c r="N5" s="429"/>
      <c r="O5" s="429"/>
      <c r="P5" s="429"/>
      <c r="Q5" s="429"/>
    </row>
    <row r="6" spans="1:18" ht="15.75" x14ac:dyDescent="0.25">
      <c r="A6" t="s">
        <v>329</v>
      </c>
      <c r="B6" t="s">
        <v>331</v>
      </c>
      <c r="C6" s="429"/>
      <c r="D6" s="429"/>
      <c r="E6" s="429"/>
      <c r="F6" s="429"/>
      <c r="G6" s="429"/>
      <c r="H6" s="429"/>
      <c r="I6" s="429"/>
      <c r="J6" s="429"/>
      <c r="K6" s="429"/>
      <c r="L6" s="429"/>
      <c r="M6" s="429"/>
      <c r="N6" s="429"/>
      <c r="O6" s="429"/>
      <c r="P6" s="429"/>
      <c r="Q6" s="429"/>
    </row>
    <row r="7" spans="1:18" ht="15.75" x14ac:dyDescent="0.25">
      <c r="A7" t="s">
        <v>330</v>
      </c>
      <c r="B7" t="s">
        <v>332</v>
      </c>
      <c r="C7" s="429"/>
      <c r="D7" s="429"/>
      <c r="E7" s="429"/>
      <c r="F7" s="429"/>
      <c r="G7" s="429"/>
      <c r="H7" s="429"/>
      <c r="I7" s="429"/>
      <c r="J7" s="429"/>
      <c r="K7" s="429"/>
      <c r="L7" s="429"/>
      <c r="M7" s="429"/>
      <c r="N7" s="429"/>
      <c r="O7" s="429"/>
      <c r="P7" s="429"/>
      <c r="Q7" s="429"/>
    </row>
    <row r="8" spans="1:18" x14ac:dyDescent="0.25">
      <c r="A8" s="12"/>
      <c r="B8" s="12"/>
      <c r="C8" s="12"/>
      <c r="D8" s="12"/>
      <c r="E8" s="12"/>
      <c r="F8" s="12"/>
      <c r="G8" s="12"/>
      <c r="H8" s="12"/>
      <c r="I8" s="12"/>
      <c r="J8" s="12"/>
      <c r="K8" s="12"/>
      <c r="L8" s="15"/>
      <c r="M8" s="99"/>
      <c r="N8" s="15"/>
      <c r="O8" s="15"/>
      <c r="P8" s="15"/>
      <c r="Q8" s="97" t="s">
        <v>6</v>
      </c>
    </row>
    <row r="9" spans="1:18" ht="29.45" customHeight="1" x14ac:dyDescent="0.25">
      <c r="A9" s="856" t="s">
        <v>84</v>
      </c>
      <c r="B9" s="1013" t="s">
        <v>27</v>
      </c>
      <c r="C9" s="1014"/>
      <c r="D9" s="1012" t="s">
        <v>28</v>
      </c>
      <c r="E9" s="1012"/>
      <c r="F9" s="1011" t="s">
        <v>831</v>
      </c>
      <c r="G9" s="1012"/>
      <c r="H9" s="1011" t="s">
        <v>2</v>
      </c>
      <c r="I9" s="1012"/>
      <c r="J9" s="1011" t="s">
        <v>86</v>
      </c>
      <c r="K9" s="1012"/>
      <c r="L9" s="1012" t="s">
        <v>29</v>
      </c>
      <c r="M9" s="1012"/>
      <c r="N9" s="1011" t="s">
        <v>26</v>
      </c>
      <c r="O9" s="1012"/>
      <c r="P9" s="1013" t="s">
        <v>87</v>
      </c>
      <c r="Q9" s="1014"/>
      <c r="R9" s="855"/>
    </row>
    <row r="10" spans="1:18" x14ac:dyDescent="0.25">
      <c r="A10" s="534" t="s">
        <v>1</v>
      </c>
      <c r="B10" s="857" t="s">
        <v>88</v>
      </c>
      <c r="C10" s="858" t="s">
        <v>89</v>
      </c>
      <c r="D10" s="661" t="s">
        <v>88</v>
      </c>
      <c r="E10" s="661" t="s">
        <v>89</v>
      </c>
      <c r="F10" s="857" t="s">
        <v>88</v>
      </c>
      <c r="G10" s="661" t="s">
        <v>89</v>
      </c>
      <c r="H10" s="857" t="s">
        <v>88</v>
      </c>
      <c r="I10" s="661" t="s">
        <v>89</v>
      </c>
      <c r="J10" s="857" t="s">
        <v>88</v>
      </c>
      <c r="K10" s="661" t="s">
        <v>89</v>
      </c>
      <c r="L10" s="661" t="s">
        <v>88</v>
      </c>
      <c r="M10" s="661" t="s">
        <v>89</v>
      </c>
      <c r="N10" s="857" t="s">
        <v>88</v>
      </c>
      <c r="O10" s="661" t="s">
        <v>89</v>
      </c>
      <c r="P10" s="857" t="s">
        <v>88</v>
      </c>
      <c r="Q10" s="858" t="s">
        <v>89</v>
      </c>
    </row>
    <row r="11" spans="1:18" x14ac:dyDescent="0.25">
      <c r="A11" s="317" t="s">
        <v>309</v>
      </c>
      <c r="B11" s="623">
        <f>GETPIVOTDATA("Sum of WTFemale",SexTimeseriesPivot!$B$5,"Year",A11)</f>
        <v>148</v>
      </c>
      <c r="C11" s="623">
        <f>GETPIVOTDATA("Sum of WTMale",SexTimeseriesPivot!$B$5,"Year",A11)</f>
        <v>4011</v>
      </c>
      <c r="D11" s="623">
        <f>GETPIVOTDATA("Sum of RDSFemale",SexTimeseriesPivot!$B$5,"Year",A11)</f>
        <v>182</v>
      </c>
      <c r="E11" s="623">
        <f>GETPIVOTDATA("Sum of RDSMale",SexTimeseriesPivot!$B$5,"Year",A11)</f>
        <v>2870</v>
      </c>
      <c r="F11" s="623"/>
      <c r="G11" s="623"/>
      <c r="H11" s="623">
        <f>GETPIVOTDATA("Sum of ControlFemale",SexTimeseriesPivot!$B$5,"Year",A11)</f>
        <v>202</v>
      </c>
      <c r="I11" s="623">
        <f>GETPIVOTDATA("Sum of ControlMale",SexTimeseriesPivot!$B$5,"Year",A11)</f>
        <v>32</v>
      </c>
      <c r="J11" s="623">
        <f>GETPIVOTDATA("Sum of SupportFemale",SexTimeseriesPivot!$B$5,"Year",A11)</f>
        <v>649</v>
      </c>
      <c r="K11" s="623">
        <f>GETPIVOTDATA("Sum of SupportMale",SexTimeseriesPivot!$B$5,"Year",A11)</f>
        <v>487</v>
      </c>
      <c r="L11" s="623">
        <f>GETPIVOTDATA("Sum of VolFemale",SexTimeseriesPivot!$B$5,"Year",A11)</f>
        <v>59</v>
      </c>
      <c r="M11" s="623">
        <f>GETPIVOTDATA("Sum of VolMale",SexTimeseriesPivot!$B$5,"Year",A11)</f>
        <v>400</v>
      </c>
      <c r="N11" s="859">
        <f>L11+J11+H11+F11+D11+B11</f>
        <v>1240</v>
      </c>
      <c r="O11" s="624">
        <f>M11+K11+I11+G11+E11+C11</f>
        <v>7800</v>
      </c>
      <c r="P11" s="859">
        <f>B11+D11+F11+H11+J11</f>
        <v>1181</v>
      </c>
      <c r="Q11" s="871">
        <f>C11+E11+G11+I11+K11</f>
        <v>7400</v>
      </c>
    </row>
    <row r="12" spans="1:18" x14ac:dyDescent="0.25">
      <c r="A12" s="317" t="s">
        <v>193</v>
      </c>
      <c r="B12" s="623">
        <f>GETPIVOTDATA("Sum of WTFemale",SexTimeseriesPivot!$B$5,"Year",A12)</f>
        <v>158</v>
      </c>
      <c r="C12" s="623">
        <f>GETPIVOTDATA("Sum of WTMale",SexTimeseriesPivot!$B$5,"Year",A12)</f>
        <v>3993</v>
      </c>
      <c r="D12" s="623">
        <f>GETPIVOTDATA("Sum of RDSFemale",SexTimeseriesPivot!$B$5,"Year",A12)</f>
        <v>173</v>
      </c>
      <c r="E12" s="623">
        <f>GETPIVOTDATA("Sum of RDSMale",SexTimeseriesPivot!$B$5,"Year",A12)</f>
        <v>2903</v>
      </c>
      <c r="F12" s="623"/>
      <c r="G12" s="623"/>
      <c r="H12" s="623">
        <f>GETPIVOTDATA("Sum of ControlFemale",SexTimeseriesPivot!$B$5,"Year",A12)</f>
        <v>203</v>
      </c>
      <c r="I12" s="623">
        <f>GETPIVOTDATA("Sum of ControlMale",SexTimeseriesPivot!$B$5,"Year",A12)</f>
        <v>31</v>
      </c>
      <c r="J12" s="623">
        <f>GETPIVOTDATA("Sum of SupportFemale",SexTimeseriesPivot!$B$5,"Year",A12)</f>
        <v>604</v>
      </c>
      <c r="K12" s="623">
        <f>GETPIVOTDATA("Sum of SupportMale",SexTimeseriesPivot!$B$5,"Year",A12)</f>
        <v>482</v>
      </c>
      <c r="L12" s="623">
        <f>GETPIVOTDATA("Sum of VolFemale",SexTimeseriesPivot!$B$5,"Year",A12)</f>
        <v>52</v>
      </c>
      <c r="M12" s="623">
        <f>GETPIVOTDATA("Sum of VolMale",SexTimeseriesPivot!$B$5,"Year",A12)</f>
        <v>365</v>
      </c>
      <c r="N12" s="859">
        <f t="shared" ref="N12:N22" si="0">L12+J12+H12+F12+D12+B12</f>
        <v>1190</v>
      </c>
      <c r="O12" s="624">
        <f t="shared" ref="O12:O22" si="1">M12+K12+I12+G12+E12+C12</f>
        <v>7774</v>
      </c>
      <c r="P12" s="859">
        <f t="shared" ref="P12:P22" si="2">B12+D12+F12+H12+J12</f>
        <v>1138</v>
      </c>
      <c r="Q12" s="871">
        <f t="shared" ref="Q12:Q22" si="3">C12+E12+G12+I12+K12</f>
        <v>7409</v>
      </c>
    </row>
    <row r="13" spans="1:18" x14ac:dyDescent="0.25">
      <c r="A13" s="317" t="s">
        <v>192</v>
      </c>
      <c r="B13" s="623">
        <f>GETPIVOTDATA("Sum of WTFemale",SexTimeseriesPivot!$B$5,"Year",A13)</f>
        <v>159</v>
      </c>
      <c r="C13" s="623">
        <f>GETPIVOTDATA("Sum of WTMale",SexTimeseriesPivot!$B$5,"Year",A13)</f>
        <v>3842</v>
      </c>
      <c r="D13" s="623">
        <f>GETPIVOTDATA("Sum of RDSFemale",SexTimeseriesPivot!$B$5,"Year",A13)</f>
        <v>178</v>
      </c>
      <c r="E13" s="623">
        <f>GETPIVOTDATA("Sum of RDSMale",SexTimeseriesPivot!$B$5,"Year",A13)</f>
        <v>2762</v>
      </c>
      <c r="F13" s="623"/>
      <c r="G13" s="623"/>
      <c r="H13" s="623">
        <f>GETPIVOTDATA("Sum of ControlFemale",SexTimeseriesPivot!$B$5,"Year",A13)</f>
        <v>199</v>
      </c>
      <c r="I13" s="623">
        <f>GETPIVOTDATA("Sum of ControlMale",SexTimeseriesPivot!$B$5,"Year",A13)</f>
        <v>24</v>
      </c>
      <c r="J13" s="623">
        <f>GETPIVOTDATA("Sum of SupportFemale",SexTimeseriesPivot!$B$5,"Year",A13)</f>
        <v>545</v>
      </c>
      <c r="K13" s="623">
        <f>GETPIVOTDATA("Sum of SupportMale",SexTimeseriesPivot!$B$5,"Year",A13)</f>
        <v>416</v>
      </c>
      <c r="L13" s="623">
        <f>GETPIVOTDATA("Sum of VolFemale",SexTimeseriesPivot!$B$5,"Year",A13)</f>
        <v>52</v>
      </c>
      <c r="M13" s="623">
        <f>GETPIVOTDATA("Sum of VolMale",SexTimeseriesPivot!$B$5,"Year",A13)</f>
        <v>307</v>
      </c>
      <c r="N13" s="859">
        <f t="shared" si="0"/>
        <v>1133</v>
      </c>
      <c r="O13" s="624">
        <f t="shared" si="1"/>
        <v>7351</v>
      </c>
      <c r="P13" s="859">
        <f t="shared" si="2"/>
        <v>1081</v>
      </c>
      <c r="Q13" s="871">
        <f t="shared" si="3"/>
        <v>7044</v>
      </c>
    </row>
    <row r="14" spans="1:18" x14ac:dyDescent="0.25">
      <c r="A14" s="317" t="s">
        <v>191</v>
      </c>
      <c r="B14" s="623">
        <f>GETPIVOTDATA("Sum of WTFemale",SexTimeseriesPivot!$B$5,"Year",A14)</f>
        <v>164</v>
      </c>
      <c r="C14" s="623">
        <f>GETPIVOTDATA("Sum of WTMale",SexTimeseriesPivot!$B$5,"Year",A14)</f>
        <v>3692</v>
      </c>
      <c r="D14" s="623">
        <f>GETPIVOTDATA("Sum of RDSFemale",SexTimeseriesPivot!$B$5,"Year",A14)</f>
        <v>172</v>
      </c>
      <c r="E14" s="623">
        <f>GETPIVOTDATA("Sum of RDSMale",SexTimeseriesPivot!$B$5,"Year",A14)</f>
        <v>2778</v>
      </c>
      <c r="F14" s="623"/>
      <c r="G14" s="623"/>
      <c r="H14" s="623">
        <f>GETPIVOTDATA("Sum of ControlFemale",SexTimeseriesPivot!$B$5,"Year",A14)</f>
        <v>192</v>
      </c>
      <c r="I14" s="623">
        <f>GETPIVOTDATA("Sum of ControlMale",SexTimeseriesPivot!$B$5,"Year",A14)</f>
        <v>38</v>
      </c>
      <c r="J14" s="623">
        <f>GETPIVOTDATA("Sum of SupportFemale",SexTimeseriesPivot!$B$5,"Year",A14)</f>
        <v>480</v>
      </c>
      <c r="K14" s="623">
        <f>GETPIVOTDATA("Sum of SupportMale",SexTimeseriesPivot!$B$5,"Year",A14)</f>
        <v>387</v>
      </c>
      <c r="L14" s="623">
        <f>GETPIVOTDATA("Sum of VolFemale",SexTimeseriesPivot!$B$5,"Year",A14)</f>
        <v>56</v>
      </c>
      <c r="M14" s="623">
        <f>GETPIVOTDATA("Sum of VolMale",SexTimeseriesPivot!$B$5,"Year",A14)</f>
        <v>322</v>
      </c>
      <c r="N14" s="859">
        <f t="shared" si="0"/>
        <v>1064</v>
      </c>
      <c r="O14" s="624">
        <f t="shared" si="1"/>
        <v>7217</v>
      </c>
      <c r="P14" s="859">
        <f t="shared" si="2"/>
        <v>1008</v>
      </c>
      <c r="Q14" s="871">
        <f t="shared" si="3"/>
        <v>6895</v>
      </c>
    </row>
    <row r="15" spans="1:18" x14ac:dyDescent="0.25">
      <c r="A15" s="317" t="s">
        <v>190</v>
      </c>
      <c r="B15" s="623">
        <f>GETPIVOTDATA("Sum of WTFemale",SexTimeseriesPivot!$B$5,"Year",A15)</f>
        <v>167</v>
      </c>
      <c r="C15" s="623">
        <f>GETPIVOTDATA("Sum of WTMale",SexTimeseriesPivot!$B$5,"Year",A15)</f>
        <v>3523</v>
      </c>
      <c r="D15" s="623">
        <f>GETPIVOTDATA("Sum of RDSFemale",SexTimeseriesPivot!$B$5,"Year",A15)</f>
        <v>163</v>
      </c>
      <c r="E15" s="623">
        <f>GETPIVOTDATA("Sum of RDSMale",SexTimeseriesPivot!$B$5,"Year",A15)</f>
        <v>2707</v>
      </c>
      <c r="F15" s="623"/>
      <c r="G15" s="623"/>
      <c r="H15" s="623">
        <f>GETPIVOTDATA("Sum of ControlFemale",SexTimeseriesPivot!$B$5,"Year",A15)</f>
        <v>171</v>
      </c>
      <c r="I15" s="623">
        <f>GETPIVOTDATA("Sum of ControlMale",SexTimeseriesPivot!$B$5,"Year",A15)</f>
        <v>32</v>
      </c>
      <c r="J15" s="623">
        <f>GETPIVOTDATA("Sum of SupportFemale",SexTimeseriesPivot!$B$5,"Year",A15)</f>
        <v>463</v>
      </c>
      <c r="K15" s="623">
        <f>GETPIVOTDATA("Sum of SupportMale",SexTimeseriesPivot!$B$5,"Year",A15)</f>
        <v>365</v>
      </c>
      <c r="L15" s="623">
        <f>GETPIVOTDATA("Sum of VolFemale",SexTimeseriesPivot!$B$5,"Year",A15)</f>
        <v>56</v>
      </c>
      <c r="M15" s="623">
        <f>GETPIVOTDATA("Sum of VolMale",SexTimeseriesPivot!$B$5,"Year",A15)</f>
        <v>286</v>
      </c>
      <c r="N15" s="859">
        <f t="shared" si="0"/>
        <v>1020</v>
      </c>
      <c r="O15" s="624">
        <f t="shared" si="1"/>
        <v>6913</v>
      </c>
      <c r="P15" s="859">
        <f t="shared" si="2"/>
        <v>964</v>
      </c>
      <c r="Q15" s="871">
        <f t="shared" si="3"/>
        <v>6627</v>
      </c>
    </row>
    <row r="16" spans="1:18" x14ac:dyDescent="0.25">
      <c r="A16" s="317" t="s">
        <v>257</v>
      </c>
      <c r="B16" s="623">
        <f>GETPIVOTDATA("Sum of WTFemale",SexTimeseriesPivot!$B$5,"Year",A16)</f>
        <v>178</v>
      </c>
      <c r="C16" s="623">
        <f>GETPIVOTDATA("Sum of WTMale",SexTimeseriesPivot!$B$5,"Year",A16)</f>
        <v>3467</v>
      </c>
      <c r="D16" s="623">
        <f>GETPIVOTDATA("Sum of RDSFemale",SexTimeseriesPivot!$B$5,"Year",A16)</f>
        <v>158</v>
      </c>
      <c r="E16" s="623">
        <f>GETPIVOTDATA("Sum of RDSMale",SexTimeseriesPivot!$B$5,"Year",A16)</f>
        <v>2712</v>
      </c>
      <c r="F16" s="623"/>
      <c r="G16" s="623"/>
      <c r="H16" s="623">
        <f>GETPIVOTDATA("Sum of ControlFemale",SexTimeseriesPivot!$B$5,"Year",A16)</f>
        <v>139</v>
      </c>
      <c r="I16" s="623">
        <f>GETPIVOTDATA("Sum of ControlMale",SexTimeseriesPivot!$B$5,"Year",A16)</f>
        <v>26</v>
      </c>
      <c r="J16" s="623">
        <f>GETPIVOTDATA("Sum of SupportFemale",SexTimeseriesPivot!$B$5,"Year",A16)</f>
        <v>466</v>
      </c>
      <c r="K16" s="623">
        <f>GETPIVOTDATA("Sum of SupportMale",SexTimeseriesPivot!$B$5,"Year",A16)</f>
        <v>372</v>
      </c>
      <c r="L16" s="623">
        <f>GETPIVOTDATA("Sum of VolFemale",SexTimeseriesPivot!$B$5,"Year",A16)</f>
        <v>48</v>
      </c>
      <c r="M16" s="623">
        <f>GETPIVOTDATA("Sum of VolMale",SexTimeseriesPivot!$B$5,"Year",A16)</f>
        <v>268</v>
      </c>
      <c r="N16" s="859">
        <f t="shared" si="0"/>
        <v>989</v>
      </c>
      <c r="O16" s="624">
        <f t="shared" si="1"/>
        <v>6845</v>
      </c>
      <c r="P16" s="859">
        <f t="shared" si="2"/>
        <v>941</v>
      </c>
      <c r="Q16" s="871">
        <f t="shared" si="3"/>
        <v>6577</v>
      </c>
    </row>
    <row r="17" spans="1:17" x14ac:dyDescent="0.25">
      <c r="A17" s="317" t="s">
        <v>240</v>
      </c>
      <c r="B17" s="623">
        <f>GETPIVOTDATA("Sum of WTFemale",SexTimeseriesPivot!$B$5,"Year",A17)</f>
        <v>175</v>
      </c>
      <c r="C17" s="623">
        <f>GETPIVOTDATA("Sum of WTMale",SexTimeseriesPivot!$B$5,"Year",A17)</f>
        <v>3371</v>
      </c>
      <c r="D17" s="623">
        <f>GETPIVOTDATA("Sum of RDSFemale",SexTimeseriesPivot!$B$5,"Year",A17)</f>
        <v>171</v>
      </c>
      <c r="E17" s="623">
        <f>GETPIVOTDATA("Sum of RDSMale",SexTimeseriesPivot!$B$5,"Year",A17)</f>
        <v>2692</v>
      </c>
      <c r="F17" s="623"/>
      <c r="G17" s="623"/>
      <c r="H17" s="623">
        <f>GETPIVOTDATA("Sum of ControlFemale",SexTimeseriesPivot!$B$5,"Year",A17)</f>
        <v>158</v>
      </c>
      <c r="I17" s="623">
        <f>GETPIVOTDATA("Sum of ControlMale",SexTimeseriesPivot!$B$5,"Year",A17)</f>
        <v>31</v>
      </c>
      <c r="J17" s="623">
        <f>GETPIVOTDATA("Sum of SupportFemale",SexTimeseriesPivot!$B$5,"Year",A17)</f>
        <v>476</v>
      </c>
      <c r="K17" s="623">
        <f>GETPIVOTDATA("Sum of SupportMale",SexTimeseriesPivot!$B$5,"Year",A17)</f>
        <v>370</v>
      </c>
      <c r="L17" s="623">
        <f>GETPIVOTDATA("Sum of VolFemale",SexTimeseriesPivot!$B$5,"Year",A17)</f>
        <v>55</v>
      </c>
      <c r="M17" s="623">
        <f>GETPIVOTDATA("Sum of VolMale",SexTimeseriesPivot!$B$5,"Year",A17)</f>
        <v>277</v>
      </c>
      <c r="N17" s="859">
        <f t="shared" si="0"/>
        <v>1035</v>
      </c>
      <c r="O17" s="624">
        <f t="shared" si="1"/>
        <v>6741</v>
      </c>
      <c r="P17" s="859">
        <f t="shared" si="2"/>
        <v>980</v>
      </c>
      <c r="Q17" s="871">
        <f t="shared" si="3"/>
        <v>6464</v>
      </c>
    </row>
    <row r="18" spans="1:17" x14ac:dyDescent="0.25">
      <c r="A18" s="317" t="s">
        <v>239</v>
      </c>
      <c r="B18" s="623">
        <f>GETPIVOTDATA("Sum of WTFemale",SexTimeseriesPivot!$B$5,"Year",A18)</f>
        <v>196</v>
      </c>
      <c r="C18" s="623">
        <f>GETPIVOTDATA("Sum of WTMale",SexTimeseriesPivot!$B$5,"Year",A18)</f>
        <v>3441</v>
      </c>
      <c r="D18" s="623">
        <f>GETPIVOTDATA("Sum of RDSFemale",SexTimeseriesPivot!$B$5,"Year",A18)</f>
        <v>201</v>
      </c>
      <c r="E18" s="623">
        <f>GETPIVOTDATA("Sum of RDSMale",SexTimeseriesPivot!$B$5,"Year",A18)</f>
        <v>2734</v>
      </c>
      <c r="F18" s="623">
        <f>GETPIVOTDATA("Sum of RDS FulltimeFemale",SexTimeseriesPivot!$B$5,"Year",A18)</f>
        <v>1</v>
      </c>
      <c r="G18" s="623">
        <f>GETPIVOTDATA("Sum of RDS FulltimeMale",SexTimeseriesPivot!$B$5,"Year",A18)</f>
        <v>17</v>
      </c>
      <c r="H18" s="623">
        <f>GETPIVOTDATA("Sum of ControlFemale",SexTimeseriesPivot!$B$5,"Year",A18)</f>
        <v>172</v>
      </c>
      <c r="I18" s="623">
        <f>GETPIVOTDATA("Sum of ControlMale",SexTimeseriesPivot!$B$5,"Year",A18)</f>
        <v>35</v>
      </c>
      <c r="J18" s="623">
        <f>GETPIVOTDATA("Sum of SupportFemale",SexTimeseriesPivot!$B$5,"Year",A18)</f>
        <v>427</v>
      </c>
      <c r="K18" s="623">
        <f>GETPIVOTDATA("Sum of SupportMale",SexTimeseriesPivot!$B$5,"Year",A18)</f>
        <v>365</v>
      </c>
      <c r="L18" s="623">
        <f>GETPIVOTDATA("Sum of VolFemale",SexTimeseriesPivot!$B$5,"Year",A18)</f>
        <v>54</v>
      </c>
      <c r="M18" s="623">
        <f>GETPIVOTDATA("Sum of VolMale",SexTimeseriesPivot!$B$5,"Year",A18)</f>
        <v>263</v>
      </c>
      <c r="N18" s="859">
        <f t="shared" si="0"/>
        <v>1051</v>
      </c>
      <c r="O18" s="624">
        <f t="shared" si="1"/>
        <v>6855</v>
      </c>
      <c r="P18" s="859">
        <f t="shared" si="2"/>
        <v>997</v>
      </c>
      <c r="Q18" s="871">
        <f t="shared" si="3"/>
        <v>6592</v>
      </c>
    </row>
    <row r="19" spans="1:17" x14ac:dyDescent="0.25">
      <c r="A19" s="317" t="s">
        <v>760</v>
      </c>
      <c r="B19" s="623">
        <f>GETPIVOTDATA("Sum of WTFemale",SexTimeseriesPivot!$B$5,"Year",A19)</f>
        <v>222</v>
      </c>
      <c r="C19" s="623">
        <f>GETPIVOTDATA("Sum of WTMale",SexTimeseriesPivot!$B$5,"Year",A19)</f>
        <v>3414</v>
      </c>
      <c r="D19" s="623">
        <f>GETPIVOTDATA("Sum of RDSFemale",SexTimeseriesPivot!$B$5,"Year",A19)</f>
        <v>208</v>
      </c>
      <c r="E19" s="623">
        <f>GETPIVOTDATA("Sum of RDSMale",SexTimeseriesPivot!$B$5,"Year",A19)</f>
        <v>2729</v>
      </c>
      <c r="F19" s="623">
        <f>GETPIVOTDATA("Sum of RDS FulltimeFemale",SexTimeseriesPivot!$B$5,"Year",A19)</f>
        <v>7</v>
      </c>
      <c r="G19" s="623">
        <f>GETPIVOTDATA("Sum of RDS FulltimeMale",SexTimeseriesPivot!$B$5,"Year",A19)</f>
        <v>29</v>
      </c>
      <c r="H19" s="623">
        <f>GETPIVOTDATA("Sum of ControlFemale",SexTimeseriesPivot!$B$5,"Year",A19)</f>
        <v>156</v>
      </c>
      <c r="I19" s="623">
        <f>GETPIVOTDATA("Sum of ControlMale",SexTimeseriesPivot!$B$5,"Year",A19)</f>
        <v>32</v>
      </c>
      <c r="J19" s="623">
        <f>GETPIVOTDATA("Sum of SupportFemale",SexTimeseriesPivot!$B$5,"Year",A19)</f>
        <v>447</v>
      </c>
      <c r="K19" s="623">
        <f>GETPIVOTDATA("Sum of SupportMale",SexTimeseriesPivot!$B$5,"Year",A19)</f>
        <v>370</v>
      </c>
      <c r="L19" s="623">
        <f>GETPIVOTDATA("Sum of VolFemale",SexTimeseriesPivot!$B$5,"Year",A19)</f>
        <v>54</v>
      </c>
      <c r="M19" s="623">
        <f>GETPIVOTDATA("Sum of VolMale",SexTimeseriesPivot!$B$5,"Year",A19)</f>
        <v>261</v>
      </c>
      <c r="N19" s="859">
        <f t="shared" si="0"/>
        <v>1094</v>
      </c>
      <c r="O19" s="624">
        <f t="shared" si="1"/>
        <v>6835</v>
      </c>
      <c r="P19" s="859">
        <f t="shared" si="2"/>
        <v>1040</v>
      </c>
      <c r="Q19" s="871">
        <f t="shared" si="3"/>
        <v>6574</v>
      </c>
    </row>
    <row r="20" spans="1:17" x14ac:dyDescent="0.25">
      <c r="A20" s="317" t="s">
        <v>917</v>
      </c>
      <c r="B20" s="623">
        <f>GETPIVOTDATA("Sum of WTFemale",SexTimeseriesPivot!$B$5,"Year",A20)</f>
        <v>219</v>
      </c>
      <c r="C20" s="623">
        <f>GETPIVOTDATA("Sum of WTMale",SexTimeseriesPivot!$B$5,"Year",A20)</f>
        <v>3362</v>
      </c>
      <c r="D20" s="623">
        <f>GETPIVOTDATA("Sum of RDSFemale",SexTimeseriesPivot!$B$5,"Year",A20)</f>
        <v>197</v>
      </c>
      <c r="E20" s="623">
        <f>GETPIVOTDATA("Sum of RDSMale",SexTimeseriesPivot!$B$5,"Year",A20)</f>
        <v>2675</v>
      </c>
      <c r="F20" s="623">
        <f>GETPIVOTDATA("Sum of RDS FulltimeFemale",SexTimeseriesPivot!$B$5,"Year",A20)</f>
        <v>11</v>
      </c>
      <c r="G20" s="623">
        <f>GETPIVOTDATA("Sum of RDS FulltimeMale",SexTimeseriesPivot!$B$5,"Year",A20)</f>
        <v>43</v>
      </c>
      <c r="H20" s="623">
        <f>GETPIVOTDATA("Sum of ControlFemale",SexTimeseriesPivot!$B$5,"Year",A20)</f>
        <v>151</v>
      </c>
      <c r="I20" s="623">
        <f>GETPIVOTDATA("Sum of ControlMale",SexTimeseriesPivot!$B$5,"Year",A20)</f>
        <v>31</v>
      </c>
      <c r="J20" s="623">
        <f>GETPIVOTDATA("Sum of SupportFemale",SexTimeseriesPivot!$B$5,"Year",A20)</f>
        <v>461</v>
      </c>
      <c r="K20" s="623">
        <f>GETPIVOTDATA("Sum of SupportMale",SexTimeseriesPivot!$B$5,"Year",A20)</f>
        <v>374</v>
      </c>
      <c r="L20" s="623">
        <f>GETPIVOTDATA("Sum of VolFemale",SexTimeseriesPivot!$B$5,"Year",A20)</f>
        <v>52</v>
      </c>
      <c r="M20" s="623">
        <f>GETPIVOTDATA("Sum of VolMale",SexTimeseriesPivot!$B$5,"Year",A20)</f>
        <v>251</v>
      </c>
      <c r="N20" s="859">
        <f t="shared" si="0"/>
        <v>1091</v>
      </c>
      <c r="O20" s="624">
        <f t="shared" si="1"/>
        <v>6736</v>
      </c>
      <c r="P20" s="859">
        <f t="shared" si="2"/>
        <v>1039</v>
      </c>
      <c r="Q20" s="871">
        <f t="shared" si="3"/>
        <v>6485</v>
      </c>
    </row>
    <row r="21" spans="1:17" x14ac:dyDescent="0.25">
      <c r="A21" s="317" t="s">
        <v>1010</v>
      </c>
      <c r="B21" s="623">
        <f>GETPIVOTDATA("Sum of WTFemale",SexTimeseriesPivot!$B$5,"Year",A21)</f>
        <v>225</v>
      </c>
      <c r="C21" s="623">
        <f>GETPIVOTDATA("Sum of WTMale",SexTimeseriesPivot!$B$5,"Year",A21)</f>
        <v>3305</v>
      </c>
      <c r="D21" s="623">
        <f>GETPIVOTDATA("Sum of RDSFemale",SexTimeseriesPivot!$B$5,"Year",A21)</f>
        <v>191</v>
      </c>
      <c r="E21" s="623">
        <f>GETPIVOTDATA("Sum of RDSMale",SexTimeseriesPivot!$B$5,"Year",A21)</f>
        <v>2567</v>
      </c>
      <c r="F21" s="623">
        <f>GETPIVOTDATA("Sum of RDS FulltimeFemale",SexTimeseriesPivot!$B$5,"Year",A21)</f>
        <v>10</v>
      </c>
      <c r="G21" s="623">
        <f>GETPIVOTDATA("Sum of RDS FulltimeMale",SexTimeseriesPivot!$B$5,"Year",A21)</f>
        <v>43</v>
      </c>
      <c r="H21" s="623">
        <f>GETPIVOTDATA("Sum of ControlFemale",SexTimeseriesPivot!$B$5,"Year",A21)</f>
        <v>146</v>
      </c>
      <c r="I21" s="623">
        <f>GETPIVOTDATA("Sum of ControlMale",SexTimeseriesPivot!$B$5,"Year",A21)</f>
        <v>28</v>
      </c>
      <c r="J21" s="623">
        <f>GETPIVOTDATA("Sum of SupportFemale",SexTimeseriesPivot!$B$5,"Year",A21)</f>
        <v>501</v>
      </c>
      <c r="K21" s="623">
        <f>GETPIVOTDATA("Sum of SupportMale",SexTimeseriesPivot!$B$5,"Year",A21)</f>
        <v>419</v>
      </c>
      <c r="L21" s="623">
        <f>GETPIVOTDATA("Sum of VolFemale",SexTimeseriesPivot!$B$5,"Year",A21)</f>
        <v>46</v>
      </c>
      <c r="M21" s="623">
        <f>GETPIVOTDATA("Sum of VolMale",SexTimeseriesPivot!$B$5,"Year",A21)</f>
        <v>231</v>
      </c>
      <c r="N21" s="859">
        <f t="shared" si="0"/>
        <v>1119</v>
      </c>
      <c r="O21" s="624">
        <f t="shared" si="1"/>
        <v>6593</v>
      </c>
      <c r="P21" s="859">
        <f t="shared" si="2"/>
        <v>1073</v>
      </c>
      <c r="Q21" s="871">
        <f t="shared" si="3"/>
        <v>6362</v>
      </c>
    </row>
    <row r="22" spans="1:17" x14ac:dyDescent="0.25">
      <c r="A22" s="317" t="s">
        <v>1061</v>
      </c>
      <c r="B22" s="623">
        <f>GETPIVOTDATA("Sum of WTFemale",SexTimeseriesPivot!$B$5,"Year",A22)</f>
        <v>227</v>
      </c>
      <c r="C22" s="623">
        <f>GETPIVOTDATA("Sum of WTMale",SexTimeseriesPivot!$B$5,"Year",A22)</f>
        <v>3263</v>
      </c>
      <c r="D22" s="623">
        <f>GETPIVOTDATA("Sum of RDSFemale",SexTimeseriesPivot!$B$5,"Year",A22)</f>
        <v>185</v>
      </c>
      <c r="E22" s="623">
        <f>GETPIVOTDATA("Sum of RDSMale",SexTimeseriesPivot!$B$5,"Year",A22)</f>
        <v>2550</v>
      </c>
      <c r="F22" s="623">
        <f>GETPIVOTDATA("Sum of RDS FulltimeFemale",SexTimeseriesPivot!$B$5,"Year",A22)</f>
        <v>9</v>
      </c>
      <c r="G22" s="623">
        <f>GETPIVOTDATA("Sum of RDS FulltimeMale",SexTimeseriesPivot!$B$5,"Year",A22)</f>
        <v>46</v>
      </c>
      <c r="H22" s="623">
        <f>GETPIVOTDATA("Sum of ControlFemale",SexTimeseriesPivot!$B$5,"Year",A22)</f>
        <v>144</v>
      </c>
      <c r="I22" s="623">
        <f>GETPIVOTDATA("Sum of ControlMale",SexTimeseriesPivot!$B$5,"Year",A22)</f>
        <v>28</v>
      </c>
      <c r="J22" s="623">
        <f>GETPIVOTDATA("Sum of SupportFemale",SexTimeseriesPivot!$B$5,"Year",A22)</f>
        <v>484</v>
      </c>
      <c r="K22" s="623">
        <f>GETPIVOTDATA("Sum of SupportMale",SexTimeseriesPivot!$B$5,"Year",A22)</f>
        <v>417</v>
      </c>
      <c r="L22" s="623">
        <f>GETPIVOTDATA("Sum of VolFemale",SexTimeseriesPivot!$B$5,"Year",A22)</f>
        <v>40</v>
      </c>
      <c r="M22" s="623">
        <f>GETPIVOTDATA("Sum of VolMale",SexTimeseriesPivot!$B$5,"Year",A22)</f>
        <v>226</v>
      </c>
      <c r="N22" s="859">
        <f t="shared" si="0"/>
        <v>1089</v>
      </c>
      <c r="O22" s="871">
        <f t="shared" si="1"/>
        <v>6530</v>
      </c>
      <c r="P22" s="624">
        <f t="shared" si="2"/>
        <v>1049</v>
      </c>
      <c r="Q22" s="871">
        <f t="shared" si="3"/>
        <v>6304</v>
      </c>
    </row>
    <row r="23" spans="1:17" x14ac:dyDescent="0.25">
      <c r="A23" s="534" t="s">
        <v>1108</v>
      </c>
      <c r="B23" s="860">
        <f>GETPIVOTDATA("Sum of WTFemale",SexTimeseriesPivot!$B$5,"Year",A23)</f>
        <v>220</v>
      </c>
      <c r="C23" s="860">
        <f>GETPIVOTDATA("Sum of WTMale",SexTimeseriesPivot!$B$5,"Year",A23)</f>
        <v>3202</v>
      </c>
      <c r="D23" s="860">
        <f>GETPIVOTDATA("Sum of RDSFemale",SexTimeseriesPivot!$B$5,"Year",A23)</f>
        <v>191</v>
      </c>
      <c r="E23" s="860">
        <f>GETPIVOTDATA("Sum of RDSMale",SexTimeseriesPivot!$B$5,"Year",A23)</f>
        <v>2517</v>
      </c>
      <c r="F23" s="860">
        <f>GETPIVOTDATA("Sum of RDS FulltimeFemale",SexTimeseriesPivot!$B$5,"Year",A23)</f>
        <v>8</v>
      </c>
      <c r="G23" s="860">
        <f>GETPIVOTDATA("Sum of RDS FulltimeMale",SexTimeseriesPivot!$B$5,"Year",A23)</f>
        <v>47</v>
      </c>
      <c r="H23" s="860">
        <f>GETPIVOTDATA("Sum of ControlFemale",SexTimeseriesPivot!$B$5,"Year",A23)</f>
        <v>142</v>
      </c>
      <c r="I23" s="860">
        <f>GETPIVOTDATA("Sum of ControlMale",SexTimeseriesPivot!$B$5,"Year",A23)</f>
        <v>29</v>
      </c>
      <c r="J23" s="860">
        <f>GETPIVOTDATA("Sum of SupportFemale",SexTimeseriesPivot!$B$5,"Year",A23)</f>
        <v>482</v>
      </c>
      <c r="K23" s="860">
        <f>GETPIVOTDATA("Sum of SupportMale",SexTimeseriesPivot!$B$5,"Year",A23)</f>
        <v>405</v>
      </c>
      <c r="L23" s="860">
        <f>GETPIVOTDATA("Sum of VolFemale",SexTimeseriesPivot!$B$5,"Year",A23)</f>
        <v>42</v>
      </c>
      <c r="M23" s="860">
        <f>GETPIVOTDATA("Sum of VolMale",SexTimeseriesPivot!$B$5,"Year",A23)</f>
        <v>227</v>
      </c>
      <c r="N23" s="861">
        <f t="shared" ref="N23" si="4">L23+J23+H23+F23+D23+B23</f>
        <v>1085</v>
      </c>
      <c r="O23" s="872">
        <f t="shared" ref="O23" si="5">M23+K23+I23+G23+E23+C23</f>
        <v>6427</v>
      </c>
      <c r="P23" s="987">
        <f t="shared" ref="P23" si="6">B23+D23+F23+H23+J23</f>
        <v>1043</v>
      </c>
      <c r="Q23" s="872">
        <f t="shared" ref="Q23" si="7">C23+E23+G23+I23+K23</f>
        <v>6200</v>
      </c>
    </row>
    <row r="24" spans="1:17" x14ac:dyDescent="0.25">
      <c r="A24" s="317"/>
      <c r="N24" s="85"/>
      <c r="O24" s="85"/>
      <c r="P24" s="85"/>
      <c r="Q24" s="62"/>
    </row>
    <row r="25" spans="1:17" x14ac:dyDescent="0.25">
      <c r="A25" s="317"/>
      <c r="N25" s="85"/>
      <c r="O25" s="85"/>
      <c r="P25" s="85"/>
      <c r="Q25" s="62"/>
    </row>
    <row r="26" spans="1:17" x14ac:dyDescent="0.25">
      <c r="A26" s="5"/>
      <c r="B26" s="100"/>
      <c r="C26" s="100"/>
      <c r="D26" s="100"/>
      <c r="E26" s="100"/>
      <c r="F26" s="100"/>
      <c r="G26" s="100"/>
      <c r="H26" s="100"/>
      <c r="I26" s="100"/>
      <c r="J26" s="100"/>
      <c r="K26" s="100"/>
      <c r="L26" s="100"/>
      <c r="M26" s="100"/>
      <c r="N26" s="62"/>
      <c r="O26" s="62"/>
      <c r="P26" s="62"/>
      <c r="Q26" s="101" t="s">
        <v>7</v>
      </c>
    </row>
    <row r="27" spans="1:17" ht="27.95" customHeight="1" x14ac:dyDescent="0.25">
      <c r="A27" s="208" t="s">
        <v>7</v>
      </c>
      <c r="B27" s="1016" t="s">
        <v>85</v>
      </c>
      <c r="C27" s="1016"/>
      <c r="D27" s="1015" t="s">
        <v>28</v>
      </c>
      <c r="E27" s="1015"/>
      <c r="F27" s="1020" t="s">
        <v>831</v>
      </c>
      <c r="G27" s="1021"/>
      <c r="H27" s="1016" t="s">
        <v>2</v>
      </c>
      <c r="I27" s="1016"/>
      <c r="J27" s="1016" t="s">
        <v>86</v>
      </c>
      <c r="K27" s="1016"/>
      <c r="L27" s="1015" t="s">
        <v>29</v>
      </c>
      <c r="M27" s="1015"/>
      <c r="N27" s="1016" t="s">
        <v>26</v>
      </c>
      <c r="O27" s="1016"/>
      <c r="P27" s="1017" t="s">
        <v>87</v>
      </c>
      <c r="Q27" s="1018"/>
    </row>
    <row r="28" spans="1:17" ht="24.6" customHeight="1" x14ac:dyDescent="0.25">
      <c r="A28" s="479" t="s">
        <v>1</v>
      </c>
      <c r="B28" s="476" t="s">
        <v>88</v>
      </c>
      <c r="C28" s="476" t="s">
        <v>89</v>
      </c>
      <c r="D28" s="476" t="s">
        <v>88</v>
      </c>
      <c r="E28" s="476" t="s">
        <v>89</v>
      </c>
      <c r="F28" s="476" t="s">
        <v>88</v>
      </c>
      <c r="G28" s="476" t="s">
        <v>89</v>
      </c>
      <c r="H28" s="476" t="s">
        <v>88</v>
      </c>
      <c r="I28" s="476" t="s">
        <v>89</v>
      </c>
      <c r="J28" s="476" t="s">
        <v>88</v>
      </c>
      <c r="K28" s="476" t="s">
        <v>89</v>
      </c>
      <c r="L28" s="476" t="s">
        <v>88</v>
      </c>
      <c r="M28" s="476" t="s">
        <v>89</v>
      </c>
      <c r="N28" s="634" t="s">
        <v>88</v>
      </c>
      <c r="O28" s="476" t="s">
        <v>89</v>
      </c>
      <c r="P28" s="476" t="s">
        <v>88</v>
      </c>
      <c r="Q28" s="634" t="s">
        <v>89</v>
      </c>
    </row>
    <row r="29" spans="1:17" x14ac:dyDescent="0.25">
      <c r="A29" s="5" t="str">
        <f t="shared" ref="A29:A37" si="8">A13</f>
        <v>2013-14</v>
      </c>
      <c r="B29" s="102">
        <f t="shared" ref="B29:B37" si="9">B13/(B13+C13)</f>
        <v>3.9740064983754063E-2</v>
      </c>
      <c r="C29" s="102">
        <f t="shared" ref="C29:C37" si="10">C13/(B13+C13)</f>
        <v>0.96025993501624596</v>
      </c>
      <c r="D29" s="102">
        <f t="shared" ref="D29:D37" si="11">D13/(D13+E13)</f>
        <v>6.0544217687074832E-2</v>
      </c>
      <c r="E29" s="102">
        <f t="shared" ref="E29:E37" si="12">E13/(D13+E13)</f>
        <v>0.93945578231292515</v>
      </c>
      <c r="F29" s="102"/>
      <c r="G29" s="102"/>
      <c r="H29" s="102">
        <f t="shared" ref="H29:H37" si="13">H13/(H13+I13)</f>
        <v>0.8923766816143498</v>
      </c>
      <c r="I29" s="102">
        <f t="shared" ref="I29:I37" si="14">I13/(H13+I13)</f>
        <v>0.10762331838565023</v>
      </c>
      <c r="J29" s="102">
        <f t="shared" ref="J29:J37" si="15">J13/(J13+K13)</f>
        <v>0.56711758584807492</v>
      </c>
      <c r="K29" s="102">
        <f t="shared" ref="K29:K37" si="16">K13/(J13+K13)</f>
        <v>0.43288241415192508</v>
      </c>
      <c r="L29" s="102">
        <f t="shared" ref="L29:L37" si="17">L13/(L13+M13)</f>
        <v>0.14484679665738162</v>
      </c>
      <c r="M29" s="102">
        <f t="shared" ref="M29:M37" si="18">M13/(L13+M13)</f>
        <v>0.85515320334261835</v>
      </c>
      <c r="N29" s="477">
        <f t="shared" ref="N29:N38" si="19">N13/(N13+O13)</f>
        <v>0.13354549740688354</v>
      </c>
      <c r="O29" s="102">
        <f t="shared" ref="O29:O38" si="20">O13/(N13+O13)</f>
        <v>0.8664545025931164</v>
      </c>
      <c r="P29" s="477">
        <f t="shared" ref="P29:P38" si="21">P13/(P13+Q13)</f>
        <v>0.13304615384615384</v>
      </c>
      <c r="Q29" s="480">
        <f t="shared" ref="Q29:Q38" si="22">Q13/(P13+Q13)</f>
        <v>0.86695384615384619</v>
      </c>
    </row>
    <row r="30" spans="1:17" x14ac:dyDescent="0.25">
      <c r="A30" s="5" t="str">
        <f t="shared" si="8"/>
        <v>2014-15</v>
      </c>
      <c r="B30" s="102">
        <f t="shared" si="9"/>
        <v>4.2531120331950209E-2</v>
      </c>
      <c r="C30" s="102">
        <f t="shared" si="10"/>
        <v>0.95746887966804983</v>
      </c>
      <c r="D30" s="102">
        <f t="shared" si="11"/>
        <v>5.8305084745762709E-2</v>
      </c>
      <c r="E30" s="102">
        <f t="shared" si="12"/>
        <v>0.94169491525423732</v>
      </c>
      <c r="F30" s="102"/>
      <c r="G30" s="102"/>
      <c r="H30" s="102">
        <f t="shared" si="13"/>
        <v>0.83478260869565213</v>
      </c>
      <c r="I30" s="102">
        <f t="shared" si="14"/>
        <v>0.16521739130434782</v>
      </c>
      <c r="J30" s="102">
        <f t="shared" si="15"/>
        <v>0.55363321799307963</v>
      </c>
      <c r="K30" s="102">
        <f t="shared" si="16"/>
        <v>0.44636678200692043</v>
      </c>
      <c r="L30" s="102">
        <f t="shared" si="17"/>
        <v>0.14814814814814814</v>
      </c>
      <c r="M30" s="102">
        <f t="shared" si="18"/>
        <v>0.85185185185185186</v>
      </c>
      <c r="N30" s="478">
        <f t="shared" si="19"/>
        <v>0.12848689771766694</v>
      </c>
      <c r="O30" s="102">
        <f t="shared" si="20"/>
        <v>0.87151310228233303</v>
      </c>
      <c r="P30" s="478">
        <f t="shared" si="21"/>
        <v>0.1275465013286094</v>
      </c>
      <c r="Q30" s="481">
        <f t="shared" si="22"/>
        <v>0.87245349867139066</v>
      </c>
    </row>
    <row r="31" spans="1:17" x14ac:dyDescent="0.25">
      <c r="A31" s="5" t="str">
        <f t="shared" si="8"/>
        <v>2015-16</v>
      </c>
      <c r="B31" s="102">
        <f t="shared" si="9"/>
        <v>4.5257452574525743E-2</v>
      </c>
      <c r="C31" s="102">
        <f t="shared" si="10"/>
        <v>0.95474254742547426</v>
      </c>
      <c r="D31" s="102">
        <f t="shared" si="11"/>
        <v>5.6794425087108011E-2</v>
      </c>
      <c r="E31" s="102">
        <f t="shared" si="12"/>
        <v>0.94320557491289203</v>
      </c>
      <c r="F31" s="102"/>
      <c r="G31" s="102"/>
      <c r="H31" s="102">
        <f t="shared" si="13"/>
        <v>0.8423645320197044</v>
      </c>
      <c r="I31" s="102">
        <f t="shared" si="14"/>
        <v>0.15763546798029557</v>
      </c>
      <c r="J31" s="102">
        <f t="shared" si="15"/>
        <v>0.5591787439613527</v>
      </c>
      <c r="K31" s="102">
        <f t="shared" si="16"/>
        <v>0.44082125603864736</v>
      </c>
      <c r="L31" s="102">
        <f t="shared" si="17"/>
        <v>0.16374269005847952</v>
      </c>
      <c r="M31" s="102">
        <f t="shared" si="18"/>
        <v>0.83625730994152048</v>
      </c>
      <c r="N31" s="478">
        <f t="shared" si="19"/>
        <v>0.12857683095928402</v>
      </c>
      <c r="O31" s="102">
        <f t="shared" si="20"/>
        <v>0.87142316904071604</v>
      </c>
      <c r="P31" s="478">
        <f t="shared" si="21"/>
        <v>0.12699249110789093</v>
      </c>
      <c r="Q31" s="481">
        <f t="shared" si="22"/>
        <v>0.8730075088921091</v>
      </c>
    </row>
    <row r="32" spans="1:17" x14ac:dyDescent="0.25">
      <c r="A32" s="5" t="str">
        <f t="shared" si="8"/>
        <v>2016-17</v>
      </c>
      <c r="B32" s="102">
        <f t="shared" si="9"/>
        <v>4.8834019204389574E-2</v>
      </c>
      <c r="C32" s="102">
        <f t="shared" si="10"/>
        <v>0.95116598079561043</v>
      </c>
      <c r="D32" s="102">
        <f t="shared" si="11"/>
        <v>5.5052264808362367E-2</v>
      </c>
      <c r="E32" s="102">
        <f t="shared" si="12"/>
        <v>0.94494773519163766</v>
      </c>
      <c r="F32" s="102"/>
      <c r="G32" s="102"/>
      <c r="H32" s="102">
        <f t="shared" si="13"/>
        <v>0.84242424242424241</v>
      </c>
      <c r="I32" s="102">
        <f t="shared" si="14"/>
        <v>0.15757575757575756</v>
      </c>
      <c r="J32" s="102">
        <f t="shared" si="15"/>
        <v>0.55608591885441527</v>
      </c>
      <c r="K32" s="102">
        <f t="shared" si="16"/>
        <v>0.44391408114558473</v>
      </c>
      <c r="L32" s="102">
        <f t="shared" si="17"/>
        <v>0.15189873417721519</v>
      </c>
      <c r="M32" s="102">
        <f t="shared" si="18"/>
        <v>0.84810126582278478</v>
      </c>
      <c r="N32" s="478">
        <f t="shared" si="19"/>
        <v>0.12624457492979321</v>
      </c>
      <c r="O32" s="102">
        <f t="shared" si="20"/>
        <v>0.87375542507020676</v>
      </c>
      <c r="P32" s="478">
        <f t="shared" si="21"/>
        <v>0.12516626762436819</v>
      </c>
      <c r="Q32" s="481">
        <f t="shared" si="22"/>
        <v>0.87483373237563178</v>
      </c>
    </row>
    <row r="33" spans="1:17" x14ac:dyDescent="0.25">
      <c r="A33" s="5" t="str">
        <f t="shared" si="8"/>
        <v>2017-18</v>
      </c>
      <c r="B33" s="102">
        <f t="shared" si="9"/>
        <v>4.9351381838691484E-2</v>
      </c>
      <c r="C33" s="102">
        <f t="shared" si="10"/>
        <v>0.95064861816130852</v>
      </c>
      <c r="D33" s="102">
        <f t="shared" si="11"/>
        <v>5.9727558505064615E-2</v>
      </c>
      <c r="E33" s="102">
        <f t="shared" si="12"/>
        <v>0.94027244149493538</v>
      </c>
      <c r="F33" s="102"/>
      <c r="G33" s="102"/>
      <c r="H33" s="102">
        <f t="shared" si="13"/>
        <v>0.83597883597883593</v>
      </c>
      <c r="I33" s="102">
        <f t="shared" si="14"/>
        <v>0.16402116402116401</v>
      </c>
      <c r="J33" s="102">
        <f t="shared" si="15"/>
        <v>0.56264775413711587</v>
      </c>
      <c r="K33" s="102">
        <f t="shared" si="16"/>
        <v>0.43735224586288418</v>
      </c>
      <c r="L33" s="102">
        <f t="shared" si="17"/>
        <v>0.16566265060240964</v>
      </c>
      <c r="M33" s="102">
        <f t="shared" si="18"/>
        <v>0.83433734939759041</v>
      </c>
      <c r="N33" s="478">
        <f t="shared" si="19"/>
        <v>0.13310185185185186</v>
      </c>
      <c r="O33" s="102">
        <f t="shared" si="20"/>
        <v>0.86689814814814814</v>
      </c>
      <c r="P33" s="478">
        <f t="shared" si="21"/>
        <v>0.13164965072541646</v>
      </c>
      <c r="Q33" s="481">
        <f t="shared" si="22"/>
        <v>0.86835034927458354</v>
      </c>
    </row>
    <row r="34" spans="1:17" x14ac:dyDescent="0.25">
      <c r="A34" s="5" t="str">
        <f t="shared" si="8"/>
        <v>2018-19</v>
      </c>
      <c r="B34" s="102">
        <f t="shared" si="9"/>
        <v>5.3890569150398679E-2</v>
      </c>
      <c r="C34" s="102">
        <f t="shared" si="10"/>
        <v>0.94610943084960131</v>
      </c>
      <c r="D34" s="102">
        <f t="shared" si="11"/>
        <v>6.8483816013628615E-2</v>
      </c>
      <c r="E34" s="102">
        <f t="shared" si="12"/>
        <v>0.93151618398637137</v>
      </c>
      <c r="F34" s="102"/>
      <c r="G34" s="102"/>
      <c r="H34" s="102">
        <f t="shared" si="13"/>
        <v>0.83091787439613529</v>
      </c>
      <c r="I34" s="102">
        <f t="shared" si="14"/>
        <v>0.16908212560386474</v>
      </c>
      <c r="J34" s="102">
        <f t="shared" si="15"/>
        <v>0.53914141414141414</v>
      </c>
      <c r="K34" s="102">
        <f t="shared" si="16"/>
        <v>0.46085858585858586</v>
      </c>
      <c r="L34" s="102">
        <f t="shared" si="17"/>
        <v>0.17034700315457413</v>
      </c>
      <c r="M34" s="102">
        <f t="shared" si="18"/>
        <v>0.82965299684542582</v>
      </c>
      <c r="N34" s="478">
        <f t="shared" si="19"/>
        <v>0.1329370098659246</v>
      </c>
      <c r="O34" s="102">
        <f t="shared" si="20"/>
        <v>0.8670629901340754</v>
      </c>
      <c r="P34" s="478">
        <f t="shared" si="21"/>
        <v>0.13137435762287522</v>
      </c>
      <c r="Q34" s="481">
        <f t="shared" si="22"/>
        <v>0.86862564237712481</v>
      </c>
    </row>
    <row r="35" spans="1:17" x14ac:dyDescent="0.25">
      <c r="A35" s="5" t="str">
        <f t="shared" si="8"/>
        <v>2019-20</v>
      </c>
      <c r="B35" s="102">
        <f t="shared" si="9"/>
        <v>6.1056105610561059E-2</v>
      </c>
      <c r="C35" s="102">
        <f t="shared" si="10"/>
        <v>0.93894389438943893</v>
      </c>
      <c r="D35" s="102">
        <f t="shared" si="11"/>
        <v>7.0820565202587671E-2</v>
      </c>
      <c r="E35" s="102">
        <f t="shared" si="12"/>
        <v>0.92917943479741227</v>
      </c>
      <c r="F35" s="102"/>
      <c r="G35" s="102"/>
      <c r="H35" s="102">
        <f t="shared" si="13"/>
        <v>0.82978723404255317</v>
      </c>
      <c r="I35" s="102">
        <f t="shared" si="14"/>
        <v>0.1702127659574468</v>
      </c>
      <c r="J35" s="102">
        <f t="shared" si="15"/>
        <v>0.54712362301101591</v>
      </c>
      <c r="K35" s="102">
        <f t="shared" si="16"/>
        <v>0.45287637698898409</v>
      </c>
      <c r="L35" s="102">
        <f t="shared" si="17"/>
        <v>0.17142857142857143</v>
      </c>
      <c r="M35" s="102">
        <f t="shared" si="18"/>
        <v>0.82857142857142863</v>
      </c>
      <c r="N35" s="478">
        <f t="shared" si="19"/>
        <v>0.13797452389960904</v>
      </c>
      <c r="O35" s="102">
        <f t="shared" si="20"/>
        <v>0.86202547610039093</v>
      </c>
      <c r="P35" s="478">
        <f t="shared" si="21"/>
        <v>0.13659049120042027</v>
      </c>
      <c r="Q35" s="481">
        <f t="shared" si="22"/>
        <v>0.86340950879957967</v>
      </c>
    </row>
    <row r="36" spans="1:17" x14ac:dyDescent="0.25">
      <c r="A36" s="5" t="str">
        <f t="shared" si="8"/>
        <v>2020-21</v>
      </c>
      <c r="B36" s="102">
        <f t="shared" si="9"/>
        <v>6.1156101647584477E-2</v>
      </c>
      <c r="C36" s="102">
        <f t="shared" si="10"/>
        <v>0.93884389835241555</v>
      </c>
      <c r="D36" s="102">
        <f t="shared" si="11"/>
        <v>6.8593314763231203E-2</v>
      </c>
      <c r="E36" s="102">
        <f t="shared" si="12"/>
        <v>0.93140668523676884</v>
      </c>
      <c r="F36" s="102">
        <f>F20/(F20+G20)</f>
        <v>0.20370370370370369</v>
      </c>
      <c r="G36" s="102">
        <f>G20/(F20+G20)</f>
        <v>0.79629629629629628</v>
      </c>
      <c r="H36" s="102">
        <f t="shared" si="13"/>
        <v>0.82967032967032972</v>
      </c>
      <c r="I36" s="102">
        <f t="shared" si="14"/>
        <v>0.17032967032967034</v>
      </c>
      <c r="J36" s="102">
        <f t="shared" si="15"/>
        <v>0.55209580838323358</v>
      </c>
      <c r="K36" s="102">
        <f t="shared" si="16"/>
        <v>0.44790419161676648</v>
      </c>
      <c r="L36" s="102">
        <f t="shared" si="17"/>
        <v>0.17161716171617161</v>
      </c>
      <c r="M36" s="102">
        <f t="shared" si="18"/>
        <v>0.82838283828382842</v>
      </c>
      <c r="N36" s="478">
        <f t="shared" si="19"/>
        <v>0.13938929347131723</v>
      </c>
      <c r="O36" s="102">
        <f t="shared" si="20"/>
        <v>0.86061070652868277</v>
      </c>
      <c r="P36" s="478">
        <f t="shared" si="21"/>
        <v>0.13809144072301968</v>
      </c>
      <c r="Q36" s="481">
        <f t="shared" si="22"/>
        <v>0.86190855927698029</v>
      </c>
    </row>
    <row r="37" spans="1:17" x14ac:dyDescent="0.25">
      <c r="A37" s="5" t="str">
        <f t="shared" si="8"/>
        <v>2021-22</v>
      </c>
      <c r="B37" s="102">
        <f t="shared" si="9"/>
        <v>6.3739376770538245E-2</v>
      </c>
      <c r="C37" s="102">
        <f t="shared" si="10"/>
        <v>0.9362606232294618</v>
      </c>
      <c r="D37" s="102">
        <f t="shared" si="11"/>
        <v>6.9253081943437267E-2</v>
      </c>
      <c r="E37" s="102">
        <f t="shared" si="12"/>
        <v>0.93074691805656273</v>
      </c>
      <c r="F37" s="102">
        <f>F21/(F21+G21)</f>
        <v>0.18867924528301888</v>
      </c>
      <c r="G37" s="102">
        <f>G21/(F21+G21)</f>
        <v>0.81132075471698117</v>
      </c>
      <c r="H37" s="102">
        <f t="shared" si="13"/>
        <v>0.83908045977011492</v>
      </c>
      <c r="I37" s="102">
        <f t="shared" si="14"/>
        <v>0.16091954022988506</v>
      </c>
      <c r="J37" s="102">
        <f t="shared" si="15"/>
        <v>0.54456521739130437</v>
      </c>
      <c r="K37" s="102">
        <f t="shared" si="16"/>
        <v>0.45543478260869563</v>
      </c>
      <c r="L37" s="102">
        <f t="shared" si="17"/>
        <v>0.16606498194945848</v>
      </c>
      <c r="M37" s="102">
        <f t="shared" si="18"/>
        <v>0.83393501805054149</v>
      </c>
      <c r="N37" s="478">
        <f t="shared" si="19"/>
        <v>0.14509854771784234</v>
      </c>
      <c r="O37" s="102">
        <f t="shared" si="20"/>
        <v>0.85490145228215764</v>
      </c>
      <c r="P37" s="478">
        <f t="shared" si="21"/>
        <v>0.14431741761936787</v>
      </c>
      <c r="Q37" s="481">
        <f t="shared" si="22"/>
        <v>0.85568258238063211</v>
      </c>
    </row>
    <row r="38" spans="1:17" x14ac:dyDescent="0.25">
      <c r="A38" s="5" t="str">
        <f t="shared" ref="A38:A39" si="23">A22</f>
        <v>2022-23</v>
      </c>
      <c r="B38" s="102">
        <f t="shared" ref="B38" si="24">B22/(B22+C22)</f>
        <v>6.504297994269341E-2</v>
      </c>
      <c r="C38" s="102">
        <f t="shared" ref="C38" si="25">C22/(B22+C22)</f>
        <v>0.93495702005730663</v>
      </c>
      <c r="D38" s="102">
        <f t="shared" ref="D38" si="26">D22/(D22+E22)</f>
        <v>6.7641681901279713E-2</v>
      </c>
      <c r="E38" s="102">
        <f t="shared" ref="E38" si="27">E22/(D22+E22)</f>
        <v>0.93235831809872027</v>
      </c>
      <c r="F38" s="102">
        <f>F22/(F22+G22)</f>
        <v>0.16363636363636364</v>
      </c>
      <c r="G38" s="102">
        <f>G22/(F22+G22)</f>
        <v>0.83636363636363631</v>
      </c>
      <c r="H38" s="102">
        <f t="shared" ref="H38" si="28">H22/(H22+I22)</f>
        <v>0.83720930232558144</v>
      </c>
      <c r="I38" s="102">
        <f t="shared" ref="I38" si="29">I22/(H22+I22)</f>
        <v>0.16279069767441862</v>
      </c>
      <c r="J38" s="102">
        <f t="shared" ref="J38" si="30">J22/(J22+K22)</f>
        <v>0.537180910099889</v>
      </c>
      <c r="K38" s="102">
        <f t="shared" ref="K38" si="31">K22/(J22+K22)</f>
        <v>0.462819089900111</v>
      </c>
      <c r="L38" s="102">
        <f t="shared" ref="L38" si="32">L22/(L22+M22)</f>
        <v>0.15037593984962405</v>
      </c>
      <c r="M38" s="102">
        <f t="shared" ref="M38" si="33">M22/(L22+M22)</f>
        <v>0.84962406015037595</v>
      </c>
      <c r="N38" s="478">
        <f t="shared" si="19"/>
        <v>0.14293214332589579</v>
      </c>
      <c r="O38" s="102">
        <f t="shared" si="20"/>
        <v>0.85706785667410423</v>
      </c>
      <c r="P38" s="478">
        <f t="shared" si="21"/>
        <v>0.14266285869713041</v>
      </c>
      <c r="Q38" s="481">
        <f t="shared" si="22"/>
        <v>0.85733714130286953</v>
      </c>
    </row>
    <row r="39" spans="1:17" x14ac:dyDescent="0.25">
      <c r="A39" s="16" t="str">
        <f t="shared" si="23"/>
        <v>2023-24</v>
      </c>
      <c r="B39" s="103">
        <f t="shared" ref="B39" si="34">B23/(B23+C23)</f>
        <v>6.4289888953828173E-2</v>
      </c>
      <c r="C39" s="103">
        <f t="shared" ref="C39" si="35">C23/(B23+C23)</f>
        <v>0.93571011104617186</v>
      </c>
      <c r="D39" s="103">
        <f t="shared" ref="D39" si="36">D23/(D23+E23)</f>
        <v>7.0531757754800598E-2</v>
      </c>
      <c r="E39" s="103">
        <f t="shared" ref="E39" si="37">E23/(D23+E23)</f>
        <v>0.92946824224519942</v>
      </c>
      <c r="F39" s="103">
        <f>F23/(F23+G23)</f>
        <v>0.14545454545454545</v>
      </c>
      <c r="G39" s="103">
        <f>G23/(F23+G23)</f>
        <v>0.8545454545454545</v>
      </c>
      <c r="H39" s="103">
        <f t="shared" ref="H39" si="38">H23/(H23+I23)</f>
        <v>0.83040935672514615</v>
      </c>
      <c r="I39" s="103">
        <f t="shared" ref="I39" si="39">I23/(H23+I23)</f>
        <v>0.16959064327485379</v>
      </c>
      <c r="J39" s="103">
        <f t="shared" ref="J39" si="40">J23/(J23+K23)</f>
        <v>0.54340473506200682</v>
      </c>
      <c r="K39" s="103">
        <f t="shared" ref="K39" si="41">K23/(J23+K23)</f>
        <v>0.45659526493799324</v>
      </c>
      <c r="L39" s="103">
        <f t="shared" ref="L39" si="42">L23/(L23+M23)</f>
        <v>0.15613382899628253</v>
      </c>
      <c r="M39" s="482">
        <f t="shared" ref="M39" si="43">M23/(L23+M23)</f>
        <v>0.84386617100371752</v>
      </c>
      <c r="N39" s="103">
        <f t="shared" ref="N39" si="44">N23/(N23+O23)</f>
        <v>0.14443556975505858</v>
      </c>
      <c r="O39" s="482">
        <f t="shared" ref="O39" si="45">O23/(N23+O23)</f>
        <v>0.85556443024494144</v>
      </c>
      <c r="P39" s="103">
        <f t="shared" ref="P39" si="46">P23/(P23+Q23)</f>
        <v>0.14400110451470385</v>
      </c>
      <c r="Q39" s="482">
        <f t="shared" ref="Q39" si="47">Q23/(P23+Q23)</f>
        <v>0.85599889548529617</v>
      </c>
    </row>
    <row r="40" spans="1:17" ht="36.6" customHeight="1" x14ac:dyDescent="0.25">
      <c r="A40" s="1023" t="str">
        <f>"OneYear Change " &amp;A22 &amp; " to " &amp;A23</f>
        <v>OneYear Change 2022-23 to 2023-24</v>
      </c>
      <c r="B40" s="1023"/>
      <c r="C40" s="1023"/>
      <c r="D40" s="12"/>
      <c r="E40" s="12"/>
      <c r="F40" s="12"/>
      <c r="G40" s="12"/>
      <c r="H40" s="12"/>
      <c r="I40" s="12"/>
      <c r="J40" s="12"/>
      <c r="K40" s="12"/>
      <c r="L40" s="15"/>
      <c r="M40" s="99"/>
      <c r="N40" s="15"/>
      <c r="O40" s="15"/>
      <c r="P40" s="15"/>
      <c r="Q40" s="15"/>
    </row>
    <row r="41" spans="1:17" ht="15.6" customHeight="1" x14ac:dyDescent="0.25">
      <c r="A41" s="873" t="s">
        <v>6</v>
      </c>
      <c r="B41" s="104">
        <f>B23-B22</f>
        <v>-7</v>
      </c>
      <c r="C41" s="104">
        <f t="shared" ref="C41:Q41" si="48">C23-C22</f>
        <v>-61</v>
      </c>
      <c r="D41" s="104">
        <f t="shared" si="48"/>
        <v>6</v>
      </c>
      <c r="E41" s="104">
        <f t="shared" si="48"/>
        <v>-33</v>
      </c>
      <c r="F41" s="104">
        <f t="shared" si="48"/>
        <v>-1</v>
      </c>
      <c r="G41" s="104">
        <f t="shared" si="48"/>
        <v>1</v>
      </c>
      <c r="H41" s="104">
        <f t="shared" si="48"/>
        <v>-2</v>
      </c>
      <c r="I41" s="104">
        <f t="shared" si="48"/>
        <v>1</v>
      </c>
      <c r="J41" s="104">
        <f t="shared" si="48"/>
        <v>-2</v>
      </c>
      <c r="K41" s="104">
        <f t="shared" si="48"/>
        <v>-12</v>
      </c>
      <c r="L41" s="104">
        <f t="shared" si="48"/>
        <v>2</v>
      </c>
      <c r="M41" s="104">
        <f t="shared" si="48"/>
        <v>1</v>
      </c>
      <c r="N41" s="104">
        <f t="shared" si="48"/>
        <v>-4</v>
      </c>
      <c r="O41" s="104">
        <f t="shared" si="48"/>
        <v>-103</v>
      </c>
      <c r="P41" s="104">
        <f t="shared" si="48"/>
        <v>-6</v>
      </c>
      <c r="Q41" s="104">
        <f t="shared" si="48"/>
        <v>-104</v>
      </c>
    </row>
    <row r="42" spans="1:17" ht="15.75" thickBot="1" x14ac:dyDescent="0.3">
      <c r="A42" s="10" t="s">
        <v>7</v>
      </c>
      <c r="B42" s="11">
        <f>B41/B22</f>
        <v>-3.0837004405286344E-2</v>
      </c>
      <c r="C42" s="11">
        <f t="shared" ref="C42:Q42" si="49">C41/C22</f>
        <v>-1.8694452957401166E-2</v>
      </c>
      <c r="D42" s="11">
        <f t="shared" si="49"/>
        <v>3.2432432432432434E-2</v>
      </c>
      <c r="E42" s="11">
        <f t="shared" si="49"/>
        <v>-1.2941176470588235E-2</v>
      </c>
      <c r="F42" s="11">
        <f t="shared" si="49"/>
        <v>-0.1111111111111111</v>
      </c>
      <c r="G42" s="11">
        <f t="shared" si="49"/>
        <v>2.1739130434782608E-2</v>
      </c>
      <c r="H42" s="11">
        <f t="shared" si="49"/>
        <v>-1.3888888888888888E-2</v>
      </c>
      <c r="I42" s="11">
        <f t="shared" si="49"/>
        <v>3.5714285714285712E-2</v>
      </c>
      <c r="J42" s="11">
        <f t="shared" si="49"/>
        <v>-4.1322314049586778E-3</v>
      </c>
      <c r="K42" s="11">
        <f t="shared" si="49"/>
        <v>-2.8776978417266189E-2</v>
      </c>
      <c r="L42" s="11">
        <f t="shared" si="49"/>
        <v>0.05</v>
      </c>
      <c r="M42" s="11">
        <f t="shared" si="49"/>
        <v>4.4247787610619468E-3</v>
      </c>
      <c r="N42" s="11">
        <f t="shared" si="49"/>
        <v>-3.6730945821854912E-3</v>
      </c>
      <c r="O42" s="11">
        <f t="shared" si="49"/>
        <v>-1.5773353751914243E-2</v>
      </c>
      <c r="P42" s="11">
        <f t="shared" si="49"/>
        <v>-5.7197330791229741E-3</v>
      </c>
      <c r="Q42" s="11">
        <f t="shared" si="49"/>
        <v>-1.6497461928934011E-2</v>
      </c>
    </row>
    <row r="43" spans="1:17" x14ac:dyDescent="0.25">
      <c r="A43" s="12"/>
      <c r="B43" s="13"/>
      <c r="C43" s="13"/>
      <c r="D43" s="13"/>
      <c r="E43" s="13"/>
      <c r="F43" s="13"/>
      <c r="G43" s="13"/>
      <c r="H43" s="13"/>
      <c r="I43" s="13"/>
      <c r="J43" s="13"/>
      <c r="K43" s="12"/>
      <c r="L43" s="15"/>
      <c r="M43" s="99"/>
      <c r="N43" s="12"/>
      <c r="O43" s="12"/>
      <c r="P43" s="97"/>
      <c r="Q43" s="97"/>
    </row>
    <row r="44" spans="1:17" x14ac:dyDescent="0.25">
      <c r="A44" s="1022" t="str">
        <f>"Five Year Change " &amp;A18 &amp; " to " &amp;A23</f>
        <v>Five Year Change 2018-19 to 2023-24</v>
      </c>
      <c r="B44" s="1022"/>
      <c r="C44" s="1022"/>
      <c r="D44" s="12"/>
      <c r="E44" s="12"/>
      <c r="F44" s="12"/>
      <c r="G44" s="12"/>
      <c r="H44" s="12"/>
      <c r="I44" s="12"/>
      <c r="J44" s="12"/>
      <c r="K44" s="12"/>
      <c r="L44" s="15"/>
      <c r="M44" s="99"/>
      <c r="N44" s="15"/>
      <c r="O44" s="15"/>
      <c r="P44" s="15"/>
      <c r="Q44" s="15"/>
    </row>
    <row r="45" spans="1:17" x14ac:dyDescent="0.25">
      <c r="A45" s="21" t="s">
        <v>6</v>
      </c>
      <c r="B45" s="104">
        <f>B23-B18</f>
        <v>24</v>
      </c>
      <c r="C45" s="104">
        <f t="shared" ref="C45:Q45" si="50">C23-C18</f>
        <v>-239</v>
      </c>
      <c r="D45" s="104">
        <f t="shared" si="50"/>
        <v>-10</v>
      </c>
      <c r="E45" s="104">
        <f t="shared" si="50"/>
        <v>-217</v>
      </c>
      <c r="F45" s="104">
        <f t="shared" si="50"/>
        <v>7</v>
      </c>
      <c r="G45" s="104">
        <f t="shared" si="50"/>
        <v>30</v>
      </c>
      <c r="H45" s="104">
        <f t="shared" si="50"/>
        <v>-30</v>
      </c>
      <c r="I45" s="104">
        <f t="shared" si="50"/>
        <v>-6</v>
      </c>
      <c r="J45" s="104">
        <f t="shared" si="50"/>
        <v>55</v>
      </c>
      <c r="K45" s="104">
        <f t="shared" si="50"/>
        <v>40</v>
      </c>
      <c r="L45" s="104">
        <f t="shared" si="50"/>
        <v>-12</v>
      </c>
      <c r="M45" s="104">
        <f t="shared" si="50"/>
        <v>-36</v>
      </c>
      <c r="N45" s="104">
        <f t="shared" si="50"/>
        <v>34</v>
      </c>
      <c r="O45" s="104">
        <f t="shared" si="50"/>
        <v>-428</v>
      </c>
      <c r="P45" s="104">
        <f t="shared" si="50"/>
        <v>46</v>
      </c>
      <c r="Q45" s="104">
        <f t="shared" si="50"/>
        <v>-392</v>
      </c>
    </row>
    <row r="46" spans="1:17" ht="15.75" thickBot="1" x14ac:dyDescent="0.3">
      <c r="A46" s="10" t="s">
        <v>7</v>
      </c>
      <c r="B46" s="11">
        <f>B45/B18</f>
        <v>0.12244897959183673</v>
      </c>
      <c r="C46" s="11">
        <f t="shared" ref="C46:Q46" si="51">C45/C18</f>
        <v>-6.945655332752107E-2</v>
      </c>
      <c r="D46" s="11">
        <f t="shared" si="51"/>
        <v>-4.975124378109453E-2</v>
      </c>
      <c r="E46" s="11">
        <f t="shared" si="51"/>
        <v>-7.9370885149963419E-2</v>
      </c>
      <c r="F46" s="11">
        <f t="shared" si="51"/>
        <v>7</v>
      </c>
      <c r="G46" s="11">
        <f>G45/G18</f>
        <v>1.7647058823529411</v>
      </c>
      <c r="H46" s="11">
        <f t="shared" si="51"/>
        <v>-0.1744186046511628</v>
      </c>
      <c r="I46" s="11">
        <f t="shared" si="51"/>
        <v>-0.17142857142857143</v>
      </c>
      <c r="J46" s="11">
        <f t="shared" si="51"/>
        <v>0.1288056206088993</v>
      </c>
      <c r="K46" s="11">
        <f t="shared" si="51"/>
        <v>0.1095890410958904</v>
      </c>
      <c r="L46" s="11">
        <f t="shared" si="51"/>
        <v>-0.22222222222222221</v>
      </c>
      <c r="M46" s="11">
        <f t="shared" si="51"/>
        <v>-0.13688212927756654</v>
      </c>
      <c r="N46" s="11">
        <f t="shared" si="51"/>
        <v>3.2350142721217889E-2</v>
      </c>
      <c r="O46" s="11">
        <f t="shared" si="51"/>
        <v>-6.2436177972283007E-2</v>
      </c>
      <c r="P46" s="11">
        <f t="shared" si="51"/>
        <v>4.613841524573721E-2</v>
      </c>
      <c r="Q46" s="11">
        <f t="shared" si="51"/>
        <v>-5.946601941747573E-2</v>
      </c>
    </row>
    <row r="48" spans="1:17" x14ac:dyDescent="0.25">
      <c r="A48" s="317" t="s">
        <v>915</v>
      </c>
    </row>
    <row r="49" spans="1:1" x14ac:dyDescent="0.25">
      <c r="A49" t="s">
        <v>916</v>
      </c>
    </row>
    <row r="54" spans="1:1" ht="15" customHeight="1" x14ac:dyDescent="0.25"/>
    <row r="63" spans="1:1" ht="15" customHeight="1" x14ac:dyDescent="0.25"/>
  </sheetData>
  <sheetProtection algorithmName="SHA-512" hashValue="2m3IzrkwAR7LUwT27DgZqSB2C6Ds9VBea9sR/9TwRXsO2xYTeQKhefRXwr6TN0PO0LkQweM0/QHxfdR8oclz1A==" saltValue="liNw1uGeLna+7NL1LVfMbQ==" spinCount="100000" sheet="1" scenarios="1" formatCells="0" sort="0" autoFilter="0" pivotTables="0"/>
  <mergeCells count="20">
    <mergeCell ref="A44:C44"/>
    <mergeCell ref="A40:C40"/>
    <mergeCell ref="B27:C27"/>
    <mergeCell ref="D27:E27"/>
    <mergeCell ref="H27:I27"/>
    <mergeCell ref="N9:O9"/>
    <mergeCell ref="P9:Q9"/>
    <mergeCell ref="A1:E1"/>
    <mergeCell ref="L27:M27"/>
    <mergeCell ref="N27:O27"/>
    <mergeCell ref="P27:Q27"/>
    <mergeCell ref="J27:K27"/>
    <mergeCell ref="A4:Q4"/>
    <mergeCell ref="B9:C9"/>
    <mergeCell ref="D9:E9"/>
    <mergeCell ref="H9:I9"/>
    <mergeCell ref="J9:K9"/>
    <mergeCell ref="L9:M9"/>
    <mergeCell ref="F9:G9"/>
    <mergeCell ref="F27:G27"/>
  </mergeCells>
  <hyperlinks>
    <hyperlink ref="A2" location="'Table of Contents'!A1" display="Back to Table of Contents" xr:uid="{00000000-0004-0000-5000-000000000000}"/>
  </hyperlinks>
  <pageMargins left="0.70866141732283472" right="0.70866141732283472" top="0.74803149606299213" bottom="0.74803149606299213" header="0.31496062992125984" footer="0.31496062992125984"/>
  <pageSetup paperSize="9" scale="83"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9" tint="0.39997558519241921"/>
  </sheetPr>
  <dimension ref="A1:D10"/>
  <sheetViews>
    <sheetView workbookViewId="0">
      <selection activeCell="F22" sqref="F22"/>
    </sheetView>
  </sheetViews>
  <sheetFormatPr defaultRowHeight="15" x14ac:dyDescent="0.25"/>
  <cols>
    <col min="1" max="1" width="12.42578125" bestFit="1" customWidth="1"/>
    <col min="2" max="2" width="13.140625" bestFit="1" customWidth="1"/>
    <col min="3" max="3" width="11.28515625" bestFit="1" customWidth="1"/>
    <col min="4" max="4" width="11.42578125" bestFit="1" customWidth="1"/>
  </cols>
  <sheetData>
    <row r="1" spans="1:4" x14ac:dyDescent="0.25">
      <c r="A1" s="394" t="s">
        <v>1</v>
      </c>
      <c r="B1" t="s">
        <v>1108</v>
      </c>
    </row>
    <row r="3" spans="1:4" x14ac:dyDescent="0.25">
      <c r="A3" s="394" t="s">
        <v>231</v>
      </c>
      <c r="B3" t="s">
        <v>303</v>
      </c>
      <c r="C3" t="s">
        <v>304</v>
      </c>
      <c r="D3" t="s">
        <v>237</v>
      </c>
    </row>
    <row r="4" spans="1:4" x14ac:dyDescent="0.25">
      <c r="A4" s="395" t="s">
        <v>2</v>
      </c>
      <c r="B4">
        <v>142</v>
      </c>
      <c r="C4">
        <v>29</v>
      </c>
      <c r="D4">
        <v>171</v>
      </c>
    </row>
    <row r="5" spans="1:4" x14ac:dyDescent="0.25">
      <c r="A5" s="395" t="s">
        <v>9</v>
      </c>
      <c r="B5">
        <v>191</v>
      </c>
      <c r="C5">
        <v>2517</v>
      </c>
      <c r="D5">
        <v>2708</v>
      </c>
    </row>
    <row r="6" spans="1:4" x14ac:dyDescent="0.25">
      <c r="A6" s="395" t="s">
        <v>761</v>
      </c>
      <c r="B6">
        <v>8</v>
      </c>
      <c r="C6">
        <v>47</v>
      </c>
      <c r="D6">
        <v>55</v>
      </c>
    </row>
    <row r="7" spans="1:4" x14ac:dyDescent="0.25">
      <c r="A7" s="395" t="s">
        <v>3</v>
      </c>
      <c r="B7">
        <v>482</v>
      </c>
      <c r="C7">
        <v>405</v>
      </c>
      <c r="D7">
        <v>887</v>
      </c>
    </row>
    <row r="8" spans="1:4" x14ac:dyDescent="0.25">
      <c r="A8" s="395" t="s">
        <v>299</v>
      </c>
      <c r="B8">
        <v>42</v>
      </c>
      <c r="C8">
        <v>227</v>
      </c>
      <c r="D8">
        <v>269</v>
      </c>
    </row>
    <row r="9" spans="1:4" x14ac:dyDescent="0.25">
      <c r="A9" s="395" t="s">
        <v>300</v>
      </c>
      <c r="B9">
        <v>220</v>
      </c>
      <c r="C9">
        <v>3202</v>
      </c>
      <c r="D9">
        <v>3422</v>
      </c>
    </row>
    <row r="10" spans="1:4" x14ac:dyDescent="0.25">
      <c r="A10" s="395" t="s">
        <v>236</v>
      </c>
      <c r="B10">
        <v>1085</v>
      </c>
      <c r="C10">
        <v>6427</v>
      </c>
      <c r="D10">
        <v>7512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9" tint="0.39997558519241921"/>
  </sheetPr>
  <dimension ref="A1:E62"/>
  <sheetViews>
    <sheetView workbookViewId="0">
      <selection activeCell="D7" sqref="D7"/>
    </sheetView>
  </sheetViews>
  <sheetFormatPr defaultRowHeight="15" x14ac:dyDescent="0.25"/>
  <cols>
    <col min="1" max="1" width="7.42578125" bestFit="1" customWidth="1"/>
    <col min="2" max="2" width="11.140625" bestFit="1" customWidth="1"/>
    <col min="3" max="3" width="7.42578125" bestFit="1" customWidth="1"/>
    <col min="4" max="4" width="9.140625" bestFit="1" customWidth="1"/>
    <col min="5" max="5" width="7.28515625" bestFit="1" customWidth="1"/>
  </cols>
  <sheetData>
    <row r="1" spans="1:5" x14ac:dyDescent="0.25">
      <c r="A1" t="s">
        <v>1</v>
      </c>
      <c r="B1" t="s">
        <v>961</v>
      </c>
      <c r="C1" t="s">
        <v>26</v>
      </c>
      <c r="D1" t="s">
        <v>88</v>
      </c>
      <c r="E1" t="s">
        <v>89</v>
      </c>
    </row>
    <row r="2" spans="1:5" x14ac:dyDescent="0.25">
      <c r="A2" t="s">
        <v>192</v>
      </c>
      <c r="B2" t="s">
        <v>3</v>
      </c>
      <c r="C2">
        <v>961</v>
      </c>
      <c r="D2">
        <v>545</v>
      </c>
      <c r="E2">
        <v>416</v>
      </c>
    </row>
    <row r="3" spans="1:5" x14ac:dyDescent="0.25">
      <c r="A3" t="s">
        <v>191</v>
      </c>
      <c r="B3" t="s">
        <v>2</v>
      </c>
      <c r="C3">
        <v>230</v>
      </c>
      <c r="D3">
        <v>192</v>
      </c>
      <c r="E3">
        <v>38</v>
      </c>
    </row>
    <row r="4" spans="1:5" x14ac:dyDescent="0.25">
      <c r="A4" t="s">
        <v>190</v>
      </c>
      <c r="B4" t="s">
        <v>3</v>
      </c>
      <c r="C4">
        <v>828</v>
      </c>
      <c r="D4">
        <v>463</v>
      </c>
      <c r="E4">
        <v>365</v>
      </c>
    </row>
    <row r="5" spans="1:5" x14ac:dyDescent="0.25">
      <c r="A5" t="s">
        <v>239</v>
      </c>
      <c r="B5" t="s">
        <v>2</v>
      </c>
      <c r="C5">
        <v>207</v>
      </c>
      <c r="D5">
        <v>172</v>
      </c>
      <c r="E5">
        <v>35</v>
      </c>
    </row>
    <row r="6" spans="1:5" x14ac:dyDescent="0.25">
      <c r="A6" t="s">
        <v>760</v>
      </c>
      <c r="B6" t="s">
        <v>299</v>
      </c>
      <c r="C6">
        <v>315</v>
      </c>
      <c r="D6">
        <v>54</v>
      </c>
      <c r="E6">
        <v>261</v>
      </c>
    </row>
    <row r="7" spans="1:5" x14ac:dyDescent="0.25">
      <c r="A7" t="s">
        <v>760</v>
      </c>
      <c r="B7" t="s">
        <v>300</v>
      </c>
      <c r="C7">
        <v>3636</v>
      </c>
      <c r="D7">
        <v>222</v>
      </c>
      <c r="E7">
        <v>3414</v>
      </c>
    </row>
    <row r="8" spans="1:5" x14ac:dyDescent="0.25">
      <c r="A8" t="s">
        <v>917</v>
      </c>
      <c r="B8" t="s">
        <v>761</v>
      </c>
      <c r="C8">
        <v>54</v>
      </c>
      <c r="D8">
        <v>11</v>
      </c>
      <c r="E8">
        <v>43</v>
      </c>
    </row>
    <row r="9" spans="1:5" x14ac:dyDescent="0.25">
      <c r="A9" t="s">
        <v>1061</v>
      </c>
      <c r="B9" t="s">
        <v>9</v>
      </c>
      <c r="C9">
        <v>2735</v>
      </c>
      <c r="D9">
        <v>185</v>
      </c>
      <c r="E9">
        <v>2550</v>
      </c>
    </row>
    <row r="10" spans="1:5" x14ac:dyDescent="0.25">
      <c r="A10" t="s">
        <v>1108</v>
      </c>
      <c r="B10" t="s">
        <v>2</v>
      </c>
      <c r="C10">
        <v>171</v>
      </c>
      <c r="D10">
        <v>142</v>
      </c>
      <c r="E10">
        <v>29</v>
      </c>
    </row>
    <row r="11" spans="1:5" x14ac:dyDescent="0.25">
      <c r="A11" t="s">
        <v>1108</v>
      </c>
      <c r="B11" t="s">
        <v>299</v>
      </c>
      <c r="C11">
        <v>269</v>
      </c>
      <c r="D11">
        <v>42</v>
      </c>
      <c r="E11">
        <v>227</v>
      </c>
    </row>
    <row r="12" spans="1:5" x14ac:dyDescent="0.25">
      <c r="A12" t="s">
        <v>191</v>
      </c>
      <c r="B12" t="s">
        <v>299</v>
      </c>
      <c r="C12">
        <v>378</v>
      </c>
      <c r="D12">
        <v>56</v>
      </c>
      <c r="E12">
        <v>322</v>
      </c>
    </row>
    <row r="13" spans="1:5" x14ac:dyDescent="0.25">
      <c r="A13" t="s">
        <v>760</v>
      </c>
      <c r="B13" t="s">
        <v>9</v>
      </c>
      <c r="C13">
        <v>2937</v>
      </c>
      <c r="D13">
        <v>208</v>
      </c>
      <c r="E13">
        <v>2729</v>
      </c>
    </row>
    <row r="14" spans="1:5" x14ac:dyDescent="0.25">
      <c r="A14" t="s">
        <v>1061</v>
      </c>
      <c r="B14" t="s">
        <v>761</v>
      </c>
      <c r="C14">
        <v>55</v>
      </c>
      <c r="D14">
        <v>9</v>
      </c>
      <c r="E14">
        <v>46</v>
      </c>
    </row>
    <row r="15" spans="1:5" x14ac:dyDescent="0.25">
      <c r="A15" t="s">
        <v>1108</v>
      </c>
      <c r="B15" t="s">
        <v>9</v>
      </c>
      <c r="C15">
        <v>2708</v>
      </c>
      <c r="D15">
        <v>191</v>
      </c>
      <c r="E15">
        <v>2517</v>
      </c>
    </row>
    <row r="16" spans="1:5" x14ac:dyDescent="0.25">
      <c r="A16" t="s">
        <v>1108</v>
      </c>
      <c r="B16" t="s">
        <v>3</v>
      </c>
      <c r="C16">
        <v>887</v>
      </c>
      <c r="D16">
        <v>482</v>
      </c>
      <c r="E16">
        <v>405</v>
      </c>
    </row>
    <row r="17" spans="1:5" x14ac:dyDescent="0.25">
      <c r="A17" t="s">
        <v>192</v>
      </c>
      <c r="B17" t="s">
        <v>300</v>
      </c>
      <c r="C17">
        <v>4001</v>
      </c>
      <c r="D17">
        <v>159</v>
      </c>
      <c r="E17">
        <v>3842</v>
      </c>
    </row>
    <row r="18" spans="1:5" x14ac:dyDescent="0.25">
      <c r="A18" t="s">
        <v>190</v>
      </c>
      <c r="B18" t="s">
        <v>9</v>
      </c>
      <c r="C18">
        <v>2870</v>
      </c>
      <c r="D18">
        <v>163</v>
      </c>
      <c r="E18">
        <v>2707</v>
      </c>
    </row>
    <row r="19" spans="1:5" x14ac:dyDescent="0.25">
      <c r="A19" t="s">
        <v>257</v>
      </c>
      <c r="B19" t="s">
        <v>300</v>
      </c>
      <c r="C19">
        <v>3645</v>
      </c>
      <c r="D19">
        <v>178</v>
      </c>
      <c r="E19">
        <v>3467</v>
      </c>
    </row>
    <row r="20" spans="1:5" x14ac:dyDescent="0.25">
      <c r="A20" t="s">
        <v>239</v>
      </c>
      <c r="B20" t="s">
        <v>9</v>
      </c>
      <c r="C20">
        <v>2935</v>
      </c>
      <c r="D20">
        <v>201</v>
      </c>
      <c r="E20">
        <v>2734</v>
      </c>
    </row>
    <row r="21" spans="1:5" x14ac:dyDescent="0.25">
      <c r="A21" t="s">
        <v>239</v>
      </c>
      <c r="B21" t="s">
        <v>299</v>
      </c>
      <c r="C21">
        <v>317</v>
      </c>
      <c r="D21">
        <v>54</v>
      </c>
      <c r="E21">
        <v>263</v>
      </c>
    </row>
    <row r="22" spans="1:5" x14ac:dyDescent="0.25">
      <c r="A22" t="s">
        <v>917</v>
      </c>
      <c r="B22" t="s">
        <v>3</v>
      </c>
      <c r="C22">
        <v>835</v>
      </c>
      <c r="D22">
        <v>461</v>
      </c>
      <c r="E22">
        <v>374</v>
      </c>
    </row>
    <row r="23" spans="1:5" x14ac:dyDescent="0.25">
      <c r="A23" t="s">
        <v>1010</v>
      </c>
      <c r="B23" t="s">
        <v>2</v>
      </c>
      <c r="C23">
        <v>174</v>
      </c>
      <c r="D23">
        <v>146</v>
      </c>
      <c r="E23">
        <v>28</v>
      </c>
    </row>
    <row r="24" spans="1:5" x14ac:dyDescent="0.25">
      <c r="A24" t="s">
        <v>1010</v>
      </c>
      <c r="B24" t="s">
        <v>761</v>
      </c>
      <c r="C24">
        <v>53</v>
      </c>
      <c r="D24">
        <v>10</v>
      </c>
      <c r="E24">
        <v>43</v>
      </c>
    </row>
    <row r="25" spans="1:5" x14ac:dyDescent="0.25">
      <c r="A25" t="s">
        <v>1010</v>
      </c>
      <c r="B25" t="s">
        <v>3</v>
      </c>
      <c r="C25">
        <v>920</v>
      </c>
      <c r="D25">
        <v>501</v>
      </c>
      <c r="E25">
        <v>419</v>
      </c>
    </row>
    <row r="26" spans="1:5" x14ac:dyDescent="0.25">
      <c r="A26" t="s">
        <v>1061</v>
      </c>
      <c r="B26" t="s">
        <v>2</v>
      </c>
      <c r="C26">
        <v>172</v>
      </c>
      <c r="D26">
        <v>144</v>
      </c>
      <c r="E26">
        <v>28</v>
      </c>
    </row>
    <row r="27" spans="1:5" x14ac:dyDescent="0.25">
      <c r="A27" t="s">
        <v>190</v>
      </c>
      <c r="B27" t="s">
        <v>299</v>
      </c>
      <c r="C27">
        <v>342</v>
      </c>
      <c r="D27">
        <v>56</v>
      </c>
      <c r="E27">
        <v>286</v>
      </c>
    </row>
    <row r="28" spans="1:5" x14ac:dyDescent="0.25">
      <c r="A28" t="s">
        <v>240</v>
      </c>
      <c r="B28" t="s">
        <v>3</v>
      </c>
      <c r="C28">
        <v>846</v>
      </c>
      <c r="D28">
        <v>476</v>
      </c>
      <c r="E28">
        <v>370</v>
      </c>
    </row>
    <row r="29" spans="1:5" x14ac:dyDescent="0.25">
      <c r="A29" t="s">
        <v>239</v>
      </c>
      <c r="B29" t="s">
        <v>3</v>
      </c>
      <c r="C29">
        <v>792</v>
      </c>
      <c r="D29">
        <v>427</v>
      </c>
      <c r="E29">
        <v>365</v>
      </c>
    </row>
    <row r="30" spans="1:5" x14ac:dyDescent="0.25">
      <c r="A30" t="s">
        <v>760</v>
      </c>
      <c r="B30" t="s">
        <v>3</v>
      </c>
      <c r="C30">
        <v>817</v>
      </c>
      <c r="D30">
        <v>447</v>
      </c>
      <c r="E30">
        <v>370</v>
      </c>
    </row>
    <row r="31" spans="1:5" x14ac:dyDescent="0.25">
      <c r="A31" t="s">
        <v>917</v>
      </c>
      <c r="B31" t="s">
        <v>9</v>
      </c>
      <c r="C31">
        <v>2872</v>
      </c>
      <c r="D31">
        <v>197</v>
      </c>
      <c r="E31">
        <v>2675</v>
      </c>
    </row>
    <row r="32" spans="1:5" x14ac:dyDescent="0.25">
      <c r="A32" t="s">
        <v>917</v>
      </c>
      <c r="B32" t="s">
        <v>299</v>
      </c>
      <c r="C32">
        <v>303</v>
      </c>
      <c r="D32">
        <v>52</v>
      </c>
      <c r="E32">
        <v>251</v>
      </c>
    </row>
    <row r="33" spans="1:5" x14ac:dyDescent="0.25">
      <c r="A33" t="s">
        <v>1010</v>
      </c>
      <c r="B33" t="s">
        <v>299</v>
      </c>
      <c r="C33">
        <v>277</v>
      </c>
      <c r="D33">
        <v>46</v>
      </c>
      <c r="E33">
        <v>231</v>
      </c>
    </row>
    <row r="34" spans="1:5" x14ac:dyDescent="0.25">
      <c r="A34" t="s">
        <v>1108</v>
      </c>
      <c r="B34" t="s">
        <v>300</v>
      </c>
      <c r="C34">
        <v>3422</v>
      </c>
      <c r="D34">
        <v>220</v>
      </c>
      <c r="E34">
        <v>3202</v>
      </c>
    </row>
    <row r="35" spans="1:5" x14ac:dyDescent="0.25">
      <c r="A35" t="s">
        <v>191</v>
      </c>
      <c r="B35" t="s">
        <v>3</v>
      </c>
      <c r="C35">
        <v>867</v>
      </c>
      <c r="D35">
        <v>480</v>
      </c>
      <c r="E35">
        <v>387</v>
      </c>
    </row>
    <row r="36" spans="1:5" x14ac:dyDescent="0.25">
      <c r="A36" t="s">
        <v>190</v>
      </c>
      <c r="B36" t="s">
        <v>2</v>
      </c>
      <c r="C36">
        <v>203</v>
      </c>
      <c r="D36">
        <v>171</v>
      </c>
      <c r="E36">
        <v>32</v>
      </c>
    </row>
    <row r="37" spans="1:5" x14ac:dyDescent="0.25">
      <c r="A37" t="s">
        <v>257</v>
      </c>
      <c r="B37" t="s">
        <v>2</v>
      </c>
      <c r="C37">
        <v>165</v>
      </c>
      <c r="D37">
        <v>139</v>
      </c>
      <c r="E37">
        <v>26</v>
      </c>
    </row>
    <row r="38" spans="1:5" x14ac:dyDescent="0.25">
      <c r="A38" t="s">
        <v>240</v>
      </c>
      <c r="B38" t="s">
        <v>300</v>
      </c>
      <c r="C38">
        <v>3546</v>
      </c>
      <c r="D38">
        <v>175</v>
      </c>
      <c r="E38">
        <v>3371</v>
      </c>
    </row>
    <row r="39" spans="1:5" x14ac:dyDescent="0.25">
      <c r="A39" t="s">
        <v>917</v>
      </c>
      <c r="B39" t="s">
        <v>2</v>
      </c>
      <c r="C39">
        <v>182</v>
      </c>
      <c r="D39">
        <v>151</v>
      </c>
      <c r="E39">
        <v>31</v>
      </c>
    </row>
    <row r="40" spans="1:5" x14ac:dyDescent="0.25">
      <c r="A40" t="s">
        <v>917</v>
      </c>
      <c r="B40" t="s">
        <v>300</v>
      </c>
      <c r="C40">
        <v>3581</v>
      </c>
      <c r="D40">
        <v>219</v>
      </c>
      <c r="E40">
        <v>3362</v>
      </c>
    </row>
    <row r="41" spans="1:5" x14ac:dyDescent="0.25">
      <c r="A41" t="s">
        <v>1061</v>
      </c>
      <c r="B41" t="s">
        <v>3</v>
      </c>
      <c r="C41">
        <v>901</v>
      </c>
      <c r="D41">
        <v>484</v>
      </c>
      <c r="E41">
        <v>417</v>
      </c>
    </row>
    <row r="42" spans="1:5" x14ac:dyDescent="0.25">
      <c r="A42" t="s">
        <v>1061</v>
      </c>
      <c r="B42" t="s">
        <v>299</v>
      </c>
      <c r="C42">
        <v>266</v>
      </c>
      <c r="D42">
        <v>40</v>
      </c>
      <c r="E42">
        <v>226</v>
      </c>
    </row>
    <row r="43" spans="1:5" x14ac:dyDescent="0.25">
      <c r="A43" t="s">
        <v>192</v>
      </c>
      <c r="B43" t="s">
        <v>2</v>
      </c>
      <c r="C43">
        <v>223</v>
      </c>
      <c r="D43">
        <v>199</v>
      </c>
      <c r="E43">
        <v>24</v>
      </c>
    </row>
    <row r="44" spans="1:5" x14ac:dyDescent="0.25">
      <c r="A44" t="s">
        <v>191</v>
      </c>
      <c r="B44" t="s">
        <v>9</v>
      </c>
      <c r="C44">
        <v>2950</v>
      </c>
      <c r="D44">
        <v>172</v>
      </c>
      <c r="E44">
        <v>2778</v>
      </c>
    </row>
    <row r="45" spans="1:5" x14ac:dyDescent="0.25">
      <c r="A45" t="s">
        <v>190</v>
      </c>
      <c r="B45" t="s">
        <v>300</v>
      </c>
      <c r="C45">
        <v>3690</v>
      </c>
      <c r="D45">
        <v>167</v>
      </c>
      <c r="E45">
        <v>3523</v>
      </c>
    </row>
    <row r="46" spans="1:5" x14ac:dyDescent="0.25">
      <c r="A46" t="s">
        <v>760</v>
      </c>
      <c r="B46" t="s">
        <v>2</v>
      </c>
      <c r="C46">
        <v>188</v>
      </c>
      <c r="D46">
        <v>156</v>
      </c>
      <c r="E46">
        <v>32</v>
      </c>
    </row>
    <row r="47" spans="1:5" x14ac:dyDescent="0.25">
      <c r="A47" t="s">
        <v>760</v>
      </c>
      <c r="B47" t="s">
        <v>761</v>
      </c>
      <c r="C47">
        <v>36</v>
      </c>
      <c r="D47">
        <v>7</v>
      </c>
      <c r="E47">
        <v>29</v>
      </c>
    </row>
    <row r="48" spans="1:5" x14ac:dyDescent="0.25">
      <c r="A48" t="s">
        <v>192</v>
      </c>
      <c r="B48" t="s">
        <v>9</v>
      </c>
      <c r="C48">
        <v>2940</v>
      </c>
      <c r="D48">
        <v>178</v>
      </c>
      <c r="E48">
        <v>2762</v>
      </c>
    </row>
    <row r="49" spans="1:5" x14ac:dyDescent="0.25">
      <c r="A49" t="s">
        <v>257</v>
      </c>
      <c r="B49" t="s">
        <v>299</v>
      </c>
      <c r="C49">
        <v>316</v>
      </c>
      <c r="D49">
        <v>48</v>
      </c>
      <c r="E49">
        <v>268</v>
      </c>
    </row>
    <row r="50" spans="1:5" x14ac:dyDescent="0.25">
      <c r="A50" t="s">
        <v>240</v>
      </c>
      <c r="B50" t="s">
        <v>2</v>
      </c>
      <c r="C50">
        <v>189</v>
      </c>
      <c r="D50">
        <v>158</v>
      </c>
      <c r="E50">
        <v>31</v>
      </c>
    </row>
    <row r="51" spans="1:5" x14ac:dyDescent="0.25">
      <c r="A51" t="s">
        <v>240</v>
      </c>
      <c r="B51" t="s">
        <v>9</v>
      </c>
      <c r="C51">
        <v>2863</v>
      </c>
      <c r="D51">
        <v>171</v>
      </c>
      <c r="E51">
        <v>2692</v>
      </c>
    </row>
    <row r="52" spans="1:5" x14ac:dyDescent="0.25">
      <c r="A52" t="s">
        <v>240</v>
      </c>
      <c r="B52" t="s">
        <v>299</v>
      </c>
      <c r="C52">
        <v>332</v>
      </c>
      <c r="D52">
        <v>55</v>
      </c>
      <c r="E52">
        <v>277</v>
      </c>
    </row>
    <row r="53" spans="1:5" x14ac:dyDescent="0.25">
      <c r="A53" t="s">
        <v>239</v>
      </c>
      <c r="B53" t="s">
        <v>761</v>
      </c>
      <c r="C53">
        <v>18</v>
      </c>
      <c r="D53">
        <v>1</v>
      </c>
      <c r="E53">
        <v>17</v>
      </c>
    </row>
    <row r="54" spans="1:5" x14ac:dyDescent="0.25">
      <c r="A54" t="s">
        <v>1010</v>
      </c>
      <c r="B54" t="s">
        <v>9</v>
      </c>
      <c r="C54">
        <v>2758</v>
      </c>
      <c r="D54">
        <v>191</v>
      </c>
      <c r="E54">
        <v>2567</v>
      </c>
    </row>
    <row r="55" spans="1:5" x14ac:dyDescent="0.25">
      <c r="A55" t="s">
        <v>1108</v>
      </c>
      <c r="B55" t="s">
        <v>761</v>
      </c>
      <c r="C55">
        <v>55</v>
      </c>
      <c r="D55">
        <v>8</v>
      </c>
      <c r="E55">
        <v>47</v>
      </c>
    </row>
    <row r="56" spans="1:5" x14ac:dyDescent="0.25">
      <c r="A56" t="s">
        <v>192</v>
      </c>
      <c r="B56" t="s">
        <v>299</v>
      </c>
      <c r="C56">
        <v>359</v>
      </c>
      <c r="D56">
        <v>52</v>
      </c>
      <c r="E56">
        <v>307</v>
      </c>
    </row>
    <row r="57" spans="1:5" x14ac:dyDescent="0.25">
      <c r="A57" t="s">
        <v>191</v>
      </c>
      <c r="B57" t="s">
        <v>300</v>
      </c>
      <c r="C57">
        <v>3856</v>
      </c>
      <c r="D57">
        <v>164</v>
      </c>
      <c r="E57">
        <v>3692</v>
      </c>
    </row>
    <row r="58" spans="1:5" x14ac:dyDescent="0.25">
      <c r="A58" t="s">
        <v>257</v>
      </c>
      <c r="B58" t="s">
        <v>9</v>
      </c>
      <c r="C58">
        <v>2870</v>
      </c>
      <c r="D58">
        <v>158</v>
      </c>
      <c r="E58">
        <v>2712</v>
      </c>
    </row>
    <row r="59" spans="1:5" x14ac:dyDescent="0.25">
      <c r="A59" t="s">
        <v>257</v>
      </c>
      <c r="B59" t="s">
        <v>3</v>
      </c>
      <c r="C59">
        <v>838</v>
      </c>
      <c r="D59">
        <v>466</v>
      </c>
      <c r="E59">
        <v>372</v>
      </c>
    </row>
    <row r="60" spans="1:5" x14ac:dyDescent="0.25">
      <c r="A60" t="s">
        <v>239</v>
      </c>
      <c r="B60" t="s">
        <v>300</v>
      </c>
      <c r="C60">
        <v>3637</v>
      </c>
      <c r="D60">
        <v>196</v>
      </c>
      <c r="E60">
        <v>3441</v>
      </c>
    </row>
    <row r="61" spans="1:5" x14ac:dyDescent="0.25">
      <c r="A61" t="s">
        <v>1010</v>
      </c>
      <c r="B61" t="s">
        <v>300</v>
      </c>
      <c r="C61">
        <v>3530</v>
      </c>
      <c r="D61">
        <v>225</v>
      </c>
      <c r="E61">
        <v>3305</v>
      </c>
    </row>
    <row r="62" spans="1:5" x14ac:dyDescent="0.25">
      <c r="A62" t="s">
        <v>1061</v>
      </c>
      <c r="B62" t="s">
        <v>300</v>
      </c>
      <c r="C62">
        <v>3490</v>
      </c>
      <c r="D62">
        <v>227</v>
      </c>
      <c r="E62">
        <v>3263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tabColor theme="4" tint="0.59999389629810485"/>
    <pageSetUpPr fitToPage="1"/>
  </sheetPr>
  <dimension ref="A1:I44"/>
  <sheetViews>
    <sheetView showGridLines="0" zoomScaleNormal="100" zoomScaleSheetLayoutView="100" workbookViewId="0">
      <pane ySplit="2" topLeftCell="A3" activePane="bottomLeft" state="frozen"/>
      <selection pane="bottomLeft" sqref="A1:C1"/>
    </sheetView>
  </sheetViews>
  <sheetFormatPr defaultRowHeight="15" x14ac:dyDescent="0.25"/>
  <cols>
    <col min="1" max="1" width="17.7109375" customWidth="1"/>
    <col min="2" max="2" width="21.5703125" bestFit="1" customWidth="1"/>
    <col min="3" max="3" width="19.140625" bestFit="1" customWidth="1"/>
    <col min="4" max="4" width="24" bestFit="1" customWidth="1"/>
    <col min="5" max="5" width="17.85546875" customWidth="1"/>
    <col min="6" max="6" width="15.7109375" customWidth="1"/>
    <col min="7" max="7" width="11.7109375" customWidth="1"/>
    <col min="8" max="8" width="7.5703125" bestFit="1" customWidth="1"/>
    <col min="9" max="9" width="21.5703125" bestFit="1" customWidth="1"/>
    <col min="10" max="10" width="19.140625" bestFit="1" customWidth="1"/>
    <col min="11" max="11" width="24" bestFit="1" customWidth="1"/>
    <col min="12" max="12" width="9.5703125" bestFit="1" customWidth="1"/>
    <col min="13" max="13" width="9.85546875" bestFit="1" customWidth="1"/>
    <col min="14" max="14" width="5.5703125" bestFit="1" customWidth="1"/>
  </cols>
  <sheetData>
    <row r="1" spans="1:6" ht="15.75" x14ac:dyDescent="0.25">
      <c r="A1" s="993" t="s">
        <v>523</v>
      </c>
      <c r="B1" s="993"/>
      <c r="C1" s="993"/>
    </row>
    <row r="2" spans="1:6" ht="15.75" x14ac:dyDescent="0.25">
      <c r="A2" s="507" t="s">
        <v>511</v>
      </c>
      <c r="B2" s="449"/>
      <c r="C2" s="449"/>
    </row>
    <row r="3" spans="1:6" ht="15.75" x14ac:dyDescent="0.25">
      <c r="D3" s="187"/>
      <c r="E3" s="187"/>
      <c r="F3" s="187"/>
    </row>
    <row r="4" spans="1:6" ht="15.75" customHeight="1" x14ac:dyDescent="0.25">
      <c r="A4" s="994" t="s">
        <v>520</v>
      </c>
      <c r="B4" s="994"/>
      <c r="C4" s="994"/>
      <c r="D4" s="994"/>
      <c r="E4" s="994"/>
      <c r="F4" s="994"/>
    </row>
    <row r="5" spans="1:6" ht="15.75" customHeight="1" x14ac:dyDescent="0.25">
      <c r="A5" t="s">
        <v>328</v>
      </c>
      <c r="B5" t="s">
        <v>636</v>
      </c>
      <c r="C5" s="234"/>
      <c r="D5" s="234"/>
      <c r="E5" s="234"/>
      <c r="F5" s="234"/>
    </row>
    <row r="6" spans="1:6" ht="15.75" customHeight="1" x14ac:dyDescent="0.25">
      <c r="A6" t="s">
        <v>329</v>
      </c>
      <c r="B6" t="s">
        <v>331</v>
      </c>
      <c r="C6" s="234"/>
      <c r="D6" s="234"/>
      <c r="E6" s="234"/>
      <c r="F6" s="234"/>
    </row>
    <row r="7" spans="1:6" ht="15.75" customHeight="1" x14ac:dyDescent="0.25">
      <c r="A7" t="s">
        <v>330</v>
      </c>
      <c r="B7" t="s">
        <v>332</v>
      </c>
      <c r="C7" s="234"/>
      <c r="D7" s="234"/>
      <c r="E7" s="234"/>
      <c r="F7" s="234"/>
    </row>
    <row r="8" spans="1:6" ht="15.75" customHeight="1" x14ac:dyDescent="0.25">
      <c r="A8" s="234"/>
      <c r="B8" s="234"/>
      <c r="C8" s="234"/>
      <c r="D8" s="234"/>
      <c r="E8" s="234"/>
      <c r="F8" s="234"/>
    </row>
    <row r="9" spans="1:6" x14ac:dyDescent="0.25">
      <c r="A9" s="25"/>
      <c r="B9" s="111"/>
      <c r="C9" s="224"/>
      <c r="D9" s="305"/>
      <c r="E9" s="128" t="s">
        <v>6</v>
      </c>
      <c r="F9" s="110"/>
    </row>
    <row r="10" spans="1:6" x14ac:dyDescent="0.25">
      <c r="A10" s="183" t="s">
        <v>1</v>
      </c>
      <c r="B10" s="110" t="s">
        <v>115</v>
      </c>
      <c r="C10" s="110" t="s">
        <v>521</v>
      </c>
      <c r="D10" s="110" t="s">
        <v>28</v>
      </c>
      <c r="E10" s="188" t="s">
        <v>29</v>
      </c>
      <c r="F10" s="397" t="s">
        <v>26</v>
      </c>
    </row>
    <row r="11" spans="1:6" x14ac:dyDescent="0.25">
      <c r="A11" s="176" t="s">
        <v>309</v>
      </c>
      <c r="B11" s="664">
        <v>74</v>
      </c>
      <c r="C11" s="664">
        <v>4</v>
      </c>
      <c r="D11" s="664">
        <v>241</v>
      </c>
      <c r="E11" s="664">
        <v>53</v>
      </c>
      <c r="F11" s="665">
        <v>372</v>
      </c>
    </row>
    <row r="12" spans="1:6" x14ac:dyDescent="0.25">
      <c r="A12" s="176" t="s">
        <v>193</v>
      </c>
      <c r="B12" s="664">
        <v>74</v>
      </c>
      <c r="C12" s="664">
        <v>4</v>
      </c>
      <c r="D12" s="664">
        <v>236</v>
      </c>
      <c r="E12" s="664">
        <v>43</v>
      </c>
      <c r="F12" s="665">
        <v>357</v>
      </c>
    </row>
    <row r="13" spans="1:6" x14ac:dyDescent="0.25">
      <c r="A13" s="176" t="s">
        <v>192</v>
      </c>
      <c r="B13" s="664">
        <v>74</v>
      </c>
      <c r="C13" s="664">
        <v>3</v>
      </c>
      <c r="D13" s="664">
        <v>237</v>
      </c>
      <c r="E13" s="664">
        <v>43</v>
      </c>
      <c r="F13" s="665">
        <v>357</v>
      </c>
    </row>
    <row r="14" spans="1:6" x14ac:dyDescent="0.25">
      <c r="A14" s="176" t="s">
        <v>191</v>
      </c>
      <c r="B14" s="664">
        <v>74</v>
      </c>
      <c r="C14" s="664">
        <v>0</v>
      </c>
      <c r="D14" s="664">
        <v>240</v>
      </c>
      <c r="E14" s="664">
        <v>43</v>
      </c>
      <c r="F14" s="666">
        <v>357</v>
      </c>
    </row>
    <row r="15" spans="1:6" x14ac:dyDescent="0.25">
      <c r="A15" s="176" t="s">
        <v>190</v>
      </c>
      <c r="B15" s="664">
        <v>74</v>
      </c>
      <c r="C15" s="664">
        <v>0</v>
      </c>
      <c r="D15" s="664">
        <v>240</v>
      </c>
      <c r="E15" s="664">
        <v>43</v>
      </c>
      <c r="F15" s="666">
        <v>357</v>
      </c>
    </row>
    <row r="16" spans="1:6" x14ac:dyDescent="0.25">
      <c r="A16" s="176" t="s">
        <v>257</v>
      </c>
      <c r="B16" s="664">
        <v>74</v>
      </c>
      <c r="C16" s="664">
        <v>0</v>
      </c>
      <c r="D16" s="664">
        <v>240</v>
      </c>
      <c r="E16" s="664">
        <v>43</v>
      </c>
      <c r="F16" s="666">
        <v>357</v>
      </c>
    </row>
    <row r="17" spans="1:6" x14ac:dyDescent="0.25">
      <c r="A17" s="176" t="s">
        <v>240</v>
      </c>
      <c r="B17" s="664">
        <v>74</v>
      </c>
      <c r="C17" s="664">
        <v>0</v>
      </c>
      <c r="D17" s="664">
        <v>240</v>
      </c>
      <c r="E17" s="664">
        <v>43</v>
      </c>
      <c r="F17" s="666">
        <v>357</v>
      </c>
    </row>
    <row r="18" spans="1:6" x14ac:dyDescent="0.25">
      <c r="A18" s="176" t="s">
        <v>239</v>
      </c>
      <c r="B18" s="664">
        <v>74</v>
      </c>
      <c r="C18" s="664">
        <v>0</v>
      </c>
      <c r="D18" s="664">
        <v>240</v>
      </c>
      <c r="E18" s="664">
        <v>43</v>
      </c>
      <c r="F18" s="666">
        <v>357</v>
      </c>
    </row>
    <row r="19" spans="1:6" x14ac:dyDescent="0.25">
      <c r="A19" s="176" t="s">
        <v>760</v>
      </c>
      <c r="B19" s="664">
        <v>74</v>
      </c>
      <c r="C19" s="664">
        <v>0</v>
      </c>
      <c r="D19" s="664">
        <v>240</v>
      </c>
      <c r="E19" s="664">
        <v>43</v>
      </c>
      <c r="F19" s="666">
        <v>357</v>
      </c>
    </row>
    <row r="20" spans="1:6" x14ac:dyDescent="0.25">
      <c r="A20" s="176" t="s">
        <v>917</v>
      </c>
      <c r="B20" s="670">
        <v>74</v>
      </c>
      <c r="C20" s="664">
        <v>0</v>
      </c>
      <c r="D20" s="664">
        <v>240</v>
      </c>
      <c r="E20" s="768">
        <v>43</v>
      </c>
      <c r="F20" s="671">
        <v>357</v>
      </c>
    </row>
    <row r="21" spans="1:6" x14ac:dyDescent="0.25">
      <c r="A21" s="176" t="s">
        <v>1010</v>
      </c>
      <c r="B21" s="670">
        <v>74</v>
      </c>
      <c r="C21" s="664">
        <v>0</v>
      </c>
      <c r="D21" s="664">
        <v>240</v>
      </c>
      <c r="E21" s="768">
        <v>43</v>
      </c>
      <c r="F21" s="671">
        <v>357</v>
      </c>
    </row>
    <row r="22" spans="1:6" x14ac:dyDescent="0.25">
      <c r="A22" s="131" t="s">
        <v>1061</v>
      </c>
      <c r="B22" s="670">
        <v>74</v>
      </c>
      <c r="C22" s="664">
        <v>0</v>
      </c>
      <c r="D22" s="664">
        <v>240</v>
      </c>
      <c r="E22" s="768">
        <v>43</v>
      </c>
      <c r="F22" s="671">
        <v>357</v>
      </c>
    </row>
    <row r="23" spans="1:6" ht="15.75" thickBot="1" x14ac:dyDescent="0.3">
      <c r="A23" s="514" t="s">
        <v>1108</v>
      </c>
      <c r="B23" s="667">
        <v>74</v>
      </c>
      <c r="C23" s="668">
        <v>0</v>
      </c>
      <c r="D23" s="668">
        <v>240</v>
      </c>
      <c r="E23" s="668">
        <v>42</v>
      </c>
      <c r="F23" s="669">
        <v>356</v>
      </c>
    </row>
    <row r="24" spans="1:6" x14ac:dyDescent="0.25">
      <c r="A24" s="25"/>
      <c r="B24" s="111"/>
      <c r="C24" s="111"/>
      <c r="D24" s="305"/>
      <c r="E24" s="128"/>
      <c r="F24" s="588"/>
    </row>
    <row r="25" spans="1:6" x14ac:dyDescent="0.25">
      <c r="A25" s="25"/>
      <c r="B25" s="111"/>
      <c r="C25" s="111"/>
      <c r="D25" s="305"/>
      <c r="E25" s="128" t="s">
        <v>7</v>
      </c>
      <c r="F25" s="588"/>
    </row>
    <row r="26" spans="1:6" x14ac:dyDescent="0.25">
      <c r="A26" s="183" t="s">
        <v>1</v>
      </c>
      <c r="B26" s="110" t="s">
        <v>115</v>
      </c>
      <c r="C26" s="110" t="s">
        <v>521</v>
      </c>
      <c r="D26" s="110" t="s">
        <v>28</v>
      </c>
      <c r="E26" s="188" t="s">
        <v>29</v>
      </c>
      <c r="F26" s="397" t="s">
        <v>26</v>
      </c>
    </row>
    <row r="27" spans="1:6" x14ac:dyDescent="0.25">
      <c r="A27" s="176" t="str">
        <f t="shared" ref="A27:A39" si="0">A11</f>
        <v>2011-12</v>
      </c>
      <c r="B27" s="178">
        <f t="shared" ref="B27:E39" si="1">B11/$F11%</f>
        <v>19.892473118279568</v>
      </c>
      <c r="C27" s="178">
        <f t="shared" si="1"/>
        <v>1.075268817204301</v>
      </c>
      <c r="D27" s="178">
        <f t="shared" si="1"/>
        <v>64.784946236559136</v>
      </c>
      <c r="E27" s="178">
        <f t="shared" si="1"/>
        <v>14.247311827956988</v>
      </c>
      <c r="F27" s="407">
        <f t="shared" ref="F27:F33" si="2">SUM(B27:E27)</f>
        <v>100</v>
      </c>
    </row>
    <row r="28" spans="1:6" x14ac:dyDescent="0.25">
      <c r="A28" s="176" t="str">
        <f t="shared" si="0"/>
        <v>2012-13</v>
      </c>
      <c r="B28" s="178">
        <f t="shared" si="1"/>
        <v>20.728291316526612</v>
      </c>
      <c r="C28" s="178">
        <f t="shared" si="1"/>
        <v>1.1204481792717087</v>
      </c>
      <c r="D28" s="178">
        <f t="shared" si="1"/>
        <v>66.106442577030819</v>
      </c>
      <c r="E28" s="178">
        <f t="shared" si="1"/>
        <v>12.044817927170868</v>
      </c>
      <c r="F28" s="407">
        <f t="shared" si="2"/>
        <v>100</v>
      </c>
    </row>
    <row r="29" spans="1:6" x14ac:dyDescent="0.25">
      <c r="A29" s="176" t="str">
        <f t="shared" si="0"/>
        <v>2013-14</v>
      </c>
      <c r="B29" s="178">
        <f t="shared" si="1"/>
        <v>20.728291316526612</v>
      </c>
      <c r="C29" s="178">
        <f t="shared" si="1"/>
        <v>0.84033613445378152</v>
      </c>
      <c r="D29" s="178">
        <f t="shared" si="1"/>
        <v>66.386554621848745</v>
      </c>
      <c r="E29" s="178">
        <f t="shared" si="1"/>
        <v>12.044817927170868</v>
      </c>
      <c r="F29" s="407">
        <f t="shared" si="2"/>
        <v>100</v>
      </c>
    </row>
    <row r="30" spans="1:6" x14ac:dyDescent="0.25">
      <c r="A30" s="176" t="str">
        <f t="shared" si="0"/>
        <v>2014-15</v>
      </c>
      <c r="B30" s="178">
        <f t="shared" si="1"/>
        <v>20.728291316526612</v>
      </c>
      <c r="C30" s="178">
        <f t="shared" si="1"/>
        <v>0</v>
      </c>
      <c r="D30" s="178">
        <f t="shared" si="1"/>
        <v>67.226890756302524</v>
      </c>
      <c r="E30" s="178">
        <f t="shared" si="1"/>
        <v>12.044817927170868</v>
      </c>
      <c r="F30" s="407">
        <f t="shared" si="2"/>
        <v>100</v>
      </c>
    </row>
    <row r="31" spans="1:6" x14ac:dyDescent="0.25">
      <c r="A31" s="176" t="str">
        <f t="shared" si="0"/>
        <v>2015-16</v>
      </c>
      <c r="B31" s="178">
        <f t="shared" si="1"/>
        <v>20.728291316526612</v>
      </c>
      <c r="C31" s="178">
        <f t="shared" si="1"/>
        <v>0</v>
      </c>
      <c r="D31" s="178">
        <f t="shared" si="1"/>
        <v>67.226890756302524</v>
      </c>
      <c r="E31" s="178">
        <f t="shared" si="1"/>
        <v>12.044817927170868</v>
      </c>
      <c r="F31" s="407">
        <f t="shared" si="2"/>
        <v>100</v>
      </c>
    </row>
    <row r="32" spans="1:6" x14ac:dyDescent="0.25">
      <c r="A32" s="176" t="str">
        <f t="shared" si="0"/>
        <v>2016-17</v>
      </c>
      <c r="B32" s="178">
        <f t="shared" si="1"/>
        <v>20.728291316526612</v>
      </c>
      <c r="C32" s="178">
        <f t="shared" si="1"/>
        <v>0</v>
      </c>
      <c r="D32" s="178">
        <f t="shared" si="1"/>
        <v>67.226890756302524</v>
      </c>
      <c r="E32" s="178">
        <f t="shared" si="1"/>
        <v>12.044817927170868</v>
      </c>
      <c r="F32" s="407">
        <f t="shared" si="2"/>
        <v>100</v>
      </c>
    </row>
    <row r="33" spans="1:9" x14ac:dyDescent="0.25">
      <c r="A33" s="176" t="str">
        <f t="shared" si="0"/>
        <v>2017-18</v>
      </c>
      <c r="B33" s="178">
        <f t="shared" si="1"/>
        <v>20.728291316526612</v>
      </c>
      <c r="C33" s="178">
        <f t="shared" si="1"/>
        <v>0</v>
      </c>
      <c r="D33" s="178">
        <f t="shared" si="1"/>
        <v>67.226890756302524</v>
      </c>
      <c r="E33" s="178">
        <f t="shared" si="1"/>
        <v>12.044817927170868</v>
      </c>
      <c r="F33" s="407">
        <f t="shared" si="2"/>
        <v>100</v>
      </c>
    </row>
    <row r="34" spans="1:9" x14ac:dyDescent="0.25">
      <c r="A34" s="176" t="str">
        <f t="shared" si="0"/>
        <v>2018-19</v>
      </c>
      <c r="B34" s="178">
        <f t="shared" si="1"/>
        <v>20.728291316526612</v>
      </c>
      <c r="C34" s="178">
        <f t="shared" si="1"/>
        <v>0</v>
      </c>
      <c r="D34" s="178">
        <f t="shared" si="1"/>
        <v>67.226890756302524</v>
      </c>
      <c r="E34" s="178">
        <f t="shared" si="1"/>
        <v>12.044817927170868</v>
      </c>
      <c r="F34" s="407">
        <f t="shared" ref="F34:F36" si="3">SUM(B34:E34)</f>
        <v>100</v>
      </c>
    </row>
    <row r="35" spans="1:9" x14ac:dyDescent="0.25">
      <c r="A35" s="176" t="str">
        <f t="shared" si="0"/>
        <v>2019-20</v>
      </c>
      <c r="B35" s="178">
        <f t="shared" si="1"/>
        <v>20.728291316526612</v>
      </c>
      <c r="C35" s="178">
        <f t="shared" si="1"/>
        <v>0</v>
      </c>
      <c r="D35" s="178">
        <f t="shared" si="1"/>
        <v>67.226890756302524</v>
      </c>
      <c r="E35" s="178">
        <f t="shared" si="1"/>
        <v>12.044817927170868</v>
      </c>
      <c r="F35" s="407">
        <f t="shared" ref="F35" si="4">SUM(B35:E35)</f>
        <v>100</v>
      </c>
    </row>
    <row r="36" spans="1:9" x14ac:dyDescent="0.25">
      <c r="A36" s="176" t="str">
        <f t="shared" si="0"/>
        <v>2020-21</v>
      </c>
      <c r="B36" s="178">
        <f t="shared" si="1"/>
        <v>20.728291316526612</v>
      </c>
      <c r="C36" s="178">
        <f t="shared" si="1"/>
        <v>0</v>
      </c>
      <c r="D36" s="178">
        <f t="shared" si="1"/>
        <v>67.226890756302524</v>
      </c>
      <c r="E36" s="769">
        <f t="shared" si="1"/>
        <v>12.044817927170868</v>
      </c>
      <c r="F36" s="672">
        <f t="shared" si="3"/>
        <v>100</v>
      </c>
    </row>
    <row r="37" spans="1:9" x14ac:dyDescent="0.25">
      <c r="A37" s="176" t="str">
        <f t="shared" si="0"/>
        <v>2021-22</v>
      </c>
      <c r="B37" s="178">
        <f t="shared" si="1"/>
        <v>20.728291316526612</v>
      </c>
      <c r="C37" s="178">
        <f t="shared" si="1"/>
        <v>0</v>
      </c>
      <c r="D37" s="178">
        <f t="shared" si="1"/>
        <v>67.226890756302524</v>
      </c>
      <c r="E37" s="769">
        <f t="shared" si="1"/>
        <v>12.044817927170868</v>
      </c>
      <c r="F37" s="672">
        <f t="shared" ref="F37" si="5">SUM(B37:E37)</f>
        <v>100</v>
      </c>
    </row>
    <row r="38" spans="1:9" x14ac:dyDescent="0.25">
      <c r="A38" s="176" t="str">
        <f t="shared" si="0"/>
        <v>2022-23</v>
      </c>
      <c r="B38" s="178">
        <f t="shared" si="1"/>
        <v>20.728291316526612</v>
      </c>
      <c r="C38" s="178">
        <f t="shared" si="1"/>
        <v>0</v>
      </c>
      <c r="D38" s="178">
        <f t="shared" si="1"/>
        <v>67.226890756302524</v>
      </c>
      <c r="E38" s="769">
        <f t="shared" si="1"/>
        <v>12.044817927170868</v>
      </c>
      <c r="F38" s="672">
        <f t="shared" ref="F38" si="6">SUM(B38:E38)</f>
        <v>100</v>
      </c>
    </row>
    <row r="39" spans="1:9" ht="15.75" thickBot="1" x14ac:dyDescent="0.3">
      <c r="A39" s="184" t="str">
        <f t="shared" si="0"/>
        <v>2023-24</v>
      </c>
      <c r="B39" s="191">
        <f t="shared" si="1"/>
        <v>20.786516853932582</v>
      </c>
      <c r="C39" s="191">
        <f t="shared" si="1"/>
        <v>0</v>
      </c>
      <c r="D39" s="191">
        <f t="shared" si="1"/>
        <v>67.415730337078656</v>
      </c>
      <c r="E39" s="191">
        <f t="shared" si="1"/>
        <v>11.797752808988763</v>
      </c>
      <c r="F39" s="408">
        <f t="shared" ref="F39" si="7">SUM(B39:E39)</f>
        <v>100</v>
      </c>
    </row>
    <row r="40" spans="1:9" x14ac:dyDescent="0.25">
      <c r="A40" s="176"/>
      <c r="B40" s="178"/>
      <c r="C40" s="178"/>
      <c r="D40" s="178"/>
      <c r="E40" s="178"/>
      <c r="F40" s="672"/>
    </row>
    <row r="41" spans="1:9" x14ac:dyDescent="0.25">
      <c r="A41" s="339" t="s">
        <v>8</v>
      </c>
      <c r="B41" s="344"/>
      <c r="C41" s="344"/>
      <c r="D41" s="344"/>
      <c r="E41" s="344"/>
      <c r="F41" s="344"/>
    </row>
    <row r="42" spans="1:9" ht="30" customHeight="1" x14ac:dyDescent="0.25">
      <c r="A42" s="995" t="s">
        <v>720</v>
      </c>
      <c r="B42" s="995"/>
      <c r="C42" s="995"/>
      <c r="D42" s="995"/>
      <c r="E42" s="995"/>
      <c r="F42" s="995"/>
    </row>
    <row r="43" spans="1:9" ht="30" customHeight="1" x14ac:dyDescent="0.25">
      <c r="A43" s="996" t="s">
        <v>815</v>
      </c>
      <c r="B43" s="996"/>
      <c r="C43" s="996"/>
      <c r="D43" s="996"/>
      <c r="E43" s="996"/>
      <c r="F43" s="996"/>
      <c r="G43" s="996"/>
      <c r="H43" s="996"/>
    </row>
    <row r="44" spans="1:9" x14ac:dyDescent="0.25">
      <c r="B44" s="579"/>
      <c r="C44" s="579"/>
      <c r="D44" s="579"/>
      <c r="E44" s="579"/>
      <c r="F44" s="579"/>
      <c r="G44" s="579"/>
      <c r="H44" s="579"/>
      <c r="I44" s="579"/>
    </row>
  </sheetData>
  <sheetProtection algorithmName="SHA-512" hashValue="SRJaCRXAl2J/3cItRJ8gBpIKN05jjbWgHU9kLTFxubJInA1iJ8NCA8Ef1peBm+rRjCG2T6bH61GFrSzXR8GpvA==" saltValue="6gan+WGf+edX78OjPynkyA==" spinCount="100000" sheet="1" scenarios="1" formatCells="0" sort="0" autoFilter="0" pivotTables="0"/>
  <mergeCells count="4">
    <mergeCell ref="A43:H43"/>
    <mergeCell ref="A4:F4"/>
    <mergeCell ref="A42:F42"/>
    <mergeCell ref="A1:C1"/>
  </mergeCells>
  <phoneticPr fontId="53" type="noConversion"/>
  <hyperlinks>
    <hyperlink ref="A2" location="'Table of Contents'!A1" display="Back to Table of Contents" xr:uid="{00000000-0004-0000-0900-000000000000}"/>
  </hyperlinks>
  <pageMargins left="0.70866141732283472" right="0.70866141732283472" top="0.74803149606299213" bottom="0.74803149606299213" header="0.31496062992125984" footer="0.31496062992125984"/>
  <pageSetup scale="76"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6">
    <tabColor theme="9" tint="0.39997558519241921"/>
    <pageSetUpPr fitToPage="1"/>
  </sheetPr>
  <dimension ref="A1:G19"/>
  <sheetViews>
    <sheetView showGridLines="0" workbookViewId="0">
      <pane ySplit="2" topLeftCell="A7" activePane="bottomLeft" state="frozen"/>
      <selection pane="bottomLeft" sqref="A1:C1"/>
    </sheetView>
  </sheetViews>
  <sheetFormatPr defaultRowHeight="15" x14ac:dyDescent="0.25"/>
  <cols>
    <col min="1" max="1" width="25" customWidth="1"/>
    <col min="2" max="3" width="7.7109375" customWidth="1"/>
    <col min="4" max="4" width="11.42578125" customWidth="1"/>
    <col min="5" max="6" width="7.7109375" customWidth="1"/>
    <col min="7" max="7" width="11.5703125" customWidth="1"/>
  </cols>
  <sheetData>
    <row r="1" spans="1:7" ht="29.45" customHeight="1" x14ac:dyDescent="0.25">
      <c r="A1" s="993" t="s">
        <v>450</v>
      </c>
      <c r="B1" s="993"/>
      <c r="C1" s="993"/>
    </row>
    <row r="2" spans="1:7" x14ac:dyDescent="0.25">
      <c r="A2" s="507" t="s">
        <v>511</v>
      </c>
    </row>
    <row r="3" spans="1:7" x14ac:dyDescent="0.25">
      <c r="A3" s="25"/>
      <c r="B3" s="25"/>
      <c r="C3" s="25"/>
      <c r="D3" s="25"/>
      <c r="E3" s="25"/>
      <c r="F3" s="25"/>
      <c r="G3" s="25"/>
    </row>
    <row r="4" spans="1:7" ht="22.5" customHeight="1" x14ac:dyDescent="0.25">
      <c r="A4" s="1024" t="s">
        <v>1243</v>
      </c>
      <c r="B4" s="1024"/>
      <c r="C4" s="1024"/>
      <c r="D4" s="1024"/>
      <c r="E4" s="1024"/>
      <c r="F4" s="1024"/>
      <c r="G4" s="1024"/>
    </row>
    <row r="5" spans="1:7" ht="15" customHeight="1" x14ac:dyDescent="0.25">
      <c r="A5" t="s">
        <v>328</v>
      </c>
      <c r="B5" t="s">
        <v>679</v>
      </c>
      <c r="C5" s="429"/>
      <c r="D5" s="302"/>
      <c r="E5" s="302"/>
      <c r="F5" s="302"/>
      <c r="G5" s="302"/>
    </row>
    <row r="6" spans="1:7" ht="15" customHeight="1" x14ac:dyDescent="0.25">
      <c r="A6" t="s">
        <v>329</v>
      </c>
      <c r="B6" t="s">
        <v>331</v>
      </c>
      <c r="C6" s="429"/>
      <c r="D6" s="302"/>
      <c r="E6" s="302"/>
      <c r="F6" s="302"/>
      <c r="G6" s="302"/>
    </row>
    <row r="7" spans="1:7" ht="15" customHeight="1" x14ac:dyDescent="0.25">
      <c r="A7" t="s">
        <v>330</v>
      </c>
      <c r="B7" t="s">
        <v>332</v>
      </c>
      <c r="C7" s="429"/>
      <c r="D7" s="302"/>
      <c r="E7" s="302"/>
      <c r="F7" s="302"/>
      <c r="G7" s="302"/>
    </row>
    <row r="8" spans="1:7" x14ac:dyDescent="0.25">
      <c r="A8" s="131"/>
      <c r="B8" s="131"/>
      <c r="C8" s="131"/>
      <c r="D8" s="107" t="s">
        <v>6</v>
      </c>
      <c r="E8" s="25"/>
      <c r="F8" s="25"/>
      <c r="G8" s="144" t="s">
        <v>7</v>
      </c>
    </row>
    <row r="9" spans="1:7" ht="25.5" x14ac:dyDescent="0.25">
      <c r="A9" s="145" t="s">
        <v>463</v>
      </c>
      <c r="B9" s="146" t="s">
        <v>88</v>
      </c>
      <c r="C9" s="146" t="s">
        <v>89</v>
      </c>
      <c r="D9" s="146" t="s">
        <v>26</v>
      </c>
      <c r="E9" s="491" t="s">
        <v>88</v>
      </c>
      <c r="F9" s="146" t="s">
        <v>89</v>
      </c>
      <c r="G9" s="146" t="s">
        <v>26</v>
      </c>
    </row>
    <row r="10" spans="1:7" x14ac:dyDescent="0.25">
      <c r="A10" s="118" t="s">
        <v>27</v>
      </c>
      <c r="B10" s="148">
        <f>GETPIVOTDATA("Sum of Female",SexPivot!$A$3,"Type","WT")</f>
        <v>220</v>
      </c>
      <c r="C10" s="148">
        <f>GETPIVOTDATA("Sum of Male",SexPivot!$A$3,"Type","WT")</f>
        <v>3202</v>
      </c>
      <c r="D10" s="149">
        <f t="shared" ref="D10:D15" si="0">B10+C10</f>
        <v>3422</v>
      </c>
      <c r="E10" s="492">
        <f t="shared" ref="E10:E16" si="1">B10/D10</f>
        <v>6.4289888953828173E-2</v>
      </c>
      <c r="F10" s="150">
        <f t="shared" ref="F10:F15" si="2">C10/D10</f>
        <v>0.93571011104617186</v>
      </c>
      <c r="G10" s="150">
        <f>D10/$D$16</f>
        <v>0.4555378061767838</v>
      </c>
    </row>
    <row r="11" spans="1:7" x14ac:dyDescent="0.25">
      <c r="A11" s="318" t="s">
        <v>28</v>
      </c>
      <c r="B11" s="148">
        <f>GETPIVOTDATA("Sum of Female",SexPivot!$A$3,"Type","RDS")</f>
        <v>191</v>
      </c>
      <c r="C11" s="148">
        <f>GETPIVOTDATA("Sum of Male",SexPivot!$A$3,"Type","RDS")</f>
        <v>2517</v>
      </c>
      <c r="D11" s="149">
        <f t="shared" si="0"/>
        <v>2708</v>
      </c>
      <c r="E11" s="492">
        <f t="shared" si="1"/>
        <v>7.0531757754800598E-2</v>
      </c>
      <c r="F11" s="150">
        <f t="shared" si="2"/>
        <v>0.92946824224519942</v>
      </c>
      <c r="G11" s="150">
        <f>D11/$D$16</f>
        <v>0.36048988285410011</v>
      </c>
    </row>
    <row r="12" spans="1:7" x14ac:dyDescent="0.25">
      <c r="A12" s="318" t="s">
        <v>831</v>
      </c>
      <c r="B12" s="148">
        <f>IFERROR(GETPIVOTDATA("Sum of Female",SexPivot!$A$3,"Type","RDS Fulltime"), 0)</f>
        <v>8</v>
      </c>
      <c r="C12" s="148">
        <f>IFERROR(GETPIVOTDATA("Sum of Male",SexPivot!$A$3,"Type","RDS Fulltime"), 0)</f>
        <v>47</v>
      </c>
      <c r="D12" s="149">
        <f t="shared" si="0"/>
        <v>55</v>
      </c>
      <c r="E12" s="492">
        <f>IFERROR(B12/D12,"")</f>
        <v>0.14545454545454545</v>
      </c>
      <c r="F12" s="150">
        <f>IFERROR(C12/D12,"")</f>
        <v>0.8545454545454545</v>
      </c>
      <c r="G12" s="150">
        <f t="shared" ref="G12:G15" si="3">D12/$D$16</f>
        <v>7.3216187433439829E-3</v>
      </c>
    </row>
    <row r="13" spans="1:7" x14ac:dyDescent="0.25">
      <c r="A13" s="318" t="s">
        <v>2</v>
      </c>
      <c r="B13" s="148">
        <f>GETPIVOTDATA("Sum of Female",SexPivot!$A$3,"Type","Control")</f>
        <v>142</v>
      </c>
      <c r="C13" s="148">
        <f>GETPIVOTDATA("Sum of Male",SexPivot!$A$3,"Type","Control")</f>
        <v>29</v>
      </c>
      <c r="D13" s="149">
        <f t="shared" si="0"/>
        <v>171</v>
      </c>
      <c r="E13" s="492">
        <f t="shared" si="1"/>
        <v>0.83040935672514615</v>
      </c>
      <c r="F13" s="150">
        <f t="shared" si="2"/>
        <v>0.16959064327485379</v>
      </c>
      <c r="G13" s="150">
        <f t="shared" si="3"/>
        <v>2.2763578274760384E-2</v>
      </c>
    </row>
    <row r="14" spans="1:7" x14ac:dyDescent="0.25">
      <c r="A14" s="318" t="s">
        <v>3</v>
      </c>
      <c r="B14" s="148">
        <f>GETPIVOTDATA("Sum of Female",SexPivot!$A$3,"Type","Support")</f>
        <v>482</v>
      </c>
      <c r="C14" s="148">
        <f>GETPIVOTDATA("Sum of Male",SexPivot!$A$3,"Type","Support")</f>
        <v>405</v>
      </c>
      <c r="D14" s="149">
        <f t="shared" si="0"/>
        <v>887</v>
      </c>
      <c r="E14" s="492">
        <f t="shared" si="1"/>
        <v>0.54340473506200682</v>
      </c>
      <c r="F14" s="150">
        <f t="shared" si="2"/>
        <v>0.45659526493799324</v>
      </c>
      <c r="G14" s="150">
        <f t="shared" si="3"/>
        <v>0.11807774227902024</v>
      </c>
    </row>
    <row r="15" spans="1:7" x14ac:dyDescent="0.25">
      <c r="A15" s="318" t="s">
        <v>29</v>
      </c>
      <c r="B15" s="148">
        <f>GETPIVOTDATA("Sum of Female",SexPivot!$A$3,"Type","Vol")</f>
        <v>42</v>
      </c>
      <c r="C15" s="148">
        <f>GETPIVOTDATA("Sum of Male",SexPivot!$A$3,"Type","Vol")</f>
        <v>227</v>
      </c>
      <c r="D15" s="149">
        <f t="shared" si="0"/>
        <v>269</v>
      </c>
      <c r="E15" s="492">
        <f t="shared" si="1"/>
        <v>0.15613382899628253</v>
      </c>
      <c r="F15" s="150">
        <f t="shared" si="2"/>
        <v>0.84386617100371752</v>
      </c>
      <c r="G15" s="150">
        <f t="shared" si="3"/>
        <v>3.5809371671991483E-2</v>
      </c>
    </row>
    <row r="16" spans="1:7" ht="15.75" thickBot="1" x14ac:dyDescent="0.3">
      <c r="A16" s="151" t="s">
        <v>97</v>
      </c>
      <c r="B16" s="152">
        <f>SUM(B10:B15)</f>
        <v>1085</v>
      </c>
      <c r="C16" s="152">
        <f>SUM(C10:C15)</f>
        <v>6427</v>
      </c>
      <c r="D16" s="152">
        <f>C16+B16</f>
        <v>7512</v>
      </c>
      <c r="E16" s="738">
        <f t="shared" si="1"/>
        <v>0.14443556975505858</v>
      </c>
      <c r="F16" s="153">
        <f>C16/D16</f>
        <v>0.85556443024494144</v>
      </c>
      <c r="G16" s="153">
        <f t="shared" ref="G16" si="4">D16/$D$16</f>
        <v>1</v>
      </c>
    </row>
    <row r="17" spans="1:7" x14ac:dyDescent="0.25">
      <c r="A17" s="25"/>
      <c r="B17" s="25"/>
      <c r="C17" s="25"/>
      <c r="D17" s="25"/>
      <c r="E17" s="25"/>
      <c r="F17" s="25"/>
      <c r="G17" s="25"/>
    </row>
    <row r="18" spans="1:7" x14ac:dyDescent="0.25">
      <c r="A18" s="318" t="s">
        <v>915</v>
      </c>
      <c r="B18" s="25"/>
      <c r="C18" s="25"/>
      <c r="D18" s="25"/>
      <c r="E18" s="25"/>
      <c r="F18" s="25"/>
      <c r="G18" s="25"/>
    </row>
    <row r="19" spans="1:7" ht="27" customHeight="1" x14ac:dyDescent="0.25">
      <c r="A19" s="992" t="s">
        <v>916</v>
      </c>
      <c r="B19" s="992"/>
      <c r="C19" s="992"/>
      <c r="D19" s="992"/>
      <c r="E19" s="992"/>
      <c r="F19" s="992"/>
      <c r="G19" s="992"/>
    </row>
  </sheetData>
  <sheetProtection algorithmName="SHA-512" hashValue="gNkIZPaVwJDxblFHXo6UzU8BFpvZg3UREoFvD2YVD4LFlKgjs/OBTxUkCehBQlZcLYKd/9dsYE6/57YQG4ihJw==" saltValue="CBkAJTqkuSrmRDqOVEU8GA==" spinCount="100000" sheet="1" scenarios="1" formatCells="0" sort="0" autoFilter="0" pivotTables="0"/>
  <mergeCells count="3">
    <mergeCell ref="A4:G4"/>
    <mergeCell ref="A1:C1"/>
    <mergeCell ref="A19:G19"/>
  </mergeCells>
  <hyperlinks>
    <hyperlink ref="A2" location="'Table of Contents'!A1" display="Back to Table of Contents" xr:uid="{00000000-0004-0000-5300-000000000000}"/>
  </hyperlinks>
  <pageMargins left="0.70866141732283472" right="0.70866141732283472" top="0.74803149606299213" bottom="0.74803149606299213" header="0.31496062992125984" footer="0.31496062992125984"/>
  <pageSetup paperSize="9" scale="90" orientation="portrait" r:id="rId1"/>
  <drawing r:id="rId2"/>
  <extLst>
    <ext xmlns:x14="http://schemas.microsoft.com/office/spreadsheetml/2009/9/main" uri="{A8765BA9-456A-4dab-B4F3-ACF838C121DE}">
      <x14:slicerList>
        <x14:slicer r:id="rId3"/>
      </x14:slicerList>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9" tint="0.39997558519241921"/>
  </sheetPr>
  <dimension ref="A1:D44"/>
  <sheetViews>
    <sheetView workbookViewId="0">
      <selection activeCell="F22" sqref="F22"/>
    </sheetView>
  </sheetViews>
  <sheetFormatPr defaultRowHeight="15" x14ac:dyDescent="0.25"/>
  <cols>
    <col min="1" max="1" width="21.85546875" bestFit="1" customWidth="1"/>
    <col min="2" max="2" width="13.5703125" bestFit="1" customWidth="1"/>
    <col min="3" max="3" width="11.5703125" bestFit="1" customWidth="1"/>
    <col min="4" max="4" width="11.42578125" bestFit="1" customWidth="1"/>
  </cols>
  <sheetData>
    <row r="1" spans="1:4" x14ac:dyDescent="0.25">
      <c r="A1" s="394" t="s">
        <v>1</v>
      </c>
      <c r="B1" t="s">
        <v>1108</v>
      </c>
    </row>
    <row r="3" spans="1:4" x14ac:dyDescent="0.25">
      <c r="A3" s="394" t="s">
        <v>231</v>
      </c>
      <c r="B3" t="s">
        <v>303</v>
      </c>
      <c r="C3" t="s">
        <v>304</v>
      </c>
      <c r="D3" t="s">
        <v>237</v>
      </c>
    </row>
    <row r="4" spans="1:4" x14ac:dyDescent="0.25">
      <c r="A4" s="395" t="s">
        <v>2</v>
      </c>
    </row>
    <row r="5" spans="1:4" x14ac:dyDescent="0.25">
      <c r="A5" s="396" t="s">
        <v>18</v>
      </c>
      <c r="B5">
        <v>1</v>
      </c>
      <c r="C5">
        <v>0</v>
      </c>
      <c r="D5">
        <v>1</v>
      </c>
    </row>
    <row r="6" spans="1:4" x14ac:dyDescent="0.25">
      <c r="A6" s="396" t="s">
        <v>19</v>
      </c>
      <c r="B6">
        <v>4</v>
      </c>
      <c r="C6">
        <v>0</v>
      </c>
      <c r="D6">
        <v>4</v>
      </c>
    </row>
    <row r="7" spans="1:4" x14ac:dyDescent="0.25">
      <c r="A7" s="396" t="s">
        <v>20</v>
      </c>
      <c r="B7">
        <v>8</v>
      </c>
      <c r="C7">
        <v>1</v>
      </c>
      <c r="D7">
        <v>9</v>
      </c>
    </row>
    <row r="8" spans="1:4" x14ac:dyDescent="0.25">
      <c r="A8" s="396" t="s">
        <v>22</v>
      </c>
      <c r="B8">
        <v>21</v>
      </c>
      <c r="C8">
        <v>5</v>
      </c>
      <c r="D8">
        <v>26</v>
      </c>
    </row>
    <row r="9" spans="1:4" x14ac:dyDescent="0.25">
      <c r="A9" s="396" t="s">
        <v>963</v>
      </c>
      <c r="B9">
        <v>35</v>
      </c>
      <c r="C9">
        <v>5</v>
      </c>
      <c r="D9">
        <v>40</v>
      </c>
    </row>
    <row r="10" spans="1:4" x14ac:dyDescent="0.25">
      <c r="A10" s="396" t="s">
        <v>23</v>
      </c>
      <c r="B10">
        <v>73</v>
      </c>
      <c r="C10">
        <v>18</v>
      </c>
      <c r="D10">
        <v>91</v>
      </c>
    </row>
    <row r="11" spans="1:4" x14ac:dyDescent="0.25">
      <c r="A11" s="395" t="s">
        <v>964</v>
      </c>
      <c r="B11">
        <v>142</v>
      </c>
      <c r="C11">
        <v>29</v>
      </c>
      <c r="D11">
        <v>171</v>
      </c>
    </row>
    <row r="12" spans="1:4" x14ac:dyDescent="0.25">
      <c r="A12" s="395" t="s">
        <v>9</v>
      </c>
    </row>
    <row r="13" spans="1:4" x14ac:dyDescent="0.25">
      <c r="A13" s="396" t="s">
        <v>963</v>
      </c>
      <c r="B13">
        <v>12</v>
      </c>
      <c r="C13">
        <v>239</v>
      </c>
      <c r="D13">
        <v>251</v>
      </c>
    </row>
    <row r="14" spans="1:4" x14ac:dyDescent="0.25">
      <c r="A14" s="396" t="s">
        <v>22</v>
      </c>
      <c r="B14">
        <v>28</v>
      </c>
      <c r="C14">
        <v>497</v>
      </c>
      <c r="D14">
        <v>525</v>
      </c>
    </row>
    <row r="15" spans="1:4" x14ac:dyDescent="0.25">
      <c r="A15" s="396" t="s">
        <v>23</v>
      </c>
      <c r="B15">
        <v>151</v>
      </c>
      <c r="C15">
        <v>1781</v>
      </c>
      <c r="D15">
        <v>1932</v>
      </c>
    </row>
    <row r="16" spans="1:4" x14ac:dyDescent="0.25">
      <c r="A16" s="395" t="s">
        <v>965</v>
      </c>
      <c r="B16">
        <v>191</v>
      </c>
      <c r="C16">
        <v>2517</v>
      </c>
      <c r="D16">
        <v>2708</v>
      </c>
    </row>
    <row r="17" spans="1:4" x14ac:dyDescent="0.25">
      <c r="A17" s="395" t="s">
        <v>761</v>
      </c>
    </row>
    <row r="18" spans="1:4" x14ac:dyDescent="0.25">
      <c r="A18" s="396" t="s">
        <v>22</v>
      </c>
      <c r="B18">
        <v>0</v>
      </c>
      <c r="C18">
        <v>2</v>
      </c>
      <c r="D18">
        <v>2</v>
      </c>
    </row>
    <row r="19" spans="1:4" x14ac:dyDescent="0.25">
      <c r="A19" s="396" t="s">
        <v>963</v>
      </c>
      <c r="B19">
        <v>8</v>
      </c>
      <c r="C19">
        <v>45</v>
      </c>
      <c r="D19">
        <v>53</v>
      </c>
    </row>
    <row r="20" spans="1:4" x14ac:dyDescent="0.25">
      <c r="A20" s="395" t="s">
        <v>969</v>
      </c>
      <c r="B20">
        <v>8</v>
      </c>
      <c r="C20">
        <v>47</v>
      </c>
      <c r="D20">
        <v>55</v>
      </c>
    </row>
    <row r="21" spans="1:4" x14ac:dyDescent="0.25">
      <c r="A21" s="395" t="s">
        <v>3</v>
      </c>
    </row>
    <row r="22" spans="1:4" x14ac:dyDescent="0.25">
      <c r="A22" s="396" t="s">
        <v>197</v>
      </c>
      <c r="B22">
        <v>2</v>
      </c>
      <c r="C22">
        <v>1</v>
      </c>
      <c r="D22">
        <v>3</v>
      </c>
    </row>
    <row r="23" spans="1:4" x14ac:dyDescent="0.25">
      <c r="A23" s="396" t="s">
        <v>302</v>
      </c>
      <c r="B23">
        <v>19</v>
      </c>
      <c r="C23">
        <v>41</v>
      </c>
      <c r="D23">
        <v>60</v>
      </c>
    </row>
    <row r="24" spans="1:4" x14ac:dyDescent="0.25">
      <c r="A24" s="396" t="s">
        <v>83</v>
      </c>
      <c r="B24">
        <v>24</v>
      </c>
      <c r="C24">
        <v>11</v>
      </c>
      <c r="D24">
        <v>35</v>
      </c>
    </row>
    <row r="25" spans="1:4" x14ac:dyDescent="0.25">
      <c r="A25" s="396" t="s">
        <v>77</v>
      </c>
      <c r="B25">
        <v>41</v>
      </c>
      <c r="C25">
        <v>46</v>
      </c>
      <c r="D25">
        <v>87</v>
      </c>
    </row>
    <row r="26" spans="1:4" x14ac:dyDescent="0.25">
      <c r="A26" s="396" t="s">
        <v>79</v>
      </c>
      <c r="B26">
        <v>49</v>
      </c>
      <c r="C26">
        <v>41</v>
      </c>
      <c r="D26">
        <v>90</v>
      </c>
    </row>
    <row r="27" spans="1:4" x14ac:dyDescent="0.25">
      <c r="A27" s="396" t="s">
        <v>94</v>
      </c>
      <c r="B27">
        <v>129</v>
      </c>
      <c r="C27">
        <v>13</v>
      </c>
      <c r="D27">
        <v>142</v>
      </c>
    </row>
    <row r="28" spans="1:4" x14ac:dyDescent="0.25">
      <c r="A28" s="396" t="s">
        <v>301</v>
      </c>
      <c r="B28">
        <v>218</v>
      </c>
      <c r="C28">
        <v>252</v>
      </c>
      <c r="D28">
        <v>470</v>
      </c>
    </row>
    <row r="29" spans="1:4" x14ac:dyDescent="0.25">
      <c r="A29" s="395" t="s">
        <v>966</v>
      </c>
      <c r="B29">
        <v>482</v>
      </c>
      <c r="C29">
        <v>405</v>
      </c>
      <c r="D29">
        <v>887</v>
      </c>
    </row>
    <row r="30" spans="1:4" x14ac:dyDescent="0.25">
      <c r="A30" s="395" t="s">
        <v>299</v>
      </c>
    </row>
    <row r="31" spans="1:4" x14ac:dyDescent="0.25">
      <c r="A31" s="396" t="s">
        <v>963</v>
      </c>
      <c r="B31">
        <v>5</v>
      </c>
      <c r="C31">
        <v>30</v>
      </c>
      <c r="D31">
        <v>35</v>
      </c>
    </row>
    <row r="32" spans="1:4" x14ac:dyDescent="0.25">
      <c r="A32" s="396" t="s">
        <v>22</v>
      </c>
      <c r="B32">
        <v>6</v>
      </c>
      <c r="C32">
        <v>35</v>
      </c>
      <c r="D32">
        <v>41</v>
      </c>
    </row>
    <row r="33" spans="1:4" x14ac:dyDescent="0.25">
      <c r="A33" s="396" t="s">
        <v>23</v>
      </c>
      <c r="B33">
        <v>31</v>
      </c>
      <c r="C33">
        <v>162</v>
      </c>
      <c r="D33">
        <v>193</v>
      </c>
    </row>
    <row r="34" spans="1:4" x14ac:dyDescent="0.25">
      <c r="A34" s="395" t="s">
        <v>967</v>
      </c>
      <c r="B34">
        <v>42</v>
      </c>
      <c r="C34">
        <v>227</v>
      </c>
      <c r="D34">
        <v>269</v>
      </c>
    </row>
    <row r="35" spans="1:4" x14ac:dyDescent="0.25">
      <c r="A35" s="395" t="s">
        <v>300</v>
      </c>
    </row>
    <row r="36" spans="1:4" x14ac:dyDescent="0.25">
      <c r="A36" s="396" t="s">
        <v>196</v>
      </c>
      <c r="B36">
        <v>0</v>
      </c>
      <c r="C36">
        <v>5</v>
      </c>
      <c r="D36">
        <v>5</v>
      </c>
    </row>
    <row r="37" spans="1:4" x14ac:dyDescent="0.25">
      <c r="A37" s="396" t="s">
        <v>18</v>
      </c>
      <c r="B37">
        <v>1</v>
      </c>
      <c r="C37">
        <v>30</v>
      </c>
      <c r="D37">
        <v>31</v>
      </c>
    </row>
    <row r="38" spans="1:4" x14ac:dyDescent="0.25">
      <c r="A38" s="396" t="s">
        <v>19</v>
      </c>
      <c r="B38">
        <v>2</v>
      </c>
      <c r="C38">
        <v>69</v>
      </c>
      <c r="D38">
        <v>71</v>
      </c>
    </row>
    <row r="39" spans="1:4" x14ac:dyDescent="0.25">
      <c r="A39" s="396" t="s">
        <v>20</v>
      </c>
      <c r="B39">
        <v>9</v>
      </c>
      <c r="C39">
        <v>147</v>
      </c>
      <c r="D39">
        <v>156</v>
      </c>
    </row>
    <row r="40" spans="1:4" x14ac:dyDescent="0.25">
      <c r="A40" s="396" t="s">
        <v>963</v>
      </c>
      <c r="B40">
        <v>31</v>
      </c>
      <c r="C40">
        <v>576</v>
      </c>
      <c r="D40">
        <v>607</v>
      </c>
    </row>
    <row r="41" spans="1:4" x14ac:dyDescent="0.25">
      <c r="A41" s="396" t="s">
        <v>22</v>
      </c>
      <c r="B41">
        <v>39</v>
      </c>
      <c r="C41">
        <v>601</v>
      </c>
      <c r="D41">
        <v>640</v>
      </c>
    </row>
    <row r="42" spans="1:4" x14ac:dyDescent="0.25">
      <c r="A42" s="396" t="s">
        <v>23</v>
      </c>
      <c r="B42">
        <v>138</v>
      </c>
      <c r="C42">
        <v>1774</v>
      </c>
      <c r="D42">
        <v>1912</v>
      </c>
    </row>
    <row r="43" spans="1:4" x14ac:dyDescent="0.25">
      <c r="A43" s="395" t="s">
        <v>968</v>
      </c>
      <c r="B43">
        <v>220</v>
      </c>
      <c r="C43">
        <v>3202</v>
      </c>
      <c r="D43">
        <v>3422</v>
      </c>
    </row>
    <row r="44" spans="1:4" x14ac:dyDescent="0.25">
      <c r="A44" s="395" t="s">
        <v>236</v>
      </c>
      <c r="B44">
        <v>1085</v>
      </c>
      <c r="C44">
        <v>6427</v>
      </c>
      <c r="D44">
        <v>7512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9" tint="0.39997558519241921"/>
  </sheetPr>
  <dimension ref="A1:F290"/>
  <sheetViews>
    <sheetView topLeftCell="A2" workbookViewId="0">
      <selection activeCell="J23" sqref="J23"/>
    </sheetView>
  </sheetViews>
  <sheetFormatPr defaultRowHeight="15" x14ac:dyDescent="0.25"/>
  <cols>
    <col min="1" max="1" width="7.42578125" bestFit="1" customWidth="1"/>
    <col min="2" max="2" width="11.7109375" bestFit="1" customWidth="1"/>
    <col min="3" max="3" width="17.5703125" bestFit="1" customWidth="1"/>
    <col min="4" max="4" width="7.42578125" bestFit="1" customWidth="1"/>
    <col min="5" max="5" width="9.5703125" bestFit="1" customWidth="1"/>
    <col min="6" max="6" width="7.5703125" bestFit="1" customWidth="1"/>
  </cols>
  <sheetData>
    <row r="1" spans="1:6" x14ac:dyDescent="0.25">
      <c r="A1" t="s">
        <v>1</v>
      </c>
      <c r="B1" t="s">
        <v>961</v>
      </c>
      <c r="C1" t="s">
        <v>962</v>
      </c>
      <c r="D1" t="s">
        <v>26</v>
      </c>
      <c r="E1" t="s">
        <v>88</v>
      </c>
      <c r="F1" t="s">
        <v>89</v>
      </c>
    </row>
    <row r="2" spans="1:6" x14ac:dyDescent="0.25">
      <c r="A2" t="s">
        <v>192</v>
      </c>
      <c r="B2" t="s">
        <v>9</v>
      </c>
      <c r="C2" t="s">
        <v>22</v>
      </c>
      <c r="D2">
        <v>535</v>
      </c>
      <c r="E2">
        <v>19</v>
      </c>
      <c r="F2">
        <v>516</v>
      </c>
    </row>
    <row r="3" spans="1:6" x14ac:dyDescent="0.25">
      <c r="A3" t="s">
        <v>192</v>
      </c>
      <c r="B3" t="s">
        <v>9</v>
      </c>
      <c r="C3" t="s">
        <v>23</v>
      </c>
      <c r="D3">
        <v>2127</v>
      </c>
      <c r="E3">
        <v>149</v>
      </c>
      <c r="F3">
        <v>1978</v>
      </c>
    </row>
    <row r="4" spans="1:6" x14ac:dyDescent="0.25">
      <c r="A4" t="s">
        <v>192</v>
      </c>
      <c r="B4" t="s">
        <v>3</v>
      </c>
      <c r="C4" t="s">
        <v>79</v>
      </c>
      <c r="D4">
        <v>45</v>
      </c>
      <c r="E4">
        <v>28</v>
      </c>
      <c r="F4">
        <v>17</v>
      </c>
    </row>
    <row r="5" spans="1:6" x14ac:dyDescent="0.25">
      <c r="A5" t="s">
        <v>192</v>
      </c>
      <c r="B5" t="s">
        <v>3</v>
      </c>
      <c r="C5" t="s">
        <v>83</v>
      </c>
      <c r="D5">
        <v>20</v>
      </c>
      <c r="E5">
        <v>7</v>
      </c>
      <c r="F5">
        <v>13</v>
      </c>
    </row>
    <row r="6" spans="1:6" x14ac:dyDescent="0.25">
      <c r="A6" t="s">
        <v>192</v>
      </c>
      <c r="B6" t="s">
        <v>299</v>
      </c>
      <c r="C6" t="s">
        <v>963</v>
      </c>
      <c r="D6">
        <v>9</v>
      </c>
      <c r="E6">
        <v>0</v>
      </c>
      <c r="F6">
        <v>9</v>
      </c>
    </row>
    <row r="7" spans="1:6" x14ac:dyDescent="0.25">
      <c r="A7" t="s">
        <v>191</v>
      </c>
      <c r="B7" t="s">
        <v>2</v>
      </c>
      <c r="C7" t="s">
        <v>19</v>
      </c>
      <c r="D7">
        <v>5</v>
      </c>
      <c r="E7">
        <v>4</v>
      </c>
      <c r="F7">
        <v>1</v>
      </c>
    </row>
    <row r="8" spans="1:6" x14ac:dyDescent="0.25">
      <c r="A8" t="s">
        <v>191</v>
      </c>
      <c r="B8" t="s">
        <v>300</v>
      </c>
      <c r="C8" t="s">
        <v>18</v>
      </c>
      <c r="D8">
        <v>33</v>
      </c>
      <c r="E8">
        <v>0</v>
      </c>
      <c r="F8">
        <v>33</v>
      </c>
    </row>
    <row r="9" spans="1:6" x14ac:dyDescent="0.25">
      <c r="A9" t="s">
        <v>190</v>
      </c>
      <c r="B9" t="s">
        <v>299</v>
      </c>
      <c r="C9" t="s">
        <v>22</v>
      </c>
      <c r="D9">
        <v>46</v>
      </c>
      <c r="E9">
        <v>6</v>
      </c>
      <c r="F9">
        <v>40</v>
      </c>
    </row>
    <row r="10" spans="1:6" x14ac:dyDescent="0.25">
      <c r="A10" t="s">
        <v>190</v>
      </c>
      <c r="B10" t="s">
        <v>299</v>
      </c>
      <c r="C10" t="s">
        <v>23</v>
      </c>
      <c r="D10">
        <v>260</v>
      </c>
      <c r="E10">
        <v>48</v>
      </c>
      <c r="F10">
        <v>212</v>
      </c>
    </row>
    <row r="11" spans="1:6" x14ac:dyDescent="0.25">
      <c r="A11" t="s">
        <v>190</v>
      </c>
      <c r="B11" t="s">
        <v>300</v>
      </c>
      <c r="C11" t="s">
        <v>23</v>
      </c>
      <c r="D11">
        <v>2258</v>
      </c>
      <c r="E11">
        <v>113</v>
      </c>
      <c r="F11">
        <v>2145</v>
      </c>
    </row>
    <row r="12" spans="1:6" x14ac:dyDescent="0.25">
      <c r="A12" t="s">
        <v>190</v>
      </c>
      <c r="B12" t="s">
        <v>300</v>
      </c>
      <c r="C12" t="s">
        <v>19</v>
      </c>
      <c r="D12">
        <v>90</v>
      </c>
      <c r="E12">
        <v>3</v>
      </c>
      <c r="F12">
        <v>87</v>
      </c>
    </row>
    <row r="13" spans="1:6" x14ac:dyDescent="0.25">
      <c r="A13" t="s">
        <v>257</v>
      </c>
      <c r="B13" t="s">
        <v>300</v>
      </c>
      <c r="C13" t="s">
        <v>18</v>
      </c>
      <c r="D13">
        <v>34</v>
      </c>
      <c r="E13">
        <v>0</v>
      </c>
      <c r="F13">
        <v>34</v>
      </c>
    </row>
    <row r="14" spans="1:6" x14ac:dyDescent="0.25">
      <c r="A14" t="s">
        <v>257</v>
      </c>
      <c r="B14" t="s">
        <v>300</v>
      </c>
      <c r="C14" t="s">
        <v>22</v>
      </c>
      <c r="D14">
        <v>635</v>
      </c>
      <c r="E14">
        <v>29</v>
      </c>
      <c r="F14">
        <v>606</v>
      </c>
    </row>
    <row r="15" spans="1:6" x14ac:dyDescent="0.25">
      <c r="A15" t="s">
        <v>257</v>
      </c>
      <c r="B15" t="s">
        <v>300</v>
      </c>
      <c r="C15" t="s">
        <v>23</v>
      </c>
      <c r="D15">
        <v>2161</v>
      </c>
      <c r="E15">
        <v>122</v>
      </c>
      <c r="F15">
        <v>2039</v>
      </c>
    </row>
    <row r="16" spans="1:6" x14ac:dyDescent="0.25">
      <c r="A16" t="s">
        <v>257</v>
      </c>
      <c r="B16" t="s">
        <v>300</v>
      </c>
      <c r="C16" t="s">
        <v>21</v>
      </c>
      <c r="D16">
        <v>590</v>
      </c>
      <c r="E16">
        <v>23</v>
      </c>
      <c r="F16">
        <v>567</v>
      </c>
    </row>
    <row r="17" spans="1:6" x14ac:dyDescent="0.25">
      <c r="A17" t="s">
        <v>240</v>
      </c>
      <c r="B17" t="s">
        <v>3</v>
      </c>
      <c r="C17" t="s">
        <v>301</v>
      </c>
      <c r="D17">
        <v>366</v>
      </c>
      <c r="E17">
        <v>139</v>
      </c>
      <c r="F17">
        <v>227</v>
      </c>
    </row>
    <row r="18" spans="1:6" x14ac:dyDescent="0.25">
      <c r="A18" t="s">
        <v>240</v>
      </c>
      <c r="B18" t="s">
        <v>3</v>
      </c>
      <c r="C18" t="s">
        <v>302</v>
      </c>
      <c r="D18">
        <v>153</v>
      </c>
      <c r="E18">
        <v>88</v>
      </c>
      <c r="F18">
        <v>65</v>
      </c>
    </row>
    <row r="19" spans="1:6" x14ac:dyDescent="0.25">
      <c r="A19" t="s">
        <v>239</v>
      </c>
      <c r="B19" t="s">
        <v>2</v>
      </c>
      <c r="C19" t="s">
        <v>19</v>
      </c>
      <c r="D19">
        <v>4</v>
      </c>
      <c r="E19">
        <v>3</v>
      </c>
      <c r="F19">
        <v>1</v>
      </c>
    </row>
    <row r="20" spans="1:6" x14ac:dyDescent="0.25">
      <c r="A20" t="s">
        <v>917</v>
      </c>
      <c r="B20" t="s">
        <v>9</v>
      </c>
      <c r="C20" t="s">
        <v>23</v>
      </c>
      <c r="D20">
        <v>2083</v>
      </c>
      <c r="E20">
        <v>167</v>
      </c>
      <c r="F20">
        <v>1916</v>
      </c>
    </row>
    <row r="21" spans="1:6" x14ac:dyDescent="0.25">
      <c r="A21" t="s">
        <v>1010</v>
      </c>
      <c r="B21" t="s">
        <v>2</v>
      </c>
      <c r="C21" t="s">
        <v>20</v>
      </c>
      <c r="D21">
        <v>10</v>
      </c>
      <c r="E21">
        <v>9</v>
      </c>
      <c r="F21">
        <v>1</v>
      </c>
    </row>
    <row r="22" spans="1:6" x14ac:dyDescent="0.25">
      <c r="A22" t="s">
        <v>1010</v>
      </c>
      <c r="B22" t="s">
        <v>761</v>
      </c>
      <c r="C22" t="s">
        <v>21</v>
      </c>
      <c r="D22">
        <v>53</v>
      </c>
      <c r="E22">
        <v>10</v>
      </c>
      <c r="F22">
        <v>43</v>
      </c>
    </row>
    <row r="23" spans="1:6" x14ac:dyDescent="0.25">
      <c r="A23" t="s">
        <v>1010</v>
      </c>
      <c r="B23" t="s">
        <v>299</v>
      </c>
      <c r="C23" t="s">
        <v>23</v>
      </c>
      <c r="D23">
        <v>201</v>
      </c>
      <c r="E23">
        <v>38</v>
      </c>
      <c r="F23">
        <v>163</v>
      </c>
    </row>
    <row r="24" spans="1:6" x14ac:dyDescent="0.25">
      <c r="A24" t="s">
        <v>1010</v>
      </c>
      <c r="B24" t="s">
        <v>300</v>
      </c>
      <c r="C24" t="s">
        <v>196</v>
      </c>
      <c r="D24">
        <v>5</v>
      </c>
      <c r="E24">
        <v>0</v>
      </c>
      <c r="F24">
        <v>5</v>
      </c>
    </row>
    <row r="25" spans="1:6" x14ac:dyDescent="0.25">
      <c r="A25" t="s">
        <v>1061</v>
      </c>
      <c r="B25" t="s">
        <v>3</v>
      </c>
      <c r="C25" t="s">
        <v>83</v>
      </c>
      <c r="D25">
        <v>36</v>
      </c>
      <c r="E25">
        <v>24</v>
      </c>
      <c r="F25">
        <v>12</v>
      </c>
    </row>
    <row r="26" spans="1:6" x14ac:dyDescent="0.25">
      <c r="A26" t="s">
        <v>1108</v>
      </c>
      <c r="B26" t="s">
        <v>3</v>
      </c>
      <c r="C26" t="s">
        <v>94</v>
      </c>
      <c r="D26">
        <v>142</v>
      </c>
      <c r="E26">
        <v>129</v>
      </c>
      <c r="F26">
        <v>13</v>
      </c>
    </row>
    <row r="27" spans="1:6" x14ac:dyDescent="0.25">
      <c r="A27" t="s">
        <v>1108</v>
      </c>
      <c r="B27" t="s">
        <v>3</v>
      </c>
      <c r="C27" t="s">
        <v>77</v>
      </c>
      <c r="D27">
        <v>87</v>
      </c>
      <c r="E27">
        <v>41</v>
      </c>
      <c r="F27">
        <v>46</v>
      </c>
    </row>
    <row r="28" spans="1:6" x14ac:dyDescent="0.25">
      <c r="A28" t="s">
        <v>1108</v>
      </c>
      <c r="B28" t="s">
        <v>300</v>
      </c>
      <c r="C28" t="s">
        <v>18</v>
      </c>
      <c r="D28">
        <v>31</v>
      </c>
      <c r="E28">
        <v>1</v>
      </c>
      <c r="F28">
        <v>30</v>
      </c>
    </row>
    <row r="29" spans="1:6" x14ac:dyDescent="0.25">
      <c r="A29" t="s">
        <v>1108</v>
      </c>
      <c r="B29" t="s">
        <v>300</v>
      </c>
      <c r="C29" t="s">
        <v>22</v>
      </c>
      <c r="D29">
        <v>640</v>
      </c>
      <c r="E29">
        <v>39</v>
      </c>
      <c r="F29">
        <v>601</v>
      </c>
    </row>
    <row r="30" spans="1:6" x14ac:dyDescent="0.25">
      <c r="A30" t="s">
        <v>1108</v>
      </c>
      <c r="B30" t="s">
        <v>300</v>
      </c>
      <c r="C30" t="s">
        <v>20</v>
      </c>
      <c r="D30">
        <v>156</v>
      </c>
      <c r="E30">
        <v>9</v>
      </c>
      <c r="F30">
        <v>147</v>
      </c>
    </row>
    <row r="31" spans="1:6" x14ac:dyDescent="0.25">
      <c r="A31" t="s">
        <v>192</v>
      </c>
      <c r="B31" t="s">
        <v>2</v>
      </c>
      <c r="C31" t="s">
        <v>19</v>
      </c>
      <c r="D31">
        <v>5</v>
      </c>
      <c r="E31">
        <v>4</v>
      </c>
      <c r="F31">
        <v>1</v>
      </c>
    </row>
    <row r="32" spans="1:6" x14ac:dyDescent="0.25">
      <c r="A32" t="s">
        <v>191</v>
      </c>
      <c r="B32" t="s">
        <v>3</v>
      </c>
      <c r="C32" t="s">
        <v>301</v>
      </c>
      <c r="D32">
        <v>335</v>
      </c>
      <c r="E32">
        <v>99</v>
      </c>
      <c r="F32">
        <v>236</v>
      </c>
    </row>
    <row r="33" spans="1:6" x14ac:dyDescent="0.25">
      <c r="A33" t="s">
        <v>191</v>
      </c>
      <c r="B33" t="s">
        <v>299</v>
      </c>
      <c r="C33" t="s">
        <v>22</v>
      </c>
      <c r="D33">
        <v>44</v>
      </c>
      <c r="E33">
        <v>4</v>
      </c>
      <c r="F33">
        <v>40</v>
      </c>
    </row>
    <row r="34" spans="1:6" x14ac:dyDescent="0.25">
      <c r="A34" t="s">
        <v>190</v>
      </c>
      <c r="B34" t="s">
        <v>3</v>
      </c>
      <c r="C34" t="s">
        <v>301</v>
      </c>
      <c r="D34">
        <v>316</v>
      </c>
      <c r="E34">
        <v>101</v>
      </c>
      <c r="F34">
        <v>215</v>
      </c>
    </row>
    <row r="35" spans="1:6" x14ac:dyDescent="0.25">
      <c r="A35" t="s">
        <v>190</v>
      </c>
      <c r="B35" t="s">
        <v>3</v>
      </c>
      <c r="C35" t="s">
        <v>302</v>
      </c>
      <c r="D35">
        <v>167</v>
      </c>
      <c r="E35">
        <v>94</v>
      </c>
      <c r="F35">
        <v>73</v>
      </c>
    </row>
    <row r="36" spans="1:6" x14ac:dyDescent="0.25">
      <c r="A36" t="s">
        <v>190</v>
      </c>
      <c r="B36" t="s">
        <v>300</v>
      </c>
      <c r="C36" t="s">
        <v>18</v>
      </c>
      <c r="D36">
        <v>35</v>
      </c>
      <c r="E36">
        <v>0</v>
      </c>
      <c r="F36">
        <v>35</v>
      </c>
    </row>
    <row r="37" spans="1:6" x14ac:dyDescent="0.25">
      <c r="A37" t="s">
        <v>257</v>
      </c>
      <c r="B37" t="s">
        <v>3</v>
      </c>
      <c r="C37" t="s">
        <v>94</v>
      </c>
      <c r="D37">
        <v>170</v>
      </c>
      <c r="E37">
        <v>159</v>
      </c>
      <c r="F37">
        <v>11</v>
      </c>
    </row>
    <row r="38" spans="1:6" x14ac:dyDescent="0.25">
      <c r="A38" t="s">
        <v>257</v>
      </c>
      <c r="B38" t="s">
        <v>3</v>
      </c>
      <c r="C38" t="s">
        <v>301</v>
      </c>
      <c r="D38">
        <v>346</v>
      </c>
      <c r="E38">
        <v>113</v>
      </c>
      <c r="F38">
        <v>233</v>
      </c>
    </row>
    <row r="39" spans="1:6" x14ac:dyDescent="0.25">
      <c r="A39" t="s">
        <v>240</v>
      </c>
      <c r="B39" t="s">
        <v>9</v>
      </c>
      <c r="C39" t="s">
        <v>22</v>
      </c>
      <c r="D39">
        <v>525</v>
      </c>
      <c r="E39">
        <v>19</v>
      </c>
      <c r="F39">
        <v>506</v>
      </c>
    </row>
    <row r="40" spans="1:6" x14ac:dyDescent="0.25">
      <c r="A40" t="s">
        <v>240</v>
      </c>
      <c r="B40" t="s">
        <v>300</v>
      </c>
      <c r="C40" t="s">
        <v>23</v>
      </c>
      <c r="D40">
        <v>1989</v>
      </c>
      <c r="E40">
        <v>114</v>
      </c>
      <c r="F40">
        <v>1875</v>
      </c>
    </row>
    <row r="41" spans="1:6" x14ac:dyDescent="0.25">
      <c r="A41" t="s">
        <v>760</v>
      </c>
      <c r="B41" t="s">
        <v>2</v>
      </c>
      <c r="C41" t="s">
        <v>23</v>
      </c>
      <c r="D41">
        <v>104</v>
      </c>
      <c r="E41">
        <v>86</v>
      </c>
      <c r="F41">
        <v>18</v>
      </c>
    </row>
    <row r="42" spans="1:6" x14ac:dyDescent="0.25">
      <c r="A42" t="s">
        <v>760</v>
      </c>
      <c r="B42" t="s">
        <v>761</v>
      </c>
      <c r="C42" t="s">
        <v>21</v>
      </c>
      <c r="D42">
        <v>36</v>
      </c>
      <c r="E42">
        <v>7</v>
      </c>
      <c r="F42">
        <v>29</v>
      </c>
    </row>
    <row r="43" spans="1:6" x14ac:dyDescent="0.25">
      <c r="A43" t="s">
        <v>760</v>
      </c>
      <c r="B43" t="s">
        <v>3</v>
      </c>
      <c r="C43" t="s">
        <v>197</v>
      </c>
      <c r="D43">
        <v>3</v>
      </c>
      <c r="E43">
        <v>2</v>
      </c>
      <c r="F43">
        <v>1</v>
      </c>
    </row>
    <row r="44" spans="1:6" x14ac:dyDescent="0.25">
      <c r="A44" t="s">
        <v>917</v>
      </c>
      <c r="B44" t="s">
        <v>9</v>
      </c>
      <c r="C44" t="s">
        <v>22</v>
      </c>
      <c r="D44">
        <v>522</v>
      </c>
      <c r="E44">
        <v>16</v>
      </c>
      <c r="F44">
        <v>506</v>
      </c>
    </row>
    <row r="45" spans="1:6" x14ac:dyDescent="0.25">
      <c r="A45" t="s">
        <v>917</v>
      </c>
      <c r="B45" t="s">
        <v>299</v>
      </c>
      <c r="C45" t="s">
        <v>22</v>
      </c>
      <c r="D45">
        <v>43</v>
      </c>
      <c r="E45">
        <v>3</v>
      </c>
      <c r="F45">
        <v>40</v>
      </c>
    </row>
    <row r="46" spans="1:6" x14ac:dyDescent="0.25">
      <c r="A46" t="s">
        <v>917</v>
      </c>
      <c r="B46" t="s">
        <v>300</v>
      </c>
      <c r="C46" t="s">
        <v>18</v>
      </c>
      <c r="D46">
        <v>35</v>
      </c>
      <c r="E46">
        <v>0</v>
      </c>
      <c r="F46">
        <v>35</v>
      </c>
    </row>
    <row r="47" spans="1:6" x14ac:dyDescent="0.25">
      <c r="A47" t="s">
        <v>917</v>
      </c>
      <c r="B47" t="s">
        <v>300</v>
      </c>
      <c r="C47" t="s">
        <v>196</v>
      </c>
      <c r="D47">
        <v>5</v>
      </c>
      <c r="E47">
        <v>0</v>
      </c>
      <c r="F47">
        <v>5</v>
      </c>
    </row>
    <row r="48" spans="1:6" x14ac:dyDescent="0.25">
      <c r="A48" t="s">
        <v>1010</v>
      </c>
      <c r="B48" t="s">
        <v>300</v>
      </c>
      <c r="C48" t="s">
        <v>19</v>
      </c>
      <c r="D48">
        <v>76</v>
      </c>
      <c r="E48">
        <v>2</v>
      </c>
      <c r="F48">
        <v>74</v>
      </c>
    </row>
    <row r="49" spans="1:6" x14ac:dyDescent="0.25">
      <c r="A49" t="s">
        <v>1061</v>
      </c>
      <c r="B49" t="s">
        <v>2</v>
      </c>
      <c r="C49" t="s">
        <v>20</v>
      </c>
      <c r="D49">
        <v>10</v>
      </c>
      <c r="E49">
        <v>9</v>
      </c>
      <c r="F49">
        <v>1</v>
      </c>
    </row>
    <row r="50" spans="1:6" x14ac:dyDescent="0.25">
      <c r="A50" t="s">
        <v>1061</v>
      </c>
      <c r="B50" t="s">
        <v>9</v>
      </c>
      <c r="C50" t="s">
        <v>23</v>
      </c>
      <c r="D50">
        <v>1952</v>
      </c>
      <c r="E50">
        <v>147</v>
      </c>
      <c r="F50">
        <v>1805</v>
      </c>
    </row>
    <row r="51" spans="1:6" x14ac:dyDescent="0.25">
      <c r="A51" t="s">
        <v>1061</v>
      </c>
      <c r="B51" t="s">
        <v>9</v>
      </c>
      <c r="C51" t="s">
        <v>21</v>
      </c>
      <c r="D51">
        <v>262</v>
      </c>
      <c r="E51">
        <v>16</v>
      </c>
      <c r="F51">
        <v>246</v>
      </c>
    </row>
    <row r="52" spans="1:6" x14ac:dyDescent="0.25">
      <c r="A52" t="s">
        <v>1061</v>
      </c>
      <c r="B52" t="s">
        <v>761</v>
      </c>
      <c r="C52" t="s">
        <v>22</v>
      </c>
      <c r="D52">
        <v>1</v>
      </c>
      <c r="E52">
        <v>0</v>
      </c>
      <c r="F52">
        <v>1</v>
      </c>
    </row>
    <row r="53" spans="1:6" x14ac:dyDescent="0.25">
      <c r="A53" t="s">
        <v>1061</v>
      </c>
      <c r="B53" t="s">
        <v>299</v>
      </c>
      <c r="C53" t="s">
        <v>22</v>
      </c>
      <c r="D53">
        <v>40</v>
      </c>
      <c r="E53">
        <v>3</v>
      </c>
      <c r="F53">
        <v>37</v>
      </c>
    </row>
    <row r="54" spans="1:6" x14ac:dyDescent="0.25">
      <c r="A54" t="s">
        <v>1061</v>
      </c>
      <c r="B54" t="s">
        <v>300</v>
      </c>
      <c r="C54" t="s">
        <v>22</v>
      </c>
      <c r="D54">
        <v>655</v>
      </c>
      <c r="E54">
        <v>39</v>
      </c>
      <c r="F54">
        <v>616</v>
      </c>
    </row>
    <row r="55" spans="1:6" x14ac:dyDescent="0.25">
      <c r="A55" t="s">
        <v>1061</v>
      </c>
      <c r="B55" t="s">
        <v>300</v>
      </c>
      <c r="C55" t="s">
        <v>19</v>
      </c>
      <c r="D55">
        <v>78</v>
      </c>
      <c r="E55">
        <v>2</v>
      </c>
      <c r="F55">
        <v>76</v>
      </c>
    </row>
    <row r="56" spans="1:6" x14ac:dyDescent="0.25">
      <c r="A56" t="s">
        <v>1061</v>
      </c>
      <c r="B56" t="s">
        <v>300</v>
      </c>
      <c r="C56" t="s">
        <v>20</v>
      </c>
      <c r="D56">
        <v>148</v>
      </c>
      <c r="E56">
        <v>9</v>
      </c>
      <c r="F56">
        <v>139</v>
      </c>
    </row>
    <row r="57" spans="1:6" x14ac:dyDescent="0.25">
      <c r="A57" t="s">
        <v>1108</v>
      </c>
      <c r="B57" t="s">
        <v>2</v>
      </c>
      <c r="C57" t="s">
        <v>23</v>
      </c>
      <c r="D57">
        <v>91</v>
      </c>
      <c r="E57">
        <v>73</v>
      </c>
      <c r="F57">
        <v>18</v>
      </c>
    </row>
    <row r="58" spans="1:6" x14ac:dyDescent="0.25">
      <c r="A58" t="s">
        <v>1108</v>
      </c>
      <c r="B58" t="s">
        <v>9</v>
      </c>
      <c r="C58" t="s">
        <v>21</v>
      </c>
      <c r="D58">
        <v>251</v>
      </c>
      <c r="E58">
        <v>12</v>
      </c>
      <c r="F58">
        <v>239</v>
      </c>
    </row>
    <row r="59" spans="1:6" x14ac:dyDescent="0.25">
      <c r="A59" t="s">
        <v>1108</v>
      </c>
      <c r="B59" t="s">
        <v>3</v>
      </c>
      <c r="C59" t="s">
        <v>301</v>
      </c>
      <c r="D59">
        <v>470</v>
      </c>
      <c r="E59">
        <v>218</v>
      </c>
      <c r="F59">
        <v>252</v>
      </c>
    </row>
    <row r="60" spans="1:6" x14ac:dyDescent="0.25">
      <c r="A60" t="s">
        <v>1108</v>
      </c>
      <c r="B60" t="s">
        <v>3</v>
      </c>
      <c r="C60" t="s">
        <v>302</v>
      </c>
      <c r="D60">
        <v>60</v>
      </c>
      <c r="E60">
        <v>19</v>
      </c>
      <c r="F60">
        <v>41</v>
      </c>
    </row>
    <row r="61" spans="1:6" x14ac:dyDescent="0.25">
      <c r="A61" t="s">
        <v>1108</v>
      </c>
      <c r="B61" t="s">
        <v>299</v>
      </c>
      <c r="C61" t="s">
        <v>23</v>
      </c>
      <c r="D61">
        <v>193</v>
      </c>
      <c r="E61">
        <v>31</v>
      </c>
      <c r="F61">
        <v>162</v>
      </c>
    </row>
    <row r="62" spans="1:6" x14ac:dyDescent="0.25">
      <c r="A62" t="s">
        <v>1108</v>
      </c>
      <c r="B62" t="s">
        <v>299</v>
      </c>
      <c r="C62" t="s">
        <v>21</v>
      </c>
      <c r="D62">
        <v>35</v>
      </c>
      <c r="E62">
        <v>5</v>
      </c>
      <c r="F62">
        <v>30</v>
      </c>
    </row>
    <row r="63" spans="1:6" x14ac:dyDescent="0.25">
      <c r="A63" t="s">
        <v>1108</v>
      </c>
      <c r="B63" t="s">
        <v>300</v>
      </c>
      <c r="C63" t="s">
        <v>196</v>
      </c>
      <c r="D63">
        <v>5</v>
      </c>
      <c r="E63">
        <v>0</v>
      </c>
      <c r="F63">
        <v>5</v>
      </c>
    </row>
    <row r="64" spans="1:6" x14ac:dyDescent="0.25">
      <c r="A64" t="s">
        <v>192</v>
      </c>
      <c r="B64" t="s">
        <v>3</v>
      </c>
      <c r="C64" t="s">
        <v>94</v>
      </c>
      <c r="D64">
        <v>278</v>
      </c>
      <c r="E64">
        <v>248</v>
      </c>
      <c r="F64">
        <v>30</v>
      </c>
    </row>
    <row r="65" spans="1:6" x14ac:dyDescent="0.25">
      <c r="A65" t="s">
        <v>192</v>
      </c>
      <c r="B65" t="s">
        <v>299</v>
      </c>
      <c r="C65" t="s">
        <v>23</v>
      </c>
      <c r="D65">
        <v>277</v>
      </c>
      <c r="E65">
        <v>44</v>
      </c>
      <c r="F65">
        <v>233</v>
      </c>
    </row>
    <row r="66" spans="1:6" x14ac:dyDescent="0.25">
      <c r="A66" t="s">
        <v>192</v>
      </c>
      <c r="B66" t="s">
        <v>300</v>
      </c>
      <c r="C66" t="s">
        <v>18</v>
      </c>
      <c r="D66">
        <v>28</v>
      </c>
      <c r="E66">
        <v>0</v>
      </c>
      <c r="F66">
        <v>28</v>
      </c>
    </row>
    <row r="67" spans="1:6" x14ac:dyDescent="0.25">
      <c r="A67" t="s">
        <v>191</v>
      </c>
      <c r="B67" t="s">
        <v>300</v>
      </c>
      <c r="C67" t="s">
        <v>22</v>
      </c>
      <c r="D67">
        <v>634</v>
      </c>
      <c r="E67">
        <v>24</v>
      </c>
      <c r="F67">
        <v>610</v>
      </c>
    </row>
    <row r="68" spans="1:6" x14ac:dyDescent="0.25">
      <c r="A68" t="s">
        <v>190</v>
      </c>
      <c r="B68" t="s">
        <v>3</v>
      </c>
      <c r="C68" t="s">
        <v>94</v>
      </c>
      <c r="D68">
        <v>194</v>
      </c>
      <c r="E68">
        <v>176</v>
      </c>
      <c r="F68">
        <v>18</v>
      </c>
    </row>
    <row r="69" spans="1:6" x14ac:dyDescent="0.25">
      <c r="A69" t="s">
        <v>190</v>
      </c>
      <c r="B69" t="s">
        <v>3</v>
      </c>
      <c r="C69" t="s">
        <v>197</v>
      </c>
      <c r="D69">
        <v>3</v>
      </c>
      <c r="E69">
        <v>2</v>
      </c>
      <c r="F69">
        <v>1</v>
      </c>
    </row>
    <row r="70" spans="1:6" x14ac:dyDescent="0.25">
      <c r="A70" t="s">
        <v>190</v>
      </c>
      <c r="B70" t="s">
        <v>3</v>
      </c>
      <c r="C70" t="s">
        <v>83</v>
      </c>
      <c r="D70">
        <v>34</v>
      </c>
      <c r="E70">
        <v>18</v>
      </c>
      <c r="F70">
        <v>16</v>
      </c>
    </row>
    <row r="71" spans="1:6" x14ac:dyDescent="0.25">
      <c r="A71" t="s">
        <v>257</v>
      </c>
      <c r="B71" t="s">
        <v>2</v>
      </c>
      <c r="C71" t="s">
        <v>21</v>
      </c>
      <c r="D71">
        <v>41</v>
      </c>
      <c r="E71">
        <v>35</v>
      </c>
      <c r="F71">
        <v>6</v>
      </c>
    </row>
    <row r="72" spans="1:6" x14ac:dyDescent="0.25">
      <c r="A72" t="s">
        <v>257</v>
      </c>
      <c r="B72" t="s">
        <v>3</v>
      </c>
      <c r="C72" t="s">
        <v>302</v>
      </c>
      <c r="D72">
        <v>165</v>
      </c>
      <c r="E72">
        <v>98</v>
      </c>
      <c r="F72">
        <v>67</v>
      </c>
    </row>
    <row r="73" spans="1:6" x14ac:dyDescent="0.25">
      <c r="A73" t="s">
        <v>257</v>
      </c>
      <c r="B73" t="s">
        <v>299</v>
      </c>
      <c r="C73" t="s">
        <v>22</v>
      </c>
      <c r="D73">
        <v>46</v>
      </c>
      <c r="E73">
        <v>4</v>
      </c>
      <c r="F73">
        <v>38</v>
      </c>
    </row>
    <row r="74" spans="1:6" x14ac:dyDescent="0.25">
      <c r="A74" t="s">
        <v>257</v>
      </c>
      <c r="B74" t="s">
        <v>299</v>
      </c>
      <c r="C74" t="s">
        <v>23</v>
      </c>
      <c r="D74">
        <v>260</v>
      </c>
      <c r="E74">
        <v>40</v>
      </c>
      <c r="F74">
        <v>198</v>
      </c>
    </row>
    <row r="75" spans="1:6" x14ac:dyDescent="0.25">
      <c r="A75" t="s">
        <v>240</v>
      </c>
      <c r="B75" t="s">
        <v>2</v>
      </c>
      <c r="C75" t="s">
        <v>22</v>
      </c>
      <c r="D75">
        <v>27</v>
      </c>
      <c r="E75">
        <v>23</v>
      </c>
      <c r="F75">
        <v>4</v>
      </c>
    </row>
    <row r="76" spans="1:6" x14ac:dyDescent="0.25">
      <c r="A76" t="s">
        <v>240</v>
      </c>
      <c r="B76" t="s">
        <v>3</v>
      </c>
      <c r="C76" t="s">
        <v>197</v>
      </c>
      <c r="D76">
        <v>2</v>
      </c>
      <c r="E76">
        <v>1</v>
      </c>
      <c r="F76">
        <v>1</v>
      </c>
    </row>
    <row r="77" spans="1:6" x14ac:dyDescent="0.25">
      <c r="A77" t="s">
        <v>240</v>
      </c>
      <c r="B77" t="s">
        <v>3</v>
      </c>
      <c r="C77" t="s">
        <v>77</v>
      </c>
      <c r="D77">
        <v>50</v>
      </c>
      <c r="E77">
        <v>17</v>
      </c>
      <c r="F77">
        <v>33</v>
      </c>
    </row>
    <row r="78" spans="1:6" x14ac:dyDescent="0.25">
      <c r="A78" t="s">
        <v>240</v>
      </c>
      <c r="B78" t="s">
        <v>299</v>
      </c>
      <c r="C78" t="s">
        <v>22</v>
      </c>
      <c r="D78">
        <v>39</v>
      </c>
      <c r="E78">
        <v>3</v>
      </c>
      <c r="F78">
        <v>36</v>
      </c>
    </row>
    <row r="79" spans="1:6" x14ac:dyDescent="0.25">
      <c r="A79" t="s">
        <v>239</v>
      </c>
      <c r="B79" t="s">
        <v>9</v>
      </c>
      <c r="C79" t="s">
        <v>21</v>
      </c>
      <c r="D79">
        <v>261</v>
      </c>
      <c r="E79">
        <v>13</v>
      </c>
      <c r="F79">
        <v>248</v>
      </c>
    </row>
    <row r="80" spans="1:6" x14ac:dyDescent="0.25">
      <c r="A80" t="s">
        <v>239</v>
      </c>
      <c r="B80" t="s">
        <v>3</v>
      </c>
      <c r="C80" t="s">
        <v>197</v>
      </c>
      <c r="D80">
        <v>3</v>
      </c>
      <c r="E80">
        <v>2</v>
      </c>
      <c r="F80">
        <v>1</v>
      </c>
    </row>
    <row r="81" spans="1:6" x14ac:dyDescent="0.25">
      <c r="A81" t="s">
        <v>239</v>
      </c>
      <c r="B81" t="s">
        <v>300</v>
      </c>
      <c r="C81" t="s">
        <v>21</v>
      </c>
      <c r="D81">
        <v>611</v>
      </c>
      <c r="E81">
        <v>33</v>
      </c>
      <c r="F81">
        <v>578</v>
      </c>
    </row>
    <row r="82" spans="1:6" x14ac:dyDescent="0.25">
      <c r="A82" t="s">
        <v>760</v>
      </c>
      <c r="B82" t="s">
        <v>2</v>
      </c>
      <c r="C82" t="s">
        <v>18</v>
      </c>
      <c r="D82">
        <v>1</v>
      </c>
      <c r="E82">
        <v>1</v>
      </c>
      <c r="F82">
        <v>0</v>
      </c>
    </row>
    <row r="83" spans="1:6" x14ac:dyDescent="0.25">
      <c r="A83" t="s">
        <v>760</v>
      </c>
      <c r="B83" t="s">
        <v>299</v>
      </c>
      <c r="C83" t="s">
        <v>23</v>
      </c>
      <c r="D83">
        <v>237</v>
      </c>
      <c r="E83">
        <v>48</v>
      </c>
      <c r="F83">
        <v>189</v>
      </c>
    </row>
    <row r="84" spans="1:6" x14ac:dyDescent="0.25">
      <c r="A84" t="s">
        <v>917</v>
      </c>
      <c r="B84" t="s">
        <v>2</v>
      </c>
      <c r="C84" t="s">
        <v>20</v>
      </c>
      <c r="D84">
        <v>10</v>
      </c>
      <c r="E84">
        <v>9</v>
      </c>
      <c r="F84">
        <v>1</v>
      </c>
    </row>
    <row r="85" spans="1:6" x14ac:dyDescent="0.25">
      <c r="A85" t="s">
        <v>917</v>
      </c>
      <c r="B85" t="s">
        <v>2</v>
      </c>
      <c r="C85" t="s">
        <v>21</v>
      </c>
      <c r="D85">
        <v>41</v>
      </c>
      <c r="E85">
        <v>35</v>
      </c>
      <c r="F85">
        <v>6</v>
      </c>
    </row>
    <row r="86" spans="1:6" x14ac:dyDescent="0.25">
      <c r="A86" t="s">
        <v>917</v>
      </c>
      <c r="B86" t="s">
        <v>3</v>
      </c>
      <c r="C86" t="s">
        <v>302</v>
      </c>
      <c r="D86">
        <v>61</v>
      </c>
      <c r="E86">
        <v>23</v>
      </c>
      <c r="F86">
        <v>38</v>
      </c>
    </row>
    <row r="87" spans="1:6" x14ac:dyDescent="0.25">
      <c r="A87" t="s">
        <v>1010</v>
      </c>
      <c r="B87" t="s">
        <v>2</v>
      </c>
      <c r="C87" t="s">
        <v>21</v>
      </c>
      <c r="D87">
        <v>42</v>
      </c>
      <c r="E87">
        <v>37</v>
      </c>
      <c r="F87">
        <v>5</v>
      </c>
    </row>
    <row r="88" spans="1:6" x14ac:dyDescent="0.25">
      <c r="A88" t="s">
        <v>1010</v>
      </c>
      <c r="B88" t="s">
        <v>3</v>
      </c>
      <c r="C88" t="s">
        <v>302</v>
      </c>
      <c r="D88">
        <v>60</v>
      </c>
      <c r="E88">
        <v>20</v>
      </c>
      <c r="F88">
        <v>40</v>
      </c>
    </row>
    <row r="89" spans="1:6" x14ac:dyDescent="0.25">
      <c r="A89" t="s">
        <v>1010</v>
      </c>
      <c r="B89" t="s">
        <v>299</v>
      </c>
      <c r="C89" t="s">
        <v>22</v>
      </c>
      <c r="D89">
        <v>40</v>
      </c>
      <c r="E89">
        <v>2</v>
      </c>
      <c r="F89">
        <v>38</v>
      </c>
    </row>
    <row r="90" spans="1:6" x14ac:dyDescent="0.25">
      <c r="A90" t="s">
        <v>1061</v>
      </c>
      <c r="B90" t="s">
        <v>2</v>
      </c>
      <c r="C90" t="s">
        <v>22</v>
      </c>
      <c r="D90">
        <v>29</v>
      </c>
      <c r="E90">
        <v>25</v>
      </c>
      <c r="F90">
        <v>4</v>
      </c>
    </row>
    <row r="91" spans="1:6" x14ac:dyDescent="0.25">
      <c r="A91" t="s">
        <v>1061</v>
      </c>
      <c r="B91" t="s">
        <v>2</v>
      </c>
      <c r="C91" t="s">
        <v>19</v>
      </c>
      <c r="D91">
        <v>4</v>
      </c>
      <c r="E91">
        <v>3</v>
      </c>
      <c r="F91">
        <v>1</v>
      </c>
    </row>
    <row r="92" spans="1:6" x14ac:dyDescent="0.25">
      <c r="A92" t="s">
        <v>1061</v>
      </c>
      <c r="B92" t="s">
        <v>3</v>
      </c>
      <c r="C92" t="s">
        <v>94</v>
      </c>
      <c r="D92">
        <v>159</v>
      </c>
      <c r="E92">
        <v>143</v>
      </c>
      <c r="F92">
        <v>16</v>
      </c>
    </row>
    <row r="93" spans="1:6" x14ac:dyDescent="0.25">
      <c r="A93" t="s">
        <v>1061</v>
      </c>
      <c r="B93" t="s">
        <v>3</v>
      </c>
      <c r="C93" t="s">
        <v>77</v>
      </c>
      <c r="D93">
        <v>81</v>
      </c>
      <c r="E93">
        <v>37</v>
      </c>
      <c r="F93">
        <v>44</v>
      </c>
    </row>
    <row r="94" spans="1:6" x14ac:dyDescent="0.25">
      <c r="A94" t="s">
        <v>1108</v>
      </c>
      <c r="B94" t="s">
        <v>2</v>
      </c>
      <c r="C94" t="s">
        <v>22</v>
      </c>
      <c r="D94">
        <v>26</v>
      </c>
      <c r="E94">
        <v>21</v>
      </c>
      <c r="F94">
        <v>5</v>
      </c>
    </row>
    <row r="95" spans="1:6" x14ac:dyDescent="0.25">
      <c r="A95" t="s">
        <v>1108</v>
      </c>
      <c r="B95" t="s">
        <v>2</v>
      </c>
      <c r="C95" t="s">
        <v>20</v>
      </c>
      <c r="D95">
        <v>9</v>
      </c>
      <c r="E95">
        <v>8</v>
      </c>
      <c r="F95">
        <v>1</v>
      </c>
    </row>
    <row r="96" spans="1:6" x14ac:dyDescent="0.25">
      <c r="A96" t="s">
        <v>1108</v>
      </c>
      <c r="B96" t="s">
        <v>9</v>
      </c>
      <c r="C96" t="s">
        <v>22</v>
      </c>
      <c r="D96">
        <v>525</v>
      </c>
      <c r="E96">
        <v>28</v>
      </c>
      <c r="F96">
        <v>497</v>
      </c>
    </row>
    <row r="97" spans="1:6" x14ac:dyDescent="0.25">
      <c r="A97" t="s">
        <v>192</v>
      </c>
      <c r="B97" t="s">
        <v>9</v>
      </c>
      <c r="C97" t="s">
        <v>21</v>
      </c>
      <c r="D97">
        <v>278</v>
      </c>
      <c r="E97">
        <v>10</v>
      </c>
      <c r="F97">
        <v>268</v>
      </c>
    </row>
    <row r="98" spans="1:6" x14ac:dyDescent="0.25">
      <c r="A98" t="s">
        <v>192</v>
      </c>
      <c r="B98" t="s">
        <v>300</v>
      </c>
      <c r="C98" t="s">
        <v>196</v>
      </c>
      <c r="D98">
        <v>9</v>
      </c>
      <c r="E98">
        <v>0</v>
      </c>
      <c r="F98">
        <v>9</v>
      </c>
    </row>
    <row r="99" spans="1:6" x14ac:dyDescent="0.25">
      <c r="A99" t="s">
        <v>192</v>
      </c>
      <c r="B99" t="s">
        <v>300</v>
      </c>
      <c r="C99" t="s">
        <v>23</v>
      </c>
      <c r="D99">
        <v>2374</v>
      </c>
      <c r="E99">
        <v>106</v>
      </c>
      <c r="F99">
        <v>2268</v>
      </c>
    </row>
    <row r="100" spans="1:6" x14ac:dyDescent="0.25">
      <c r="A100" t="s">
        <v>191</v>
      </c>
      <c r="B100" t="s">
        <v>2</v>
      </c>
      <c r="C100" t="s">
        <v>22</v>
      </c>
      <c r="D100">
        <v>52</v>
      </c>
      <c r="E100">
        <v>44</v>
      </c>
      <c r="F100">
        <v>8</v>
      </c>
    </row>
    <row r="101" spans="1:6" x14ac:dyDescent="0.25">
      <c r="A101" t="s">
        <v>191</v>
      </c>
      <c r="B101" t="s">
        <v>9</v>
      </c>
      <c r="C101" t="s">
        <v>23</v>
      </c>
      <c r="D101">
        <v>2124</v>
      </c>
      <c r="E101">
        <v>143</v>
      </c>
      <c r="F101">
        <v>1981</v>
      </c>
    </row>
    <row r="102" spans="1:6" x14ac:dyDescent="0.25">
      <c r="A102" t="s">
        <v>191</v>
      </c>
      <c r="B102" t="s">
        <v>300</v>
      </c>
      <c r="C102" t="s">
        <v>21</v>
      </c>
      <c r="D102">
        <v>664</v>
      </c>
      <c r="E102">
        <v>27</v>
      </c>
      <c r="F102">
        <v>637</v>
      </c>
    </row>
    <row r="103" spans="1:6" x14ac:dyDescent="0.25">
      <c r="A103" t="s">
        <v>190</v>
      </c>
      <c r="B103" t="s">
        <v>2</v>
      </c>
      <c r="C103" t="s">
        <v>22</v>
      </c>
      <c r="D103">
        <v>44</v>
      </c>
      <c r="E103">
        <v>39</v>
      </c>
      <c r="F103">
        <v>5</v>
      </c>
    </row>
    <row r="104" spans="1:6" x14ac:dyDescent="0.25">
      <c r="A104" t="s">
        <v>190</v>
      </c>
      <c r="B104" t="s">
        <v>2</v>
      </c>
      <c r="C104" t="s">
        <v>23</v>
      </c>
      <c r="D104">
        <v>95</v>
      </c>
      <c r="E104">
        <v>77</v>
      </c>
      <c r="F104">
        <v>18</v>
      </c>
    </row>
    <row r="105" spans="1:6" x14ac:dyDescent="0.25">
      <c r="A105" t="s">
        <v>190</v>
      </c>
      <c r="B105" t="s">
        <v>2</v>
      </c>
      <c r="C105" t="s">
        <v>20</v>
      </c>
      <c r="D105">
        <v>7</v>
      </c>
      <c r="E105">
        <v>7</v>
      </c>
      <c r="F105">
        <v>0</v>
      </c>
    </row>
    <row r="106" spans="1:6" x14ac:dyDescent="0.25">
      <c r="A106" t="s">
        <v>190</v>
      </c>
      <c r="B106" t="s">
        <v>2</v>
      </c>
      <c r="C106" t="s">
        <v>21</v>
      </c>
      <c r="D106">
        <v>51</v>
      </c>
      <c r="E106">
        <v>44</v>
      </c>
      <c r="F106">
        <v>7</v>
      </c>
    </row>
    <row r="107" spans="1:6" x14ac:dyDescent="0.25">
      <c r="A107" t="s">
        <v>190</v>
      </c>
      <c r="B107" t="s">
        <v>9</v>
      </c>
      <c r="C107" t="s">
        <v>21</v>
      </c>
      <c r="D107">
        <v>262</v>
      </c>
      <c r="E107">
        <v>14</v>
      </c>
      <c r="F107">
        <v>248</v>
      </c>
    </row>
    <row r="108" spans="1:6" x14ac:dyDescent="0.25">
      <c r="A108" t="s">
        <v>190</v>
      </c>
      <c r="B108" t="s">
        <v>299</v>
      </c>
      <c r="C108" t="s">
        <v>963</v>
      </c>
      <c r="D108">
        <v>36</v>
      </c>
      <c r="E108">
        <v>2</v>
      </c>
      <c r="F108">
        <v>34</v>
      </c>
    </row>
    <row r="109" spans="1:6" x14ac:dyDescent="0.25">
      <c r="A109" t="s">
        <v>190</v>
      </c>
      <c r="B109" t="s">
        <v>300</v>
      </c>
      <c r="C109" t="s">
        <v>20</v>
      </c>
      <c r="D109">
        <v>126</v>
      </c>
      <c r="E109">
        <v>2</v>
      </c>
      <c r="F109">
        <v>124</v>
      </c>
    </row>
    <row r="110" spans="1:6" x14ac:dyDescent="0.25">
      <c r="A110" t="s">
        <v>257</v>
      </c>
      <c r="B110" t="s">
        <v>9</v>
      </c>
      <c r="C110" t="s">
        <v>22</v>
      </c>
      <c r="D110">
        <v>549</v>
      </c>
      <c r="E110">
        <v>15</v>
      </c>
      <c r="F110">
        <v>534</v>
      </c>
    </row>
    <row r="111" spans="1:6" x14ac:dyDescent="0.25">
      <c r="A111" t="s">
        <v>257</v>
      </c>
      <c r="B111" t="s">
        <v>300</v>
      </c>
      <c r="C111" t="s">
        <v>19</v>
      </c>
      <c r="D111">
        <v>70</v>
      </c>
      <c r="E111">
        <v>2</v>
      </c>
      <c r="F111">
        <v>68</v>
      </c>
    </row>
    <row r="112" spans="1:6" x14ac:dyDescent="0.25">
      <c r="A112" t="s">
        <v>257</v>
      </c>
      <c r="B112" t="s">
        <v>300</v>
      </c>
      <c r="C112" t="s">
        <v>20</v>
      </c>
      <c r="D112">
        <v>151</v>
      </c>
      <c r="E112">
        <v>2</v>
      </c>
      <c r="F112">
        <v>149</v>
      </c>
    </row>
    <row r="113" spans="1:6" x14ac:dyDescent="0.25">
      <c r="A113" t="s">
        <v>240</v>
      </c>
      <c r="B113" t="s">
        <v>9</v>
      </c>
      <c r="C113" t="s">
        <v>23</v>
      </c>
      <c r="D113">
        <v>2077</v>
      </c>
      <c r="E113">
        <v>138</v>
      </c>
      <c r="F113">
        <v>1939</v>
      </c>
    </row>
    <row r="114" spans="1:6" x14ac:dyDescent="0.25">
      <c r="A114" t="s">
        <v>239</v>
      </c>
      <c r="B114" t="s">
        <v>9</v>
      </c>
      <c r="C114" t="s">
        <v>22</v>
      </c>
      <c r="D114">
        <v>533</v>
      </c>
      <c r="E114">
        <v>20</v>
      </c>
      <c r="F114">
        <v>513</v>
      </c>
    </row>
    <row r="115" spans="1:6" x14ac:dyDescent="0.25">
      <c r="A115" t="s">
        <v>239</v>
      </c>
      <c r="B115" t="s">
        <v>9</v>
      </c>
      <c r="C115" t="s">
        <v>23</v>
      </c>
      <c r="D115">
        <v>2141</v>
      </c>
      <c r="E115">
        <v>168</v>
      </c>
      <c r="F115">
        <v>1973</v>
      </c>
    </row>
    <row r="116" spans="1:6" x14ac:dyDescent="0.25">
      <c r="A116" t="s">
        <v>239</v>
      </c>
      <c r="B116" t="s">
        <v>3</v>
      </c>
      <c r="C116" t="s">
        <v>77</v>
      </c>
      <c r="D116">
        <v>49</v>
      </c>
      <c r="E116">
        <v>15</v>
      </c>
      <c r="F116">
        <v>34</v>
      </c>
    </row>
    <row r="117" spans="1:6" x14ac:dyDescent="0.25">
      <c r="A117" t="s">
        <v>239</v>
      </c>
      <c r="B117" t="s">
        <v>3</v>
      </c>
      <c r="C117" t="s">
        <v>302</v>
      </c>
      <c r="D117">
        <v>64</v>
      </c>
      <c r="E117">
        <v>26</v>
      </c>
      <c r="F117">
        <v>38</v>
      </c>
    </row>
    <row r="118" spans="1:6" x14ac:dyDescent="0.25">
      <c r="A118" t="s">
        <v>239</v>
      </c>
      <c r="B118" t="s">
        <v>300</v>
      </c>
      <c r="C118" t="s">
        <v>22</v>
      </c>
      <c r="D118">
        <v>687</v>
      </c>
      <c r="E118">
        <v>27</v>
      </c>
      <c r="F118">
        <v>660</v>
      </c>
    </row>
    <row r="119" spans="1:6" x14ac:dyDescent="0.25">
      <c r="A119" t="s">
        <v>239</v>
      </c>
      <c r="B119" t="s">
        <v>300</v>
      </c>
      <c r="C119" t="s">
        <v>23</v>
      </c>
      <c r="D119">
        <v>2075</v>
      </c>
      <c r="E119">
        <v>132</v>
      </c>
      <c r="F119">
        <v>1943</v>
      </c>
    </row>
    <row r="120" spans="1:6" x14ac:dyDescent="0.25">
      <c r="A120" t="s">
        <v>760</v>
      </c>
      <c r="B120" t="s">
        <v>2</v>
      </c>
      <c r="C120" t="s">
        <v>22</v>
      </c>
      <c r="D120">
        <v>26</v>
      </c>
      <c r="E120">
        <v>21</v>
      </c>
      <c r="F120">
        <v>5</v>
      </c>
    </row>
    <row r="121" spans="1:6" x14ac:dyDescent="0.25">
      <c r="A121" t="s">
        <v>760</v>
      </c>
      <c r="B121" t="s">
        <v>2</v>
      </c>
      <c r="C121" t="s">
        <v>19</v>
      </c>
      <c r="D121">
        <v>4</v>
      </c>
      <c r="E121">
        <v>3</v>
      </c>
      <c r="F121">
        <v>1</v>
      </c>
    </row>
    <row r="122" spans="1:6" x14ac:dyDescent="0.25">
      <c r="A122" t="s">
        <v>760</v>
      </c>
      <c r="B122" t="s">
        <v>9</v>
      </c>
      <c r="C122" t="s">
        <v>23</v>
      </c>
      <c r="D122">
        <v>2155</v>
      </c>
      <c r="E122">
        <v>175</v>
      </c>
      <c r="F122">
        <v>1980</v>
      </c>
    </row>
    <row r="123" spans="1:6" x14ac:dyDescent="0.25">
      <c r="A123" t="s">
        <v>760</v>
      </c>
      <c r="B123" t="s">
        <v>3</v>
      </c>
      <c r="C123" t="s">
        <v>94</v>
      </c>
      <c r="D123">
        <v>182</v>
      </c>
      <c r="E123">
        <v>172</v>
      </c>
      <c r="F123">
        <v>10</v>
      </c>
    </row>
    <row r="124" spans="1:6" x14ac:dyDescent="0.25">
      <c r="A124" t="s">
        <v>917</v>
      </c>
      <c r="B124" t="s">
        <v>299</v>
      </c>
      <c r="C124" t="s">
        <v>21</v>
      </c>
      <c r="D124">
        <v>37</v>
      </c>
      <c r="E124">
        <v>5</v>
      </c>
      <c r="F124">
        <v>32</v>
      </c>
    </row>
    <row r="125" spans="1:6" x14ac:dyDescent="0.25">
      <c r="A125" t="s">
        <v>1010</v>
      </c>
      <c r="B125" t="s">
        <v>9</v>
      </c>
      <c r="C125" t="s">
        <v>21</v>
      </c>
      <c r="D125">
        <v>265</v>
      </c>
      <c r="E125">
        <v>15</v>
      </c>
      <c r="F125">
        <v>250</v>
      </c>
    </row>
    <row r="126" spans="1:6" x14ac:dyDescent="0.25">
      <c r="A126" t="s">
        <v>1010</v>
      </c>
      <c r="B126" t="s">
        <v>3</v>
      </c>
      <c r="C126" t="s">
        <v>94</v>
      </c>
      <c r="D126">
        <v>193</v>
      </c>
      <c r="E126">
        <v>179</v>
      </c>
      <c r="F126">
        <v>14</v>
      </c>
    </row>
    <row r="127" spans="1:6" x14ac:dyDescent="0.25">
      <c r="A127" t="s">
        <v>1010</v>
      </c>
      <c r="B127" t="s">
        <v>3</v>
      </c>
      <c r="C127" t="s">
        <v>197</v>
      </c>
      <c r="D127">
        <v>4</v>
      </c>
      <c r="E127">
        <v>1</v>
      </c>
      <c r="F127">
        <v>3</v>
      </c>
    </row>
    <row r="128" spans="1:6" x14ac:dyDescent="0.25">
      <c r="A128" t="s">
        <v>1010</v>
      </c>
      <c r="B128" t="s">
        <v>3</v>
      </c>
      <c r="C128" t="s">
        <v>79</v>
      </c>
      <c r="D128">
        <v>104</v>
      </c>
      <c r="E128">
        <v>76</v>
      </c>
      <c r="F128">
        <v>28</v>
      </c>
    </row>
    <row r="129" spans="1:6" x14ac:dyDescent="0.25">
      <c r="A129" t="s">
        <v>1010</v>
      </c>
      <c r="B129" t="s">
        <v>300</v>
      </c>
      <c r="C129" t="s">
        <v>22</v>
      </c>
      <c r="D129">
        <v>660</v>
      </c>
      <c r="E129">
        <v>39</v>
      </c>
      <c r="F129">
        <v>621</v>
      </c>
    </row>
    <row r="130" spans="1:6" x14ac:dyDescent="0.25">
      <c r="A130" t="s">
        <v>1061</v>
      </c>
      <c r="B130" t="s">
        <v>2</v>
      </c>
      <c r="C130" t="s">
        <v>18</v>
      </c>
      <c r="D130">
        <v>1</v>
      </c>
      <c r="E130">
        <v>1</v>
      </c>
      <c r="F130">
        <v>0</v>
      </c>
    </row>
    <row r="131" spans="1:6" x14ac:dyDescent="0.25">
      <c r="A131" t="s">
        <v>1061</v>
      </c>
      <c r="B131" t="s">
        <v>300</v>
      </c>
      <c r="C131" t="s">
        <v>23</v>
      </c>
      <c r="D131">
        <v>1972</v>
      </c>
      <c r="E131">
        <v>145</v>
      </c>
      <c r="F131">
        <v>1827</v>
      </c>
    </row>
    <row r="132" spans="1:6" x14ac:dyDescent="0.25">
      <c r="A132" t="s">
        <v>1061</v>
      </c>
      <c r="B132" t="s">
        <v>300</v>
      </c>
      <c r="C132" t="s">
        <v>21</v>
      </c>
      <c r="D132">
        <v>601</v>
      </c>
      <c r="E132">
        <v>31</v>
      </c>
      <c r="F132">
        <v>570</v>
      </c>
    </row>
    <row r="133" spans="1:6" x14ac:dyDescent="0.25">
      <c r="A133" t="s">
        <v>1108</v>
      </c>
      <c r="B133" t="s">
        <v>3</v>
      </c>
      <c r="C133" t="s">
        <v>79</v>
      </c>
      <c r="D133">
        <v>90</v>
      </c>
      <c r="E133">
        <v>49</v>
      </c>
      <c r="F133">
        <v>41</v>
      </c>
    </row>
    <row r="134" spans="1:6" x14ac:dyDescent="0.25">
      <c r="A134" t="s">
        <v>1108</v>
      </c>
      <c r="B134" t="s">
        <v>300</v>
      </c>
      <c r="C134" t="s">
        <v>21</v>
      </c>
      <c r="D134">
        <v>607</v>
      </c>
      <c r="E134">
        <v>31</v>
      </c>
      <c r="F134">
        <v>576</v>
      </c>
    </row>
    <row r="135" spans="1:6" x14ac:dyDescent="0.25">
      <c r="A135" t="s">
        <v>192</v>
      </c>
      <c r="B135" t="s">
        <v>2</v>
      </c>
      <c r="C135" t="s">
        <v>23</v>
      </c>
      <c r="D135">
        <v>103</v>
      </c>
      <c r="E135">
        <v>94</v>
      </c>
      <c r="F135">
        <v>9</v>
      </c>
    </row>
    <row r="136" spans="1:6" x14ac:dyDescent="0.25">
      <c r="A136" t="s">
        <v>192</v>
      </c>
      <c r="B136" t="s">
        <v>3</v>
      </c>
      <c r="C136" t="s">
        <v>197</v>
      </c>
      <c r="D136">
        <v>0</v>
      </c>
      <c r="E136">
        <v>0</v>
      </c>
      <c r="F136">
        <v>0</v>
      </c>
    </row>
    <row r="137" spans="1:6" x14ac:dyDescent="0.25">
      <c r="A137" t="s">
        <v>192</v>
      </c>
      <c r="B137" t="s">
        <v>300</v>
      </c>
      <c r="C137" t="s">
        <v>20</v>
      </c>
      <c r="D137">
        <v>136</v>
      </c>
      <c r="E137">
        <v>2</v>
      </c>
      <c r="F137">
        <v>134</v>
      </c>
    </row>
    <row r="138" spans="1:6" x14ac:dyDescent="0.25">
      <c r="A138" t="s">
        <v>191</v>
      </c>
      <c r="B138" t="s">
        <v>9</v>
      </c>
      <c r="C138" t="s">
        <v>22</v>
      </c>
      <c r="D138">
        <v>546</v>
      </c>
      <c r="E138">
        <v>17</v>
      </c>
      <c r="F138">
        <v>529</v>
      </c>
    </row>
    <row r="139" spans="1:6" x14ac:dyDescent="0.25">
      <c r="A139" t="s">
        <v>257</v>
      </c>
      <c r="B139" t="s">
        <v>2</v>
      </c>
      <c r="C139" t="s">
        <v>23</v>
      </c>
      <c r="D139">
        <v>80</v>
      </c>
      <c r="E139">
        <v>67</v>
      </c>
      <c r="F139">
        <v>13</v>
      </c>
    </row>
    <row r="140" spans="1:6" x14ac:dyDescent="0.25">
      <c r="A140" t="s">
        <v>257</v>
      </c>
      <c r="B140" t="s">
        <v>3</v>
      </c>
      <c r="C140" t="s">
        <v>197</v>
      </c>
      <c r="D140">
        <v>3</v>
      </c>
      <c r="E140">
        <v>2</v>
      </c>
      <c r="F140">
        <v>1</v>
      </c>
    </row>
    <row r="141" spans="1:6" x14ac:dyDescent="0.25">
      <c r="A141" t="s">
        <v>257</v>
      </c>
      <c r="B141" t="s">
        <v>3</v>
      </c>
      <c r="C141" t="s">
        <v>83</v>
      </c>
      <c r="D141">
        <v>34</v>
      </c>
      <c r="E141">
        <v>19</v>
      </c>
      <c r="F141">
        <v>15</v>
      </c>
    </row>
    <row r="142" spans="1:6" x14ac:dyDescent="0.25">
      <c r="A142" t="s">
        <v>257</v>
      </c>
      <c r="B142" t="s">
        <v>300</v>
      </c>
      <c r="C142" t="s">
        <v>196</v>
      </c>
      <c r="D142">
        <v>4</v>
      </c>
      <c r="E142">
        <v>0</v>
      </c>
      <c r="F142">
        <v>4</v>
      </c>
    </row>
    <row r="143" spans="1:6" x14ac:dyDescent="0.25">
      <c r="A143" t="s">
        <v>240</v>
      </c>
      <c r="B143" t="s">
        <v>2</v>
      </c>
      <c r="C143" t="s">
        <v>23</v>
      </c>
      <c r="D143">
        <v>106</v>
      </c>
      <c r="E143">
        <v>88</v>
      </c>
      <c r="F143">
        <v>18</v>
      </c>
    </row>
    <row r="144" spans="1:6" x14ac:dyDescent="0.25">
      <c r="A144" t="s">
        <v>240</v>
      </c>
      <c r="B144" t="s">
        <v>300</v>
      </c>
      <c r="C144" t="s">
        <v>18</v>
      </c>
      <c r="D144">
        <v>34</v>
      </c>
      <c r="F144">
        <v>34</v>
      </c>
    </row>
    <row r="145" spans="1:6" x14ac:dyDescent="0.25">
      <c r="A145" t="s">
        <v>239</v>
      </c>
      <c r="B145" t="s">
        <v>3</v>
      </c>
      <c r="C145" t="s">
        <v>83</v>
      </c>
      <c r="D145">
        <v>34</v>
      </c>
      <c r="E145">
        <v>21</v>
      </c>
      <c r="F145">
        <v>13</v>
      </c>
    </row>
    <row r="146" spans="1:6" x14ac:dyDescent="0.25">
      <c r="A146" t="s">
        <v>239</v>
      </c>
      <c r="B146" t="s">
        <v>300</v>
      </c>
      <c r="C146" t="s">
        <v>18</v>
      </c>
      <c r="D146">
        <v>33</v>
      </c>
      <c r="E146">
        <v>0</v>
      </c>
      <c r="F146">
        <v>33</v>
      </c>
    </row>
    <row r="147" spans="1:6" x14ac:dyDescent="0.25">
      <c r="A147" t="s">
        <v>760</v>
      </c>
      <c r="B147" t="s">
        <v>9</v>
      </c>
      <c r="C147" t="s">
        <v>21</v>
      </c>
      <c r="D147">
        <v>262</v>
      </c>
      <c r="E147">
        <v>13</v>
      </c>
      <c r="F147">
        <v>249</v>
      </c>
    </row>
    <row r="148" spans="1:6" x14ac:dyDescent="0.25">
      <c r="A148" t="s">
        <v>760</v>
      </c>
      <c r="B148" t="s">
        <v>299</v>
      </c>
      <c r="C148" t="s">
        <v>22</v>
      </c>
      <c r="D148">
        <v>41</v>
      </c>
      <c r="E148">
        <v>1</v>
      </c>
      <c r="F148">
        <v>40</v>
      </c>
    </row>
    <row r="149" spans="1:6" x14ac:dyDescent="0.25">
      <c r="A149" t="s">
        <v>760</v>
      </c>
      <c r="B149" t="s">
        <v>300</v>
      </c>
      <c r="C149" t="s">
        <v>19</v>
      </c>
      <c r="D149">
        <v>80</v>
      </c>
      <c r="E149">
        <v>2</v>
      </c>
      <c r="F149">
        <v>78</v>
      </c>
    </row>
    <row r="150" spans="1:6" x14ac:dyDescent="0.25">
      <c r="A150" t="s">
        <v>760</v>
      </c>
      <c r="B150" t="s">
        <v>300</v>
      </c>
      <c r="C150" t="s">
        <v>20</v>
      </c>
      <c r="D150">
        <v>153</v>
      </c>
      <c r="E150">
        <v>5</v>
      </c>
      <c r="F150">
        <v>148</v>
      </c>
    </row>
    <row r="151" spans="1:6" x14ac:dyDescent="0.25">
      <c r="A151" t="s">
        <v>917</v>
      </c>
      <c r="B151" t="s">
        <v>300</v>
      </c>
      <c r="C151" t="s">
        <v>21</v>
      </c>
      <c r="D151">
        <v>603</v>
      </c>
      <c r="E151">
        <v>31</v>
      </c>
      <c r="F151">
        <v>572</v>
      </c>
    </row>
    <row r="152" spans="1:6" x14ac:dyDescent="0.25">
      <c r="A152" t="s">
        <v>1010</v>
      </c>
      <c r="B152" t="s">
        <v>2</v>
      </c>
      <c r="C152" t="s">
        <v>23</v>
      </c>
      <c r="D152">
        <v>90</v>
      </c>
      <c r="E152">
        <v>76</v>
      </c>
      <c r="F152">
        <v>14</v>
      </c>
    </row>
    <row r="153" spans="1:6" x14ac:dyDescent="0.25">
      <c r="A153" t="s">
        <v>1010</v>
      </c>
      <c r="B153" t="s">
        <v>300</v>
      </c>
      <c r="C153" t="s">
        <v>23</v>
      </c>
      <c r="D153">
        <v>1990</v>
      </c>
      <c r="E153">
        <v>148</v>
      </c>
      <c r="F153">
        <v>1842</v>
      </c>
    </row>
    <row r="154" spans="1:6" x14ac:dyDescent="0.25">
      <c r="A154" t="s">
        <v>1010</v>
      </c>
      <c r="B154" t="s">
        <v>300</v>
      </c>
      <c r="C154" t="s">
        <v>21</v>
      </c>
      <c r="D154">
        <v>607</v>
      </c>
      <c r="E154">
        <v>30</v>
      </c>
      <c r="F154">
        <v>577</v>
      </c>
    </row>
    <row r="155" spans="1:6" x14ac:dyDescent="0.25">
      <c r="A155" t="s">
        <v>1061</v>
      </c>
      <c r="B155" t="s">
        <v>3</v>
      </c>
      <c r="C155" t="s">
        <v>197</v>
      </c>
      <c r="D155">
        <v>4</v>
      </c>
      <c r="E155">
        <v>1</v>
      </c>
      <c r="F155">
        <v>3</v>
      </c>
    </row>
    <row r="156" spans="1:6" x14ac:dyDescent="0.25">
      <c r="A156" t="s">
        <v>1061</v>
      </c>
      <c r="B156" t="s">
        <v>300</v>
      </c>
      <c r="C156" t="s">
        <v>196</v>
      </c>
      <c r="D156">
        <v>5</v>
      </c>
      <c r="E156">
        <v>0</v>
      </c>
      <c r="F156">
        <v>5</v>
      </c>
    </row>
    <row r="157" spans="1:6" x14ac:dyDescent="0.25">
      <c r="A157" t="s">
        <v>1108</v>
      </c>
      <c r="B157" t="s">
        <v>2</v>
      </c>
      <c r="C157" t="s">
        <v>19</v>
      </c>
      <c r="D157">
        <v>4</v>
      </c>
      <c r="E157">
        <v>4</v>
      </c>
      <c r="F157">
        <v>0</v>
      </c>
    </row>
    <row r="158" spans="1:6" x14ac:dyDescent="0.25">
      <c r="A158" t="s">
        <v>1108</v>
      </c>
      <c r="B158" t="s">
        <v>9</v>
      </c>
      <c r="C158" t="s">
        <v>23</v>
      </c>
      <c r="D158">
        <v>1932</v>
      </c>
      <c r="E158">
        <v>151</v>
      </c>
      <c r="F158">
        <v>1781</v>
      </c>
    </row>
    <row r="159" spans="1:6" x14ac:dyDescent="0.25">
      <c r="A159" t="s">
        <v>1108</v>
      </c>
      <c r="B159" t="s">
        <v>761</v>
      </c>
      <c r="C159" t="s">
        <v>22</v>
      </c>
      <c r="D159">
        <v>2</v>
      </c>
      <c r="E159">
        <v>0</v>
      </c>
      <c r="F159">
        <v>2</v>
      </c>
    </row>
    <row r="160" spans="1:6" x14ac:dyDescent="0.25">
      <c r="A160" t="s">
        <v>1108</v>
      </c>
      <c r="B160" t="s">
        <v>3</v>
      </c>
      <c r="C160" t="s">
        <v>83</v>
      </c>
      <c r="D160">
        <v>35</v>
      </c>
      <c r="E160">
        <v>24</v>
      </c>
      <c r="F160">
        <v>11</v>
      </c>
    </row>
    <row r="161" spans="1:6" x14ac:dyDescent="0.25">
      <c r="A161" t="s">
        <v>1108</v>
      </c>
      <c r="B161" t="s">
        <v>300</v>
      </c>
      <c r="C161" t="s">
        <v>19</v>
      </c>
      <c r="D161">
        <v>71</v>
      </c>
      <c r="E161">
        <v>2</v>
      </c>
      <c r="F161">
        <v>69</v>
      </c>
    </row>
    <row r="162" spans="1:6" x14ac:dyDescent="0.25">
      <c r="A162" t="s">
        <v>192</v>
      </c>
      <c r="B162" t="s">
        <v>2</v>
      </c>
      <c r="C162" t="s">
        <v>22</v>
      </c>
      <c r="D162">
        <v>52</v>
      </c>
      <c r="E162">
        <v>46</v>
      </c>
      <c r="F162">
        <v>6</v>
      </c>
    </row>
    <row r="163" spans="1:6" x14ac:dyDescent="0.25">
      <c r="A163" t="s">
        <v>192</v>
      </c>
      <c r="B163" t="s">
        <v>3</v>
      </c>
      <c r="C163" t="s">
        <v>301</v>
      </c>
      <c r="D163">
        <v>314</v>
      </c>
      <c r="E163">
        <v>91</v>
      </c>
      <c r="F163">
        <v>223</v>
      </c>
    </row>
    <row r="164" spans="1:6" x14ac:dyDescent="0.25">
      <c r="A164" t="s">
        <v>192</v>
      </c>
      <c r="B164" t="s">
        <v>3</v>
      </c>
      <c r="C164" t="s">
        <v>302</v>
      </c>
      <c r="D164">
        <v>234</v>
      </c>
      <c r="E164">
        <v>139</v>
      </c>
      <c r="F164">
        <v>95</v>
      </c>
    </row>
    <row r="165" spans="1:6" x14ac:dyDescent="0.25">
      <c r="A165" t="s">
        <v>192</v>
      </c>
      <c r="B165" t="s">
        <v>300</v>
      </c>
      <c r="C165" t="s">
        <v>22</v>
      </c>
      <c r="D165">
        <v>660</v>
      </c>
      <c r="E165">
        <v>26</v>
      </c>
      <c r="F165">
        <v>634</v>
      </c>
    </row>
    <row r="166" spans="1:6" x14ac:dyDescent="0.25">
      <c r="A166" t="s">
        <v>191</v>
      </c>
      <c r="B166" t="s">
        <v>2</v>
      </c>
      <c r="C166" t="s">
        <v>20</v>
      </c>
      <c r="D166">
        <v>13</v>
      </c>
      <c r="E166">
        <v>11</v>
      </c>
      <c r="F166">
        <v>2</v>
      </c>
    </row>
    <row r="167" spans="1:6" x14ac:dyDescent="0.25">
      <c r="A167" t="s">
        <v>191</v>
      </c>
      <c r="B167" t="s">
        <v>2</v>
      </c>
      <c r="C167" t="s">
        <v>21</v>
      </c>
      <c r="D167">
        <v>50</v>
      </c>
      <c r="E167">
        <v>44</v>
      </c>
      <c r="F167">
        <v>6</v>
      </c>
    </row>
    <row r="168" spans="1:6" x14ac:dyDescent="0.25">
      <c r="A168" t="s">
        <v>191</v>
      </c>
      <c r="B168" t="s">
        <v>9</v>
      </c>
      <c r="C168" t="s">
        <v>21</v>
      </c>
      <c r="D168">
        <v>280</v>
      </c>
      <c r="E168">
        <v>12</v>
      </c>
      <c r="F168">
        <v>268</v>
      </c>
    </row>
    <row r="169" spans="1:6" x14ac:dyDescent="0.25">
      <c r="A169" t="s">
        <v>191</v>
      </c>
      <c r="B169" t="s">
        <v>3</v>
      </c>
      <c r="C169" t="s">
        <v>302</v>
      </c>
      <c r="D169">
        <v>195</v>
      </c>
      <c r="E169">
        <v>122</v>
      </c>
      <c r="F169">
        <v>73</v>
      </c>
    </row>
    <row r="170" spans="1:6" x14ac:dyDescent="0.25">
      <c r="A170" t="s">
        <v>191</v>
      </c>
      <c r="B170" t="s">
        <v>299</v>
      </c>
      <c r="C170" t="s">
        <v>23</v>
      </c>
      <c r="D170">
        <v>296</v>
      </c>
      <c r="E170">
        <v>48</v>
      </c>
      <c r="F170">
        <v>248</v>
      </c>
    </row>
    <row r="171" spans="1:6" x14ac:dyDescent="0.25">
      <c r="A171" t="s">
        <v>190</v>
      </c>
      <c r="B171" t="s">
        <v>2</v>
      </c>
      <c r="C171" t="s">
        <v>19</v>
      </c>
      <c r="D171">
        <v>6</v>
      </c>
      <c r="E171">
        <v>4</v>
      </c>
      <c r="F171">
        <v>2</v>
      </c>
    </row>
    <row r="172" spans="1:6" x14ac:dyDescent="0.25">
      <c r="A172" t="s">
        <v>190</v>
      </c>
      <c r="B172" t="s">
        <v>9</v>
      </c>
      <c r="C172" t="s">
        <v>23</v>
      </c>
      <c r="D172">
        <v>2065</v>
      </c>
      <c r="E172">
        <v>132</v>
      </c>
      <c r="F172">
        <v>1933</v>
      </c>
    </row>
    <row r="173" spans="1:6" x14ac:dyDescent="0.25">
      <c r="A173" t="s">
        <v>190</v>
      </c>
      <c r="B173" t="s">
        <v>3</v>
      </c>
      <c r="C173" t="s">
        <v>79</v>
      </c>
      <c r="D173">
        <v>74</v>
      </c>
      <c r="E173">
        <v>57</v>
      </c>
      <c r="F173">
        <v>17</v>
      </c>
    </row>
    <row r="174" spans="1:6" x14ac:dyDescent="0.25">
      <c r="A174" t="s">
        <v>190</v>
      </c>
      <c r="B174" t="s">
        <v>300</v>
      </c>
      <c r="C174" t="s">
        <v>21</v>
      </c>
      <c r="D174">
        <v>577</v>
      </c>
      <c r="E174">
        <v>22</v>
      </c>
      <c r="F174">
        <v>555</v>
      </c>
    </row>
    <row r="175" spans="1:6" x14ac:dyDescent="0.25">
      <c r="A175" t="s">
        <v>257</v>
      </c>
      <c r="B175" t="s">
        <v>2</v>
      </c>
      <c r="C175" t="s">
        <v>20</v>
      </c>
      <c r="D175">
        <v>8</v>
      </c>
      <c r="E175">
        <v>7</v>
      </c>
      <c r="F175">
        <v>1</v>
      </c>
    </row>
    <row r="176" spans="1:6" x14ac:dyDescent="0.25">
      <c r="A176" t="s">
        <v>257</v>
      </c>
      <c r="B176" t="s">
        <v>3</v>
      </c>
      <c r="C176" t="s">
        <v>79</v>
      </c>
      <c r="D176">
        <v>78</v>
      </c>
      <c r="E176">
        <v>58</v>
      </c>
      <c r="F176">
        <v>20</v>
      </c>
    </row>
    <row r="177" spans="1:6" x14ac:dyDescent="0.25">
      <c r="A177" t="s">
        <v>257</v>
      </c>
      <c r="B177" t="s">
        <v>299</v>
      </c>
      <c r="C177" t="s">
        <v>963</v>
      </c>
      <c r="D177">
        <v>36</v>
      </c>
      <c r="E177">
        <v>4</v>
      </c>
      <c r="F177">
        <v>32</v>
      </c>
    </row>
    <row r="178" spans="1:6" x14ac:dyDescent="0.25">
      <c r="A178" t="s">
        <v>240</v>
      </c>
      <c r="B178" t="s">
        <v>2</v>
      </c>
      <c r="C178" t="s">
        <v>19</v>
      </c>
      <c r="D178">
        <v>5</v>
      </c>
      <c r="E178">
        <v>4</v>
      </c>
      <c r="F178">
        <v>1</v>
      </c>
    </row>
    <row r="179" spans="1:6" x14ac:dyDescent="0.25">
      <c r="A179" t="s">
        <v>240</v>
      </c>
      <c r="B179" t="s">
        <v>2</v>
      </c>
      <c r="C179" t="s">
        <v>20</v>
      </c>
      <c r="D179">
        <v>8</v>
      </c>
      <c r="E179">
        <v>7</v>
      </c>
      <c r="F179">
        <v>1</v>
      </c>
    </row>
    <row r="180" spans="1:6" x14ac:dyDescent="0.25">
      <c r="A180" t="s">
        <v>240</v>
      </c>
      <c r="B180" t="s">
        <v>2</v>
      </c>
      <c r="C180" t="s">
        <v>21</v>
      </c>
      <c r="D180">
        <v>43</v>
      </c>
      <c r="E180">
        <v>36</v>
      </c>
      <c r="F180">
        <v>7</v>
      </c>
    </row>
    <row r="181" spans="1:6" x14ac:dyDescent="0.25">
      <c r="A181" t="s">
        <v>240</v>
      </c>
      <c r="B181" t="s">
        <v>299</v>
      </c>
      <c r="C181" t="s">
        <v>21</v>
      </c>
      <c r="D181">
        <v>37</v>
      </c>
      <c r="E181">
        <v>5</v>
      </c>
      <c r="F181">
        <v>32</v>
      </c>
    </row>
    <row r="182" spans="1:6" x14ac:dyDescent="0.25">
      <c r="A182" t="s">
        <v>240</v>
      </c>
      <c r="B182" t="s">
        <v>300</v>
      </c>
      <c r="C182" t="s">
        <v>196</v>
      </c>
      <c r="D182">
        <v>4</v>
      </c>
      <c r="F182">
        <v>4</v>
      </c>
    </row>
    <row r="183" spans="1:6" x14ac:dyDescent="0.25">
      <c r="A183" t="s">
        <v>240</v>
      </c>
      <c r="B183" t="s">
        <v>300</v>
      </c>
      <c r="C183" t="s">
        <v>19</v>
      </c>
      <c r="D183">
        <v>74</v>
      </c>
      <c r="E183">
        <v>2</v>
      </c>
      <c r="F183">
        <v>72</v>
      </c>
    </row>
    <row r="184" spans="1:6" x14ac:dyDescent="0.25">
      <c r="A184" t="s">
        <v>239</v>
      </c>
      <c r="B184" t="s">
        <v>2</v>
      </c>
      <c r="C184" t="s">
        <v>18</v>
      </c>
      <c r="D184">
        <v>1</v>
      </c>
      <c r="E184">
        <v>1</v>
      </c>
      <c r="F184">
        <v>0</v>
      </c>
    </row>
    <row r="185" spans="1:6" x14ac:dyDescent="0.25">
      <c r="A185" t="s">
        <v>239</v>
      </c>
      <c r="B185" t="s">
        <v>2</v>
      </c>
      <c r="C185" t="s">
        <v>22</v>
      </c>
      <c r="D185">
        <v>27</v>
      </c>
      <c r="E185">
        <v>21</v>
      </c>
      <c r="F185">
        <v>6</v>
      </c>
    </row>
    <row r="186" spans="1:6" x14ac:dyDescent="0.25">
      <c r="A186" t="s">
        <v>239</v>
      </c>
      <c r="B186" t="s">
        <v>2</v>
      </c>
      <c r="C186" t="s">
        <v>21</v>
      </c>
      <c r="D186">
        <v>42</v>
      </c>
      <c r="E186">
        <v>36</v>
      </c>
      <c r="F186">
        <v>6</v>
      </c>
    </row>
    <row r="187" spans="1:6" x14ac:dyDescent="0.25">
      <c r="A187" t="s">
        <v>239</v>
      </c>
      <c r="B187" t="s">
        <v>3</v>
      </c>
      <c r="C187" t="s">
        <v>79</v>
      </c>
      <c r="D187">
        <v>84</v>
      </c>
      <c r="E187">
        <v>58</v>
      </c>
      <c r="F187">
        <v>26</v>
      </c>
    </row>
    <row r="188" spans="1:6" x14ac:dyDescent="0.25">
      <c r="A188" t="s">
        <v>760</v>
      </c>
      <c r="B188" t="s">
        <v>9</v>
      </c>
      <c r="C188" t="s">
        <v>22</v>
      </c>
      <c r="D188">
        <v>520</v>
      </c>
      <c r="E188">
        <v>20</v>
      </c>
      <c r="F188">
        <v>500</v>
      </c>
    </row>
    <row r="189" spans="1:6" x14ac:dyDescent="0.25">
      <c r="A189" t="s">
        <v>760</v>
      </c>
      <c r="B189" t="s">
        <v>3</v>
      </c>
      <c r="C189" t="s">
        <v>77</v>
      </c>
      <c r="D189">
        <v>47</v>
      </c>
      <c r="E189">
        <v>14</v>
      </c>
      <c r="F189">
        <v>33</v>
      </c>
    </row>
    <row r="190" spans="1:6" x14ac:dyDescent="0.25">
      <c r="A190" t="s">
        <v>760</v>
      </c>
      <c r="B190" t="s">
        <v>3</v>
      </c>
      <c r="C190" t="s">
        <v>83</v>
      </c>
      <c r="D190">
        <v>32</v>
      </c>
      <c r="E190">
        <v>20</v>
      </c>
      <c r="F190">
        <v>12</v>
      </c>
    </row>
    <row r="191" spans="1:6" x14ac:dyDescent="0.25">
      <c r="A191" t="s">
        <v>760</v>
      </c>
      <c r="B191" t="s">
        <v>3</v>
      </c>
      <c r="C191" t="s">
        <v>302</v>
      </c>
      <c r="D191">
        <v>63</v>
      </c>
      <c r="E191">
        <v>26</v>
      </c>
      <c r="F191">
        <v>37</v>
      </c>
    </row>
    <row r="192" spans="1:6" x14ac:dyDescent="0.25">
      <c r="A192" t="s">
        <v>760</v>
      </c>
      <c r="B192" t="s">
        <v>299</v>
      </c>
      <c r="C192" t="s">
        <v>21</v>
      </c>
      <c r="D192">
        <v>37</v>
      </c>
      <c r="E192">
        <v>5</v>
      </c>
      <c r="F192">
        <v>32</v>
      </c>
    </row>
    <row r="193" spans="1:6" x14ac:dyDescent="0.25">
      <c r="A193" t="s">
        <v>917</v>
      </c>
      <c r="B193" t="s">
        <v>2</v>
      </c>
      <c r="C193" t="s">
        <v>22</v>
      </c>
      <c r="D193">
        <v>31</v>
      </c>
      <c r="E193">
        <v>24</v>
      </c>
      <c r="F193">
        <v>7</v>
      </c>
    </row>
    <row r="194" spans="1:6" x14ac:dyDescent="0.25">
      <c r="A194" t="s">
        <v>917</v>
      </c>
      <c r="B194" t="s">
        <v>761</v>
      </c>
      <c r="C194" t="s">
        <v>21</v>
      </c>
      <c r="D194">
        <v>54</v>
      </c>
      <c r="E194">
        <v>11</v>
      </c>
      <c r="F194">
        <v>43</v>
      </c>
    </row>
    <row r="195" spans="1:6" x14ac:dyDescent="0.25">
      <c r="A195" t="s">
        <v>917</v>
      </c>
      <c r="B195" t="s">
        <v>3</v>
      </c>
      <c r="C195" t="s">
        <v>77</v>
      </c>
      <c r="D195">
        <v>50</v>
      </c>
      <c r="E195">
        <v>17</v>
      </c>
      <c r="F195">
        <v>33</v>
      </c>
    </row>
    <row r="196" spans="1:6" x14ac:dyDescent="0.25">
      <c r="A196" t="s">
        <v>917</v>
      </c>
      <c r="B196" t="s">
        <v>3</v>
      </c>
      <c r="C196" t="s">
        <v>83</v>
      </c>
      <c r="D196">
        <v>30</v>
      </c>
      <c r="E196">
        <v>19</v>
      </c>
      <c r="F196">
        <v>11</v>
      </c>
    </row>
    <row r="197" spans="1:6" x14ac:dyDescent="0.25">
      <c r="A197" t="s">
        <v>917</v>
      </c>
      <c r="B197" t="s">
        <v>300</v>
      </c>
      <c r="C197" t="s">
        <v>23</v>
      </c>
      <c r="D197">
        <v>2020</v>
      </c>
      <c r="E197">
        <v>150</v>
      </c>
      <c r="F197">
        <v>1870</v>
      </c>
    </row>
    <row r="198" spans="1:6" x14ac:dyDescent="0.25">
      <c r="A198" t="s">
        <v>917</v>
      </c>
      <c r="B198" t="s">
        <v>300</v>
      </c>
      <c r="C198" t="s">
        <v>20</v>
      </c>
      <c r="D198">
        <v>152</v>
      </c>
      <c r="E198">
        <v>7</v>
      </c>
      <c r="F198">
        <v>145</v>
      </c>
    </row>
    <row r="199" spans="1:6" x14ac:dyDescent="0.25">
      <c r="A199" t="s">
        <v>1010</v>
      </c>
      <c r="B199" t="s">
        <v>9</v>
      </c>
      <c r="C199" t="s">
        <v>23</v>
      </c>
      <c r="D199">
        <v>1967</v>
      </c>
      <c r="E199">
        <v>158</v>
      </c>
      <c r="F199">
        <v>1809</v>
      </c>
    </row>
    <row r="200" spans="1:6" x14ac:dyDescent="0.25">
      <c r="A200" t="s">
        <v>1010</v>
      </c>
      <c r="B200" t="s">
        <v>3</v>
      </c>
      <c r="C200" t="s">
        <v>301</v>
      </c>
      <c r="D200">
        <v>469</v>
      </c>
      <c r="E200">
        <v>180</v>
      </c>
      <c r="F200">
        <v>289</v>
      </c>
    </row>
    <row r="201" spans="1:6" x14ac:dyDescent="0.25">
      <c r="A201" t="s">
        <v>1061</v>
      </c>
      <c r="B201" t="s">
        <v>299</v>
      </c>
      <c r="C201" t="s">
        <v>23</v>
      </c>
      <c r="D201">
        <v>189</v>
      </c>
      <c r="E201">
        <v>31</v>
      </c>
      <c r="F201">
        <v>158</v>
      </c>
    </row>
    <row r="202" spans="1:6" x14ac:dyDescent="0.25">
      <c r="A202" t="s">
        <v>1061</v>
      </c>
      <c r="B202" t="s">
        <v>300</v>
      </c>
      <c r="C202" t="s">
        <v>18</v>
      </c>
      <c r="D202">
        <v>31</v>
      </c>
      <c r="E202">
        <v>1</v>
      </c>
      <c r="F202">
        <v>30</v>
      </c>
    </row>
    <row r="203" spans="1:6" x14ac:dyDescent="0.25">
      <c r="A203" t="s">
        <v>1108</v>
      </c>
      <c r="B203" t="s">
        <v>300</v>
      </c>
      <c r="C203" t="s">
        <v>23</v>
      </c>
      <c r="D203">
        <v>1912</v>
      </c>
      <c r="E203">
        <v>138</v>
      </c>
      <c r="F203">
        <v>1774</v>
      </c>
    </row>
    <row r="204" spans="1:6" x14ac:dyDescent="0.25">
      <c r="A204" t="s">
        <v>192</v>
      </c>
      <c r="B204" t="s">
        <v>2</v>
      </c>
      <c r="C204" t="s">
        <v>20</v>
      </c>
      <c r="D204">
        <v>11</v>
      </c>
      <c r="E204">
        <v>9</v>
      </c>
      <c r="F204">
        <v>2</v>
      </c>
    </row>
    <row r="205" spans="1:6" x14ac:dyDescent="0.25">
      <c r="A205" t="s">
        <v>192</v>
      </c>
      <c r="B205" t="s">
        <v>2</v>
      </c>
      <c r="C205" t="s">
        <v>21</v>
      </c>
      <c r="D205">
        <v>52</v>
      </c>
      <c r="E205">
        <v>46</v>
      </c>
      <c r="F205">
        <v>6</v>
      </c>
    </row>
    <row r="206" spans="1:6" x14ac:dyDescent="0.25">
      <c r="A206" t="s">
        <v>192</v>
      </c>
      <c r="B206" t="s">
        <v>3</v>
      </c>
      <c r="C206" t="s">
        <v>77</v>
      </c>
      <c r="D206">
        <v>70</v>
      </c>
      <c r="E206">
        <v>32</v>
      </c>
      <c r="F206">
        <v>38</v>
      </c>
    </row>
    <row r="207" spans="1:6" x14ac:dyDescent="0.25">
      <c r="A207" t="s">
        <v>191</v>
      </c>
      <c r="B207" t="s">
        <v>3</v>
      </c>
      <c r="C207" t="s">
        <v>83</v>
      </c>
      <c r="D207">
        <v>37</v>
      </c>
      <c r="E207">
        <v>20</v>
      </c>
      <c r="F207">
        <v>17</v>
      </c>
    </row>
    <row r="208" spans="1:6" x14ac:dyDescent="0.25">
      <c r="A208" t="s">
        <v>191</v>
      </c>
      <c r="B208" t="s">
        <v>299</v>
      </c>
      <c r="C208" t="s">
        <v>963</v>
      </c>
      <c r="D208">
        <v>38</v>
      </c>
      <c r="E208">
        <v>4</v>
      </c>
      <c r="F208">
        <v>34</v>
      </c>
    </row>
    <row r="209" spans="1:6" x14ac:dyDescent="0.25">
      <c r="A209" t="s">
        <v>191</v>
      </c>
      <c r="B209" t="s">
        <v>300</v>
      </c>
      <c r="C209" t="s">
        <v>19</v>
      </c>
      <c r="D209">
        <v>103</v>
      </c>
      <c r="E209">
        <v>3</v>
      </c>
      <c r="F209">
        <v>100</v>
      </c>
    </row>
    <row r="210" spans="1:6" x14ac:dyDescent="0.25">
      <c r="A210" t="s">
        <v>257</v>
      </c>
      <c r="B210" t="s">
        <v>2</v>
      </c>
      <c r="C210" t="s">
        <v>22</v>
      </c>
      <c r="D210">
        <v>31</v>
      </c>
      <c r="E210">
        <v>26</v>
      </c>
      <c r="F210">
        <v>5</v>
      </c>
    </row>
    <row r="211" spans="1:6" x14ac:dyDescent="0.25">
      <c r="A211" t="s">
        <v>257</v>
      </c>
      <c r="B211" t="s">
        <v>9</v>
      </c>
      <c r="C211" t="s">
        <v>23</v>
      </c>
      <c r="D211">
        <v>2061</v>
      </c>
      <c r="E211">
        <v>127</v>
      </c>
      <c r="F211">
        <v>1934</v>
      </c>
    </row>
    <row r="212" spans="1:6" x14ac:dyDescent="0.25">
      <c r="A212" t="s">
        <v>257</v>
      </c>
      <c r="B212" t="s">
        <v>3</v>
      </c>
      <c r="C212" t="s">
        <v>77</v>
      </c>
      <c r="D212">
        <v>42</v>
      </c>
      <c r="E212">
        <v>17</v>
      </c>
      <c r="F212">
        <v>25</v>
      </c>
    </row>
    <row r="213" spans="1:6" x14ac:dyDescent="0.25">
      <c r="A213" t="s">
        <v>240</v>
      </c>
      <c r="B213" t="s">
        <v>9</v>
      </c>
      <c r="C213" t="s">
        <v>21</v>
      </c>
      <c r="D213">
        <v>261</v>
      </c>
      <c r="E213">
        <v>14</v>
      </c>
      <c r="F213">
        <v>247</v>
      </c>
    </row>
    <row r="214" spans="1:6" x14ac:dyDescent="0.25">
      <c r="A214" t="s">
        <v>240</v>
      </c>
      <c r="B214" t="s">
        <v>3</v>
      </c>
      <c r="C214" t="s">
        <v>94</v>
      </c>
      <c r="D214">
        <v>164</v>
      </c>
      <c r="E214">
        <v>155</v>
      </c>
      <c r="F214">
        <v>9</v>
      </c>
    </row>
    <row r="215" spans="1:6" x14ac:dyDescent="0.25">
      <c r="A215" t="s">
        <v>240</v>
      </c>
      <c r="B215" t="s">
        <v>3</v>
      </c>
      <c r="C215" t="s">
        <v>79</v>
      </c>
      <c r="D215">
        <v>79</v>
      </c>
      <c r="E215">
        <v>57</v>
      </c>
      <c r="F215">
        <v>22</v>
      </c>
    </row>
    <row r="216" spans="1:6" x14ac:dyDescent="0.25">
      <c r="A216" t="s">
        <v>240</v>
      </c>
      <c r="B216" t="s">
        <v>299</v>
      </c>
      <c r="C216" t="s">
        <v>23</v>
      </c>
      <c r="D216">
        <v>256</v>
      </c>
      <c r="E216">
        <v>47</v>
      </c>
      <c r="F216">
        <v>209</v>
      </c>
    </row>
    <row r="217" spans="1:6" x14ac:dyDescent="0.25">
      <c r="A217" t="s">
        <v>239</v>
      </c>
      <c r="B217" t="s">
        <v>3</v>
      </c>
      <c r="C217" t="s">
        <v>94</v>
      </c>
      <c r="D217">
        <v>170</v>
      </c>
      <c r="E217">
        <v>159</v>
      </c>
      <c r="F217">
        <v>11</v>
      </c>
    </row>
    <row r="218" spans="1:6" x14ac:dyDescent="0.25">
      <c r="A218" t="s">
        <v>239</v>
      </c>
      <c r="B218" t="s">
        <v>3</v>
      </c>
      <c r="C218" t="s">
        <v>301</v>
      </c>
      <c r="D218">
        <v>388</v>
      </c>
      <c r="E218">
        <v>146</v>
      </c>
      <c r="F218">
        <v>242</v>
      </c>
    </row>
    <row r="219" spans="1:6" x14ac:dyDescent="0.25">
      <c r="A219" t="s">
        <v>239</v>
      </c>
      <c r="B219" t="s">
        <v>299</v>
      </c>
      <c r="C219" t="s">
        <v>23</v>
      </c>
      <c r="D219">
        <v>240</v>
      </c>
      <c r="E219">
        <v>46</v>
      </c>
      <c r="F219">
        <v>194</v>
      </c>
    </row>
    <row r="220" spans="1:6" x14ac:dyDescent="0.25">
      <c r="A220" t="s">
        <v>239</v>
      </c>
      <c r="B220" t="s">
        <v>299</v>
      </c>
      <c r="C220" t="s">
        <v>21</v>
      </c>
      <c r="D220">
        <v>37</v>
      </c>
      <c r="E220">
        <v>5</v>
      </c>
      <c r="F220">
        <v>32</v>
      </c>
    </row>
    <row r="221" spans="1:6" x14ac:dyDescent="0.25">
      <c r="A221" t="s">
        <v>239</v>
      </c>
      <c r="B221" t="s">
        <v>300</v>
      </c>
      <c r="C221" t="s">
        <v>19</v>
      </c>
      <c r="D221">
        <v>80</v>
      </c>
      <c r="E221">
        <v>2</v>
      </c>
      <c r="F221">
        <v>78</v>
      </c>
    </row>
    <row r="222" spans="1:6" x14ac:dyDescent="0.25">
      <c r="A222" t="s">
        <v>239</v>
      </c>
      <c r="B222" t="s">
        <v>300</v>
      </c>
      <c r="C222" t="s">
        <v>20</v>
      </c>
      <c r="D222">
        <v>147</v>
      </c>
      <c r="E222">
        <v>2</v>
      </c>
      <c r="F222">
        <v>145</v>
      </c>
    </row>
    <row r="223" spans="1:6" x14ac:dyDescent="0.25">
      <c r="A223" t="s">
        <v>760</v>
      </c>
      <c r="B223" t="s">
        <v>2</v>
      </c>
      <c r="C223" t="s">
        <v>20</v>
      </c>
      <c r="D223">
        <v>8</v>
      </c>
      <c r="E223">
        <v>7</v>
      </c>
      <c r="F223">
        <v>1</v>
      </c>
    </row>
    <row r="224" spans="1:6" x14ac:dyDescent="0.25">
      <c r="A224" t="s">
        <v>760</v>
      </c>
      <c r="B224" t="s">
        <v>2</v>
      </c>
      <c r="C224" t="s">
        <v>21</v>
      </c>
      <c r="D224">
        <v>45</v>
      </c>
      <c r="E224">
        <v>38</v>
      </c>
      <c r="F224">
        <v>7</v>
      </c>
    </row>
    <row r="225" spans="1:6" x14ac:dyDescent="0.25">
      <c r="A225" t="s">
        <v>760</v>
      </c>
      <c r="B225" t="s">
        <v>3</v>
      </c>
      <c r="C225" t="s">
        <v>79</v>
      </c>
      <c r="D225">
        <v>90</v>
      </c>
      <c r="E225">
        <v>61</v>
      </c>
      <c r="F225">
        <v>29</v>
      </c>
    </row>
    <row r="226" spans="1:6" x14ac:dyDescent="0.25">
      <c r="A226" t="s">
        <v>760</v>
      </c>
      <c r="B226" t="s">
        <v>300</v>
      </c>
      <c r="C226" t="s">
        <v>196</v>
      </c>
      <c r="D226">
        <v>6</v>
      </c>
      <c r="E226">
        <v>0</v>
      </c>
      <c r="F226">
        <v>6</v>
      </c>
    </row>
    <row r="227" spans="1:6" x14ac:dyDescent="0.25">
      <c r="A227" t="s">
        <v>760</v>
      </c>
      <c r="B227" t="s">
        <v>300</v>
      </c>
      <c r="C227" t="s">
        <v>23</v>
      </c>
      <c r="D227">
        <v>2070</v>
      </c>
      <c r="E227">
        <v>154</v>
      </c>
      <c r="F227">
        <v>1916</v>
      </c>
    </row>
    <row r="228" spans="1:6" x14ac:dyDescent="0.25">
      <c r="A228" t="s">
        <v>760</v>
      </c>
      <c r="B228" t="s">
        <v>300</v>
      </c>
      <c r="C228" t="s">
        <v>21</v>
      </c>
      <c r="D228">
        <v>608</v>
      </c>
      <c r="E228">
        <v>30</v>
      </c>
      <c r="F228">
        <v>578</v>
      </c>
    </row>
    <row r="229" spans="1:6" x14ac:dyDescent="0.25">
      <c r="A229" t="s">
        <v>917</v>
      </c>
      <c r="B229" t="s">
        <v>2</v>
      </c>
      <c r="C229" t="s">
        <v>18</v>
      </c>
      <c r="D229">
        <v>1</v>
      </c>
      <c r="E229">
        <v>1</v>
      </c>
      <c r="F229">
        <v>0</v>
      </c>
    </row>
    <row r="230" spans="1:6" x14ac:dyDescent="0.25">
      <c r="A230" t="s">
        <v>917</v>
      </c>
      <c r="B230" t="s">
        <v>2</v>
      </c>
      <c r="C230" t="s">
        <v>19</v>
      </c>
      <c r="D230">
        <v>4</v>
      </c>
      <c r="E230">
        <v>3</v>
      </c>
      <c r="F230">
        <v>1</v>
      </c>
    </row>
    <row r="231" spans="1:6" x14ac:dyDescent="0.25">
      <c r="A231" t="s">
        <v>917</v>
      </c>
      <c r="B231" t="s">
        <v>3</v>
      </c>
      <c r="C231" t="s">
        <v>79</v>
      </c>
      <c r="D231">
        <v>91</v>
      </c>
      <c r="E231">
        <v>61</v>
      </c>
      <c r="F231">
        <v>30</v>
      </c>
    </row>
    <row r="232" spans="1:6" x14ac:dyDescent="0.25">
      <c r="A232" t="s">
        <v>917</v>
      </c>
      <c r="B232" t="s">
        <v>300</v>
      </c>
      <c r="C232" t="s">
        <v>22</v>
      </c>
      <c r="D232">
        <v>687</v>
      </c>
      <c r="E232">
        <v>29</v>
      </c>
      <c r="F232">
        <v>658</v>
      </c>
    </row>
    <row r="233" spans="1:6" x14ac:dyDescent="0.25">
      <c r="A233" t="s">
        <v>1010</v>
      </c>
      <c r="B233" t="s">
        <v>2</v>
      </c>
      <c r="C233" t="s">
        <v>22</v>
      </c>
      <c r="D233">
        <v>27</v>
      </c>
      <c r="E233">
        <v>20</v>
      </c>
      <c r="F233">
        <v>7</v>
      </c>
    </row>
    <row r="234" spans="1:6" x14ac:dyDescent="0.25">
      <c r="A234" t="s">
        <v>1010</v>
      </c>
      <c r="B234" t="s">
        <v>2</v>
      </c>
      <c r="C234" t="s">
        <v>19</v>
      </c>
      <c r="D234">
        <v>4</v>
      </c>
      <c r="E234">
        <v>3</v>
      </c>
      <c r="F234">
        <v>1</v>
      </c>
    </row>
    <row r="235" spans="1:6" x14ac:dyDescent="0.25">
      <c r="A235" t="s">
        <v>1010</v>
      </c>
      <c r="B235" t="s">
        <v>300</v>
      </c>
      <c r="C235" t="s">
        <v>18</v>
      </c>
      <c r="D235">
        <v>35</v>
      </c>
      <c r="E235">
        <v>1</v>
      </c>
      <c r="F235">
        <v>34</v>
      </c>
    </row>
    <row r="236" spans="1:6" x14ac:dyDescent="0.25">
      <c r="A236" t="s">
        <v>1010</v>
      </c>
      <c r="B236" t="s">
        <v>300</v>
      </c>
      <c r="C236" t="s">
        <v>20</v>
      </c>
      <c r="D236">
        <v>157</v>
      </c>
      <c r="E236">
        <v>5</v>
      </c>
      <c r="F236">
        <v>152</v>
      </c>
    </row>
    <row r="237" spans="1:6" x14ac:dyDescent="0.25">
      <c r="A237" t="s">
        <v>1061</v>
      </c>
      <c r="B237" t="s">
        <v>2</v>
      </c>
      <c r="C237" t="s">
        <v>23</v>
      </c>
      <c r="D237">
        <v>91</v>
      </c>
      <c r="E237">
        <v>74</v>
      </c>
      <c r="F237">
        <v>17</v>
      </c>
    </row>
    <row r="238" spans="1:6" x14ac:dyDescent="0.25">
      <c r="A238" t="s">
        <v>1061</v>
      </c>
      <c r="B238" t="s">
        <v>2</v>
      </c>
      <c r="C238" t="s">
        <v>21</v>
      </c>
      <c r="D238">
        <v>37</v>
      </c>
      <c r="E238">
        <v>32</v>
      </c>
      <c r="F238">
        <v>5</v>
      </c>
    </row>
    <row r="239" spans="1:6" x14ac:dyDescent="0.25">
      <c r="A239" t="s">
        <v>1061</v>
      </c>
      <c r="B239" t="s">
        <v>9</v>
      </c>
      <c r="C239" t="s">
        <v>22</v>
      </c>
      <c r="D239">
        <v>521</v>
      </c>
      <c r="E239">
        <v>22</v>
      </c>
      <c r="F239">
        <v>499</v>
      </c>
    </row>
    <row r="240" spans="1:6" x14ac:dyDescent="0.25">
      <c r="A240" t="s">
        <v>1061</v>
      </c>
      <c r="B240" t="s">
        <v>761</v>
      </c>
      <c r="C240" t="s">
        <v>21</v>
      </c>
      <c r="D240">
        <v>54</v>
      </c>
      <c r="E240">
        <v>9</v>
      </c>
      <c r="F240">
        <v>45</v>
      </c>
    </row>
    <row r="241" spans="1:6" x14ac:dyDescent="0.25">
      <c r="A241" t="s">
        <v>1061</v>
      </c>
      <c r="B241" t="s">
        <v>3</v>
      </c>
      <c r="C241" t="s">
        <v>79</v>
      </c>
      <c r="D241">
        <v>98</v>
      </c>
      <c r="E241">
        <v>58</v>
      </c>
      <c r="F241">
        <v>40</v>
      </c>
    </row>
    <row r="242" spans="1:6" x14ac:dyDescent="0.25">
      <c r="A242" t="s">
        <v>1061</v>
      </c>
      <c r="B242" t="s">
        <v>3</v>
      </c>
      <c r="C242" t="s">
        <v>301</v>
      </c>
      <c r="D242">
        <v>465</v>
      </c>
      <c r="E242">
        <v>203</v>
      </c>
      <c r="F242">
        <v>262</v>
      </c>
    </row>
    <row r="243" spans="1:6" x14ac:dyDescent="0.25">
      <c r="A243" t="s">
        <v>1061</v>
      </c>
      <c r="B243" t="s">
        <v>299</v>
      </c>
      <c r="C243" t="s">
        <v>21</v>
      </c>
      <c r="D243">
        <v>37</v>
      </c>
      <c r="E243">
        <v>6</v>
      </c>
      <c r="F243">
        <v>31</v>
      </c>
    </row>
    <row r="244" spans="1:6" x14ac:dyDescent="0.25">
      <c r="A244" t="s">
        <v>1108</v>
      </c>
      <c r="B244" t="s">
        <v>2</v>
      </c>
      <c r="C244" t="s">
        <v>18</v>
      </c>
      <c r="D244">
        <v>1</v>
      </c>
      <c r="E244">
        <v>1</v>
      </c>
      <c r="F244">
        <v>0</v>
      </c>
    </row>
    <row r="245" spans="1:6" x14ac:dyDescent="0.25">
      <c r="A245" t="s">
        <v>192</v>
      </c>
      <c r="B245" t="s">
        <v>299</v>
      </c>
      <c r="C245" t="s">
        <v>22</v>
      </c>
      <c r="D245">
        <v>73</v>
      </c>
      <c r="E245">
        <v>8</v>
      </c>
      <c r="F245">
        <v>65</v>
      </c>
    </row>
    <row r="246" spans="1:6" x14ac:dyDescent="0.25">
      <c r="A246" t="s">
        <v>192</v>
      </c>
      <c r="B246" t="s">
        <v>300</v>
      </c>
      <c r="C246" t="s">
        <v>19</v>
      </c>
      <c r="D246">
        <v>115</v>
      </c>
      <c r="E246">
        <v>3</v>
      </c>
      <c r="F246">
        <v>112</v>
      </c>
    </row>
    <row r="247" spans="1:6" x14ac:dyDescent="0.25">
      <c r="A247" t="s">
        <v>192</v>
      </c>
      <c r="B247" t="s">
        <v>300</v>
      </c>
      <c r="C247" t="s">
        <v>21</v>
      </c>
      <c r="D247">
        <v>679</v>
      </c>
      <c r="E247">
        <v>22</v>
      </c>
      <c r="F247">
        <v>657</v>
      </c>
    </row>
    <row r="248" spans="1:6" x14ac:dyDescent="0.25">
      <c r="A248" t="s">
        <v>191</v>
      </c>
      <c r="B248" t="s">
        <v>2</v>
      </c>
      <c r="C248" t="s">
        <v>23</v>
      </c>
      <c r="D248">
        <v>110</v>
      </c>
      <c r="E248">
        <v>89</v>
      </c>
      <c r="F248">
        <v>21</v>
      </c>
    </row>
    <row r="249" spans="1:6" x14ac:dyDescent="0.25">
      <c r="A249" t="s">
        <v>191</v>
      </c>
      <c r="B249" t="s">
        <v>3</v>
      </c>
      <c r="C249" t="s">
        <v>94</v>
      </c>
      <c r="D249">
        <v>195</v>
      </c>
      <c r="E249">
        <v>176</v>
      </c>
      <c r="F249">
        <v>19</v>
      </c>
    </row>
    <row r="250" spans="1:6" x14ac:dyDescent="0.25">
      <c r="A250" t="s">
        <v>191</v>
      </c>
      <c r="B250" t="s">
        <v>3</v>
      </c>
      <c r="C250" t="s">
        <v>197</v>
      </c>
      <c r="D250">
        <v>2</v>
      </c>
      <c r="E250">
        <v>2</v>
      </c>
      <c r="F250">
        <v>0</v>
      </c>
    </row>
    <row r="251" spans="1:6" x14ac:dyDescent="0.25">
      <c r="A251" t="s">
        <v>191</v>
      </c>
      <c r="B251" t="s">
        <v>3</v>
      </c>
      <c r="C251" t="s">
        <v>79</v>
      </c>
      <c r="D251">
        <v>59</v>
      </c>
      <c r="E251">
        <v>40</v>
      </c>
      <c r="F251">
        <v>19</v>
      </c>
    </row>
    <row r="252" spans="1:6" x14ac:dyDescent="0.25">
      <c r="A252" t="s">
        <v>191</v>
      </c>
      <c r="B252" t="s">
        <v>3</v>
      </c>
      <c r="C252" t="s">
        <v>77</v>
      </c>
      <c r="D252">
        <v>44</v>
      </c>
      <c r="E252">
        <v>21</v>
      </c>
      <c r="F252">
        <v>23</v>
      </c>
    </row>
    <row r="253" spans="1:6" x14ac:dyDescent="0.25">
      <c r="A253" t="s">
        <v>191</v>
      </c>
      <c r="B253" t="s">
        <v>300</v>
      </c>
      <c r="C253" t="s">
        <v>196</v>
      </c>
      <c r="D253">
        <v>7</v>
      </c>
      <c r="E253">
        <v>0</v>
      </c>
      <c r="F253">
        <v>7</v>
      </c>
    </row>
    <row r="254" spans="1:6" x14ac:dyDescent="0.25">
      <c r="A254" t="s">
        <v>191</v>
      </c>
      <c r="B254" t="s">
        <v>300</v>
      </c>
      <c r="C254" t="s">
        <v>23</v>
      </c>
      <c r="D254">
        <v>2285</v>
      </c>
      <c r="E254">
        <v>109</v>
      </c>
      <c r="F254">
        <v>2176</v>
      </c>
    </row>
    <row r="255" spans="1:6" x14ac:dyDescent="0.25">
      <c r="A255" t="s">
        <v>191</v>
      </c>
      <c r="B255" t="s">
        <v>300</v>
      </c>
      <c r="C255" t="s">
        <v>20</v>
      </c>
      <c r="D255">
        <v>130</v>
      </c>
      <c r="E255">
        <v>1</v>
      </c>
      <c r="F255">
        <v>129</v>
      </c>
    </row>
    <row r="256" spans="1:6" x14ac:dyDescent="0.25">
      <c r="A256" t="s">
        <v>190</v>
      </c>
      <c r="B256" t="s">
        <v>9</v>
      </c>
      <c r="C256" t="s">
        <v>22</v>
      </c>
      <c r="D256">
        <v>543</v>
      </c>
      <c r="E256">
        <v>17</v>
      </c>
      <c r="F256">
        <v>526</v>
      </c>
    </row>
    <row r="257" spans="1:6" x14ac:dyDescent="0.25">
      <c r="A257" t="s">
        <v>190</v>
      </c>
      <c r="B257" t="s">
        <v>3</v>
      </c>
      <c r="C257" t="s">
        <v>77</v>
      </c>
      <c r="D257">
        <v>40</v>
      </c>
      <c r="E257">
        <v>15</v>
      </c>
      <c r="F257">
        <v>25</v>
      </c>
    </row>
    <row r="258" spans="1:6" x14ac:dyDescent="0.25">
      <c r="A258" t="s">
        <v>190</v>
      </c>
      <c r="B258" t="s">
        <v>300</v>
      </c>
      <c r="C258" t="s">
        <v>196</v>
      </c>
      <c r="D258">
        <v>4</v>
      </c>
      <c r="E258">
        <v>0</v>
      </c>
      <c r="F258">
        <v>4</v>
      </c>
    </row>
    <row r="259" spans="1:6" x14ac:dyDescent="0.25">
      <c r="A259" t="s">
        <v>190</v>
      </c>
      <c r="B259" t="s">
        <v>300</v>
      </c>
      <c r="C259" t="s">
        <v>22</v>
      </c>
      <c r="D259">
        <v>600</v>
      </c>
      <c r="E259">
        <v>27</v>
      </c>
      <c r="F259">
        <v>573</v>
      </c>
    </row>
    <row r="260" spans="1:6" x14ac:dyDescent="0.25">
      <c r="A260" t="s">
        <v>257</v>
      </c>
      <c r="B260" t="s">
        <v>2</v>
      </c>
      <c r="C260" t="s">
        <v>19</v>
      </c>
      <c r="D260">
        <v>5</v>
      </c>
      <c r="E260">
        <v>4</v>
      </c>
      <c r="F260">
        <v>1</v>
      </c>
    </row>
    <row r="261" spans="1:6" x14ac:dyDescent="0.25">
      <c r="A261" t="s">
        <v>257</v>
      </c>
      <c r="B261" t="s">
        <v>9</v>
      </c>
      <c r="C261" t="s">
        <v>21</v>
      </c>
      <c r="D261">
        <v>260</v>
      </c>
      <c r="E261">
        <v>16</v>
      </c>
      <c r="F261">
        <v>244</v>
      </c>
    </row>
    <row r="262" spans="1:6" x14ac:dyDescent="0.25">
      <c r="A262" t="s">
        <v>240</v>
      </c>
      <c r="B262" t="s">
        <v>3</v>
      </c>
      <c r="C262" t="s">
        <v>83</v>
      </c>
      <c r="D262">
        <v>32</v>
      </c>
      <c r="E262">
        <v>19</v>
      </c>
      <c r="F262">
        <v>13</v>
      </c>
    </row>
    <row r="263" spans="1:6" x14ac:dyDescent="0.25">
      <c r="A263" t="s">
        <v>240</v>
      </c>
      <c r="B263" t="s">
        <v>300</v>
      </c>
      <c r="C263" t="s">
        <v>22</v>
      </c>
      <c r="D263">
        <v>689</v>
      </c>
      <c r="E263">
        <v>26</v>
      </c>
      <c r="F263">
        <v>663</v>
      </c>
    </row>
    <row r="264" spans="1:6" x14ac:dyDescent="0.25">
      <c r="A264" t="s">
        <v>240</v>
      </c>
      <c r="B264" t="s">
        <v>300</v>
      </c>
      <c r="C264" t="s">
        <v>20</v>
      </c>
      <c r="D264">
        <v>153</v>
      </c>
      <c r="E264">
        <v>2</v>
      </c>
      <c r="F264">
        <v>151</v>
      </c>
    </row>
    <row r="265" spans="1:6" x14ac:dyDescent="0.25">
      <c r="A265" t="s">
        <v>240</v>
      </c>
      <c r="B265" t="s">
        <v>300</v>
      </c>
      <c r="C265" t="s">
        <v>21</v>
      </c>
      <c r="D265">
        <v>603</v>
      </c>
      <c r="E265">
        <v>31</v>
      </c>
      <c r="F265">
        <v>572</v>
      </c>
    </row>
    <row r="266" spans="1:6" x14ac:dyDescent="0.25">
      <c r="A266" t="s">
        <v>239</v>
      </c>
      <c r="B266" t="s">
        <v>2</v>
      </c>
      <c r="C266" t="s">
        <v>23</v>
      </c>
      <c r="D266">
        <v>124</v>
      </c>
      <c r="E266">
        <v>103</v>
      </c>
      <c r="F266">
        <v>21</v>
      </c>
    </row>
    <row r="267" spans="1:6" x14ac:dyDescent="0.25">
      <c r="A267" t="s">
        <v>239</v>
      </c>
      <c r="B267" t="s">
        <v>2</v>
      </c>
      <c r="C267" t="s">
        <v>20</v>
      </c>
      <c r="D267">
        <v>9</v>
      </c>
      <c r="E267">
        <v>8</v>
      </c>
      <c r="F267">
        <v>1</v>
      </c>
    </row>
    <row r="268" spans="1:6" x14ac:dyDescent="0.25">
      <c r="A268" t="s">
        <v>239</v>
      </c>
      <c r="B268" t="s">
        <v>761</v>
      </c>
      <c r="C268" t="s">
        <v>991</v>
      </c>
      <c r="D268">
        <v>18</v>
      </c>
      <c r="E268">
        <v>1</v>
      </c>
      <c r="F268">
        <v>17</v>
      </c>
    </row>
    <row r="269" spans="1:6" x14ac:dyDescent="0.25">
      <c r="A269" t="s">
        <v>239</v>
      </c>
      <c r="B269" t="s">
        <v>299</v>
      </c>
      <c r="C269" t="s">
        <v>22</v>
      </c>
      <c r="D269">
        <v>40</v>
      </c>
      <c r="E269">
        <v>3</v>
      </c>
      <c r="F269">
        <v>37</v>
      </c>
    </row>
    <row r="270" spans="1:6" x14ac:dyDescent="0.25">
      <c r="A270" t="s">
        <v>239</v>
      </c>
      <c r="B270" t="s">
        <v>300</v>
      </c>
      <c r="C270" t="s">
        <v>196</v>
      </c>
      <c r="D270">
        <v>4</v>
      </c>
      <c r="E270">
        <v>0</v>
      </c>
      <c r="F270">
        <v>4</v>
      </c>
    </row>
    <row r="271" spans="1:6" x14ac:dyDescent="0.25">
      <c r="A271" t="s">
        <v>760</v>
      </c>
      <c r="B271" t="s">
        <v>3</v>
      </c>
      <c r="C271" t="s">
        <v>301</v>
      </c>
      <c r="D271">
        <v>400</v>
      </c>
      <c r="E271">
        <v>152</v>
      </c>
      <c r="F271">
        <v>248</v>
      </c>
    </row>
    <row r="272" spans="1:6" x14ac:dyDescent="0.25">
      <c r="A272" t="s">
        <v>760</v>
      </c>
      <c r="B272" t="s">
        <v>300</v>
      </c>
      <c r="C272" t="s">
        <v>18</v>
      </c>
      <c r="D272">
        <v>31</v>
      </c>
      <c r="E272">
        <v>0</v>
      </c>
      <c r="F272">
        <v>31</v>
      </c>
    </row>
    <row r="273" spans="1:6" x14ac:dyDescent="0.25">
      <c r="A273" t="s">
        <v>760</v>
      </c>
      <c r="B273" t="s">
        <v>300</v>
      </c>
      <c r="C273" t="s">
        <v>22</v>
      </c>
      <c r="D273">
        <v>688</v>
      </c>
      <c r="E273">
        <v>31</v>
      </c>
      <c r="F273">
        <v>657</v>
      </c>
    </row>
    <row r="274" spans="1:6" x14ac:dyDescent="0.25">
      <c r="A274" t="s">
        <v>917</v>
      </c>
      <c r="B274" t="s">
        <v>2</v>
      </c>
      <c r="C274" t="s">
        <v>23</v>
      </c>
      <c r="D274">
        <v>95</v>
      </c>
      <c r="E274">
        <v>79</v>
      </c>
      <c r="F274">
        <v>16</v>
      </c>
    </row>
    <row r="275" spans="1:6" x14ac:dyDescent="0.25">
      <c r="A275" t="s">
        <v>917</v>
      </c>
      <c r="B275" t="s">
        <v>9</v>
      </c>
      <c r="C275" t="s">
        <v>21</v>
      </c>
      <c r="D275">
        <v>267</v>
      </c>
      <c r="E275">
        <v>14</v>
      </c>
      <c r="F275">
        <v>253</v>
      </c>
    </row>
    <row r="276" spans="1:6" x14ac:dyDescent="0.25">
      <c r="A276" t="s">
        <v>917</v>
      </c>
      <c r="B276" t="s">
        <v>3</v>
      </c>
      <c r="C276" t="s">
        <v>94</v>
      </c>
      <c r="D276">
        <v>187</v>
      </c>
      <c r="E276">
        <v>178</v>
      </c>
      <c r="F276">
        <v>9</v>
      </c>
    </row>
    <row r="277" spans="1:6" x14ac:dyDescent="0.25">
      <c r="A277" t="s">
        <v>917</v>
      </c>
      <c r="B277" t="s">
        <v>3</v>
      </c>
      <c r="C277" t="s">
        <v>197</v>
      </c>
      <c r="D277">
        <v>3</v>
      </c>
      <c r="E277">
        <v>2</v>
      </c>
      <c r="F277">
        <v>1</v>
      </c>
    </row>
    <row r="278" spans="1:6" x14ac:dyDescent="0.25">
      <c r="A278" t="s">
        <v>917</v>
      </c>
      <c r="B278" t="s">
        <v>3</v>
      </c>
      <c r="C278" t="s">
        <v>301</v>
      </c>
      <c r="D278">
        <v>413</v>
      </c>
      <c r="E278">
        <v>161</v>
      </c>
      <c r="F278">
        <v>252</v>
      </c>
    </row>
    <row r="279" spans="1:6" x14ac:dyDescent="0.25">
      <c r="A279" t="s">
        <v>917</v>
      </c>
      <c r="B279" t="s">
        <v>299</v>
      </c>
      <c r="C279" t="s">
        <v>23</v>
      </c>
      <c r="D279">
        <v>223</v>
      </c>
      <c r="E279">
        <v>44</v>
      </c>
      <c r="F279">
        <v>179</v>
      </c>
    </row>
    <row r="280" spans="1:6" x14ac:dyDescent="0.25">
      <c r="A280" t="s">
        <v>917</v>
      </c>
      <c r="B280" t="s">
        <v>300</v>
      </c>
      <c r="C280" t="s">
        <v>19</v>
      </c>
      <c r="D280">
        <v>79</v>
      </c>
      <c r="E280">
        <v>2</v>
      </c>
      <c r="F280">
        <v>77</v>
      </c>
    </row>
    <row r="281" spans="1:6" x14ac:dyDescent="0.25">
      <c r="A281" t="s">
        <v>1010</v>
      </c>
      <c r="B281" t="s">
        <v>2</v>
      </c>
      <c r="C281" t="s">
        <v>18</v>
      </c>
      <c r="D281">
        <v>1</v>
      </c>
      <c r="E281">
        <v>1</v>
      </c>
      <c r="F281">
        <v>0</v>
      </c>
    </row>
    <row r="282" spans="1:6" x14ac:dyDescent="0.25">
      <c r="A282" t="s">
        <v>1010</v>
      </c>
      <c r="B282" t="s">
        <v>9</v>
      </c>
      <c r="C282" t="s">
        <v>22</v>
      </c>
      <c r="D282">
        <v>526</v>
      </c>
      <c r="E282">
        <v>18</v>
      </c>
      <c r="F282">
        <v>508</v>
      </c>
    </row>
    <row r="283" spans="1:6" x14ac:dyDescent="0.25">
      <c r="A283" t="s">
        <v>1010</v>
      </c>
      <c r="B283" t="s">
        <v>3</v>
      </c>
      <c r="C283" t="s">
        <v>77</v>
      </c>
      <c r="D283">
        <v>57</v>
      </c>
      <c r="E283">
        <v>25</v>
      </c>
      <c r="F283">
        <v>32</v>
      </c>
    </row>
    <row r="284" spans="1:6" x14ac:dyDescent="0.25">
      <c r="A284" t="s">
        <v>1010</v>
      </c>
      <c r="B284" t="s">
        <v>3</v>
      </c>
      <c r="C284" t="s">
        <v>83</v>
      </c>
      <c r="D284">
        <v>33</v>
      </c>
      <c r="E284">
        <v>20</v>
      </c>
      <c r="F284">
        <v>13</v>
      </c>
    </row>
    <row r="285" spans="1:6" x14ac:dyDescent="0.25">
      <c r="A285" t="s">
        <v>1010</v>
      </c>
      <c r="B285" t="s">
        <v>299</v>
      </c>
      <c r="C285" t="s">
        <v>21</v>
      </c>
      <c r="D285">
        <v>36</v>
      </c>
      <c r="E285">
        <v>6</v>
      </c>
      <c r="F285">
        <v>30</v>
      </c>
    </row>
    <row r="286" spans="1:6" x14ac:dyDescent="0.25">
      <c r="A286" t="s">
        <v>1061</v>
      </c>
      <c r="B286" t="s">
        <v>3</v>
      </c>
      <c r="C286" t="s">
        <v>302</v>
      </c>
      <c r="D286">
        <v>58</v>
      </c>
      <c r="E286">
        <v>18</v>
      </c>
      <c r="F286">
        <v>40</v>
      </c>
    </row>
    <row r="287" spans="1:6" x14ac:dyDescent="0.25">
      <c r="A287" t="s">
        <v>1108</v>
      </c>
      <c r="B287" t="s">
        <v>2</v>
      </c>
      <c r="C287" t="s">
        <v>21</v>
      </c>
      <c r="D287">
        <v>40</v>
      </c>
      <c r="E287">
        <v>35</v>
      </c>
      <c r="F287">
        <v>5</v>
      </c>
    </row>
    <row r="288" spans="1:6" x14ac:dyDescent="0.25">
      <c r="A288" t="s">
        <v>1108</v>
      </c>
      <c r="B288" t="s">
        <v>761</v>
      </c>
      <c r="C288" t="s">
        <v>21</v>
      </c>
      <c r="D288">
        <v>53</v>
      </c>
      <c r="E288">
        <v>8</v>
      </c>
      <c r="F288">
        <v>45</v>
      </c>
    </row>
    <row r="289" spans="1:6" x14ac:dyDescent="0.25">
      <c r="A289" t="s">
        <v>1108</v>
      </c>
      <c r="B289" t="s">
        <v>3</v>
      </c>
      <c r="C289" t="s">
        <v>197</v>
      </c>
      <c r="D289">
        <v>3</v>
      </c>
      <c r="E289">
        <v>2</v>
      </c>
      <c r="F289">
        <v>1</v>
      </c>
    </row>
    <row r="290" spans="1:6" x14ac:dyDescent="0.25">
      <c r="A290" t="s">
        <v>1108</v>
      </c>
      <c r="B290" t="s">
        <v>299</v>
      </c>
      <c r="C290" t="s">
        <v>22</v>
      </c>
      <c r="D290">
        <v>41</v>
      </c>
      <c r="E290">
        <v>6</v>
      </c>
      <c r="F290">
        <v>35</v>
      </c>
    </row>
  </sheetData>
  <pageMargins left="0.7" right="0.7" top="0.75" bottom="0.75" header="0.3" footer="0.3"/>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5">
    <tabColor theme="9" tint="0.39997558519241921"/>
    <pageSetUpPr fitToPage="1"/>
  </sheetPr>
  <dimension ref="A1:I65"/>
  <sheetViews>
    <sheetView showGridLines="0" zoomScaleNormal="100" workbookViewId="0">
      <pane ySplit="2" topLeftCell="A3" activePane="bottomLeft" state="frozen"/>
      <selection pane="bottomLeft" sqref="A1:C1"/>
    </sheetView>
  </sheetViews>
  <sheetFormatPr defaultRowHeight="15" x14ac:dyDescent="0.25"/>
  <cols>
    <col min="1" max="1" width="36.85546875" customWidth="1"/>
    <col min="2" max="6" width="14" customWidth="1"/>
  </cols>
  <sheetData>
    <row r="1" spans="1:6" ht="27.6" customHeight="1" x14ac:dyDescent="0.25">
      <c r="A1" s="993" t="s">
        <v>450</v>
      </c>
      <c r="B1" s="993"/>
      <c r="C1" s="993"/>
    </row>
    <row r="2" spans="1:6" x14ac:dyDescent="0.25">
      <c r="A2" s="507" t="s">
        <v>511</v>
      </c>
    </row>
    <row r="3" spans="1:6" x14ac:dyDescent="0.25">
      <c r="A3" s="25"/>
      <c r="B3" s="25"/>
      <c r="C3" s="25"/>
      <c r="D3" s="25"/>
      <c r="E3" s="25"/>
      <c r="F3" s="25"/>
    </row>
    <row r="4" spans="1:6" ht="15.75" customHeight="1" x14ac:dyDescent="0.25">
      <c r="A4" s="1025" t="s">
        <v>1244</v>
      </c>
      <c r="B4" s="1025"/>
      <c r="C4" s="1025"/>
      <c r="D4" s="1025"/>
      <c r="E4" s="1025"/>
      <c r="F4" s="1025"/>
    </row>
    <row r="5" spans="1:6" ht="15" customHeight="1" x14ac:dyDescent="0.25">
      <c r="A5" t="s">
        <v>328</v>
      </c>
      <c r="B5" t="s">
        <v>680</v>
      </c>
      <c r="C5" s="433"/>
      <c r="E5" s="433"/>
      <c r="F5" s="433"/>
    </row>
    <row r="6" spans="1:6" ht="15" customHeight="1" x14ac:dyDescent="0.25">
      <c r="A6" t="s">
        <v>329</v>
      </c>
      <c r="B6" t="s">
        <v>331</v>
      </c>
      <c r="C6" s="433"/>
      <c r="E6" s="433"/>
      <c r="F6" s="433"/>
    </row>
    <row r="7" spans="1:6" ht="15" customHeight="1" x14ac:dyDescent="0.25">
      <c r="A7" t="s">
        <v>330</v>
      </c>
      <c r="B7" t="s">
        <v>332</v>
      </c>
      <c r="C7" s="433"/>
      <c r="D7" s="433"/>
      <c r="E7" s="433"/>
      <c r="F7" s="433"/>
    </row>
    <row r="8" spans="1:6" ht="15.75" x14ac:dyDescent="0.25">
      <c r="A8" s="25"/>
      <c r="B8" s="105"/>
      <c r="C8" s="105"/>
      <c r="D8" s="382" t="s">
        <v>6</v>
      </c>
      <c r="E8" s="105"/>
      <c r="F8" s="106" t="s">
        <v>7</v>
      </c>
    </row>
    <row r="9" spans="1:6" x14ac:dyDescent="0.25">
      <c r="A9" s="483" t="s">
        <v>27</v>
      </c>
      <c r="B9" s="486" t="s">
        <v>88</v>
      </c>
      <c r="C9" s="486" t="s">
        <v>89</v>
      </c>
      <c r="D9" s="486" t="s">
        <v>26</v>
      </c>
      <c r="E9" s="487" t="s">
        <v>88</v>
      </c>
      <c r="F9" s="486" t="s">
        <v>89</v>
      </c>
    </row>
    <row r="10" spans="1:6" x14ac:dyDescent="0.25">
      <c r="A10" s="112" t="s">
        <v>837</v>
      </c>
      <c r="B10" s="981">
        <f>GETPIVOTDATA("Sum of Female",sexandrolepivot!$A$3,"Type","WT","PostConv","Brigade Manager")</f>
        <v>0</v>
      </c>
      <c r="C10" s="981">
        <f>GETPIVOTDATA("Sum of Male",sexandrolepivot!$A$3,"Type","WT","PostConv","Brigade Manager")</f>
        <v>5</v>
      </c>
      <c r="D10" s="484">
        <f>GETPIVOTDATA("Sum of Total",sexandrolepivot!$A$3,"Type","WT","PostConv","Brigade Manager")</f>
        <v>5</v>
      </c>
      <c r="E10" s="115">
        <f t="shared" ref="E10:E17" si="0">B10/(B10+C10)</f>
        <v>0</v>
      </c>
      <c r="F10" s="115">
        <f t="shared" ref="F10:F17" si="1">C10/(B10+C10)</f>
        <v>1</v>
      </c>
    </row>
    <row r="11" spans="1:6" x14ac:dyDescent="0.25">
      <c r="A11" s="112" t="s">
        <v>838</v>
      </c>
      <c r="B11" s="981">
        <f>GETPIVOTDATA("Sum of Female",sexandrolepivot!$A$3,"Type","WT","PostConv","Area Manager")</f>
        <v>1</v>
      </c>
      <c r="C11" s="981">
        <f>GETPIVOTDATA("Sum of Male",sexandrolepivot!$A$3,"Type","WT","PostConv","Area Manager")</f>
        <v>30</v>
      </c>
      <c r="D11" s="484">
        <f>GETPIVOTDATA("Sum of Total",sexandrolepivot!$A$3,"Type","WT","PostConv","Area Manager")</f>
        <v>31</v>
      </c>
      <c r="E11" s="115">
        <f t="shared" si="0"/>
        <v>3.2258064516129031E-2</v>
      </c>
      <c r="F11" s="115">
        <f t="shared" si="1"/>
        <v>0.967741935483871</v>
      </c>
    </row>
    <row r="12" spans="1:6" x14ac:dyDescent="0.25">
      <c r="A12" s="112" t="s">
        <v>839</v>
      </c>
      <c r="B12" s="114">
        <f>GETPIVOTDATA("Sum of Female",sexandrolepivot!$A$3,"Type","WT","PostConv","Group Manager")</f>
        <v>2</v>
      </c>
      <c r="C12" s="114">
        <f>GETPIVOTDATA("Sum of Male",sexandrolepivot!$A$3,"Type","WT","PostConv","Group Manager")</f>
        <v>69</v>
      </c>
      <c r="D12" s="484">
        <f>GETPIVOTDATA("Sum of Total",sexandrolepivot!$A$3,"Type","WT","PostConv","Group Manager")</f>
        <v>71</v>
      </c>
      <c r="E12" s="115">
        <f t="shared" si="0"/>
        <v>2.8169014084507043E-2</v>
      </c>
      <c r="F12" s="115">
        <f t="shared" si="1"/>
        <v>0.971830985915493</v>
      </c>
    </row>
    <row r="13" spans="1:6" x14ac:dyDescent="0.25">
      <c r="A13" s="112" t="s">
        <v>840</v>
      </c>
      <c r="B13" s="114">
        <f>GETPIVOTDATA("Sum of Female",sexandrolepivot!$A$3,"Type","WT","PostConv","Station Manager")</f>
        <v>9</v>
      </c>
      <c r="C13" s="114">
        <f>GETPIVOTDATA("Sum of Male",sexandrolepivot!$A$3,"Type","WT","PostConv","Station Manager")</f>
        <v>147</v>
      </c>
      <c r="D13" s="484">
        <f>GETPIVOTDATA("Sum of Total",sexandrolepivot!$A$3,"Type","WT","PostConv","Station Manager")</f>
        <v>156</v>
      </c>
      <c r="E13" s="115">
        <f t="shared" si="0"/>
        <v>5.7692307692307696E-2</v>
      </c>
      <c r="F13" s="115">
        <f t="shared" si="1"/>
        <v>0.94230769230769229</v>
      </c>
    </row>
    <row r="14" spans="1:6" x14ac:dyDescent="0.25">
      <c r="A14" s="112" t="s">
        <v>841</v>
      </c>
      <c r="B14" s="114">
        <f>GETPIVOTDATA("Sum of Female",sexandrolepivot!$A$3,"Type","WT","PostConv","Watch Manager")</f>
        <v>31</v>
      </c>
      <c r="C14" s="114">
        <f>GETPIVOTDATA("Sum of Male",sexandrolepivot!$A$3,"Type","WT","PostConv","Watch Manager")</f>
        <v>576</v>
      </c>
      <c r="D14" s="484">
        <f>GETPIVOTDATA("Sum of Total",sexandrolepivot!$A$3,"Type","WT","PostConv","Watch Manager")</f>
        <v>607</v>
      </c>
      <c r="E14" s="115">
        <f t="shared" si="0"/>
        <v>5.1070840197693576E-2</v>
      </c>
      <c r="F14" s="115">
        <f t="shared" si="1"/>
        <v>0.94892915980230641</v>
      </c>
    </row>
    <row r="15" spans="1:6" x14ac:dyDescent="0.25">
      <c r="A15" s="112" t="s">
        <v>842</v>
      </c>
      <c r="B15" s="114">
        <f>GETPIVOTDATA("Sum of Female",sexandrolepivot!$A$3,"Type","WT","PostConv","Crew Manager")</f>
        <v>39</v>
      </c>
      <c r="C15" s="114">
        <f>GETPIVOTDATA("Sum of Male",sexandrolepivot!$A$3,"Type","WT","PostConv","Crew Manager")</f>
        <v>601</v>
      </c>
      <c r="D15" s="484">
        <f>GETPIVOTDATA("Sum of Total",sexandrolepivot!$A$3,"Type","WT","PostConv","Crew Manager")</f>
        <v>640</v>
      </c>
      <c r="E15" s="115">
        <f t="shared" si="0"/>
        <v>6.0937499999999999E-2</v>
      </c>
      <c r="F15" s="115">
        <f t="shared" si="1"/>
        <v>0.93906250000000002</v>
      </c>
    </row>
    <row r="16" spans="1:6" x14ac:dyDescent="0.25">
      <c r="A16" s="112" t="s">
        <v>23</v>
      </c>
      <c r="B16" s="114">
        <f>GETPIVOTDATA("Sum of Female",sexandrolepivot!$A$3,"Type","WT","PostConv","Firefighter")</f>
        <v>138</v>
      </c>
      <c r="C16" s="114">
        <f>GETPIVOTDATA("Sum of Male",sexandrolepivot!$A$3,"Type","WT","PostConv","Firefighter")</f>
        <v>1774</v>
      </c>
      <c r="D16" s="484">
        <f>GETPIVOTDATA("Sum of Total",sexandrolepivot!$A$3,"Type","WT","PostConv","Firefighter")</f>
        <v>1912</v>
      </c>
      <c r="E16" s="115">
        <f t="shared" si="0"/>
        <v>7.2175732217573216E-2</v>
      </c>
      <c r="F16" s="115">
        <f t="shared" si="1"/>
        <v>0.92782426778242677</v>
      </c>
    </row>
    <row r="17" spans="1:6" ht="15.75" thickBot="1" x14ac:dyDescent="0.3">
      <c r="A17" s="119" t="s">
        <v>462</v>
      </c>
      <c r="B17" s="645">
        <f>SUM(B10:B16)</f>
        <v>220</v>
      </c>
      <c r="C17" s="645">
        <f>SUM(C10:C16)</f>
        <v>3202</v>
      </c>
      <c r="D17" s="120">
        <f>SUM(D10:D16)</f>
        <v>3422</v>
      </c>
      <c r="E17" s="121">
        <f t="shared" si="0"/>
        <v>6.4289888953828173E-2</v>
      </c>
      <c r="F17" s="121">
        <f t="shared" si="1"/>
        <v>0.93571011104617186</v>
      </c>
    </row>
    <row r="18" spans="1:6" x14ac:dyDescent="0.25">
      <c r="A18" s="113"/>
      <c r="B18" s="122"/>
      <c r="C18" s="122"/>
      <c r="D18" s="117"/>
      <c r="E18" s="124"/>
      <c r="F18" s="124"/>
    </row>
    <row r="19" spans="1:6" x14ac:dyDescent="0.25">
      <c r="A19" s="108" t="s">
        <v>28</v>
      </c>
      <c r="B19" s="125"/>
      <c r="C19" s="132"/>
      <c r="D19" s="117"/>
      <c r="E19" s="308"/>
      <c r="F19" s="308"/>
    </row>
    <row r="20" spans="1:6" x14ac:dyDescent="0.25">
      <c r="A20" s="112" t="s">
        <v>841</v>
      </c>
      <c r="B20" s="25">
        <f>GETPIVOTDATA("Sum of Female",sexandrolepivot!$A$3,"Type","RDS","PostConv","Watch Manager")</f>
        <v>12</v>
      </c>
      <c r="C20" s="306">
        <f>GETPIVOTDATA("Sum of Male",sexandrolepivot!$A$3,"Type","RDS","PostConv","Watch Manager")</f>
        <v>239</v>
      </c>
      <c r="D20" s="485">
        <f>GETPIVOTDATA("Sum of Total",sexandrolepivot!$A$3,"Type","RDS","PostConv","Watch manager")</f>
        <v>251</v>
      </c>
      <c r="E20" s="307">
        <f>B20/(B20+C20)</f>
        <v>4.7808764940239043E-2</v>
      </c>
      <c r="F20" s="307">
        <f>C20/(B20+C20)</f>
        <v>0.952191235059761</v>
      </c>
    </row>
    <row r="21" spans="1:6" x14ac:dyDescent="0.25">
      <c r="A21" s="112" t="s">
        <v>842</v>
      </c>
      <c r="B21" s="25">
        <f>GETPIVOTDATA("Sum of Female",sexandrolepivot!$A$3,"Type","RDS","PostConv","Crew Manager")</f>
        <v>28</v>
      </c>
      <c r="C21" s="25">
        <f>GETPIVOTDATA("Sum of Male",sexandrolepivot!$A$3,"Type","RDS","PostConv","Crew Manager")</f>
        <v>497</v>
      </c>
      <c r="D21" s="484">
        <f>GETPIVOTDATA("Sum of Total",sexandrolepivot!$A$3,"Type","RDS","PostConv","Crew manager")</f>
        <v>525</v>
      </c>
      <c r="E21" s="115">
        <f>B21/(B21+C21)</f>
        <v>5.3333333333333337E-2</v>
      </c>
      <c r="F21" s="115">
        <f>C21/(B21+C21)</f>
        <v>0.94666666666666666</v>
      </c>
    </row>
    <row r="22" spans="1:6" x14ac:dyDescent="0.25">
      <c r="A22" s="112" t="s">
        <v>23</v>
      </c>
      <c r="B22" s="25">
        <f>GETPIVOTDATA("Sum of Female",sexandrolepivot!$A$3,"Type","RDS","PostConv","Firefighter")</f>
        <v>151</v>
      </c>
      <c r="C22" s="25">
        <f>GETPIVOTDATA("Sum of Male",sexandrolepivot!$A$3,"Type","RDS","PostConv","Firefighter")</f>
        <v>1781</v>
      </c>
      <c r="D22" s="484">
        <f>GETPIVOTDATA("Sum of Total",sexandrolepivot!$A$3,"Type","RDS","PostConv","Firefighter")</f>
        <v>1932</v>
      </c>
      <c r="E22" s="115">
        <f>B22/(B22+C22)</f>
        <v>7.8157349896480335E-2</v>
      </c>
      <c r="F22" s="115">
        <f>C22/(B22+C22)</f>
        <v>0.92184265010351962</v>
      </c>
    </row>
    <row r="23" spans="1:6" ht="15.75" thickBot="1" x14ac:dyDescent="0.3">
      <c r="A23" s="119" t="s">
        <v>90</v>
      </c>
      <c r="B23" s="120">
        <f>SUM(B20:B22)</f>
        <v>191</v>
      </c>
      <c r="C23" s="120">
        <f>SUM(C20:C22)</f>
        <v>2517</v>
      </c>
      <c r="D23" s="120">
        <f>SUM(D20:D22)</f>
        <v>2708</v>
      </c>
      <c r="E23" s="121">
        <f>B23/(B23+C23)</f>
        <v>7.0531757754800598E-2</v>
      </c>
      <c r="F23" s="121">
        <f>C23/(B23+C23)</f>
        <v>0.92946824224519942</v>
      </c>
    </row>
    <row r="24" spans="1:6" x14ac:dyDescent="0.25">
      <c r="A24" s="625"/>
      <c r="B24" s="134"/>
      <c r="C24" s="134"/>
      <c r="D24" s="134"/>
      <c r="E24" s="626"/>
      <c r="F24" s="626"/>
    </row>
    <row r="25" spans="1:6" x14ac:dyDescent="0.25">
      <c r="A25" s="627" t="s">
        <v>831</v>
      </c>
      <c r="B25" s="628"/>
      <c r="C25" s="628"/>
      <c r="D25" s="628"/>
      <c r="E25" s="629"/>
      <c r="F25" s="629"/>
    </row>
    <row r="26" spans="1:6" x14ac:dyDescent="0.25">
      <c r="A26" s="627" t="s">
        <v>842</v>
      </c>
      <c r="B26" s="979">
        <f>IFERROR(GETPIVOTDATA("Sum of Female",sexandrolepivot!$A$3,"Type","RDS Fulltime","PostConv","Crew Manager"), "-")</f>
        <v>0</v>
      </c>
      <c r="C26" s="980">
        <f>IFERROR(GETPIVOTDATA("Sum of Male",sexandrolepivot!$A$3,"Type","RDS Fulltime","PostConv","Crew Manager"), "-")</f>
        <v>2</v>
      </c>
      <c r="D26" s="894">
        <f>IFERROR(GETPIVOTDATA("Sum of Total",sexandrolepivot!$A$3,"Type","RDS Fulltime","PostConv", "Crew Manager"), "-")</f>
        <v>2</v>
      </c>
      <c r="E26" s="632">
        <f>IFERROR(B26/(B26+C26), "-")</f>
        <v>0</v>
      </c>
      <c r="F26" s="632">
        <f>IFERROR(C26/(B26+C26), "-")</f>
        <v>1</v>
      </c>
    </row>
    <row r="27" spans="1:6" x14ac:dyDescent="0.25">
      <c r="A27" s="630" t="s">
        <v>841</v>
      </c>
      <c r="B27" s="631">
        <f>IFERROR(GETPIVOTDATA("Sum of Female",sexandrolepivot!$A$3,"Type","RDS Fulltime","PostConv","Watch Manager"),"-")</f>
        <v>8</v>
      </c>
      <c r="C27" s="631">
        <f>IFERROR(GETPIVOTDATA("Sum of Male",sexandrolepivot!$A$3,"Type","RDS Fulltime","PostConv","Watch Manager"),"-")</f>
        <v>45</v>
      </c>
      <c r="D27" s="893">
        <f>IFERROR(GETPIVOTDATA("Sum of Total",sexandrolepivot!$A$3,"Type","RDS Fulltime","PostConv","Watch manager"), "-")</f>
        <v>53</v>
      </c>
      <c r="E27" s="632">
        <f>IFERROR(B27/(B27+C27), "-")</f>
        <v>0.15094339622641509</v>
      </c>
      <c r="F27" s="632">
        <f>IFERROR(C27/(B27+C27), "-")</f>
        <v>0.84905660377358494</v>
      </c>
    </row>
    <row r="28" spans="1:6" ht="15.75" thickBot="1" x14ac:dyDescent="0.3">
      <c r="A28" s="119" t="s">
        <v>970</v>
      </c>
      <c r="B28" s="120">
        <f t="shared" ref="B28:C28" si="2">SUM(B26:B27)</f>
        <v>8</v>
      </c>
      <c r="C28" s="120">
        <f t="shared" si="2"/>
        <v>47</v>
      </c>
      <c r="D28" s="120">
        <f>SUM(D26:D27)</f>
        <v>55</v>
      </c>
      <c r="E28" s="121">
        <f>IFERROR(B28/(B28+C28), "-")</f>
        <v>0.14545454545454545</v>
      </c>
      <c r="F28" s="633">
        <f>IFERROR(C28/(B28+C28), "-")</f>
        <v>0.8545454545454545</v>
      </c>
    </row>
    <row r="29" spans="1:6" x14ac:dyDescent="0.25">
      <c r="A29" s="113"/>
      <c r="B29" s="122"/>
      <c r="C29" s="122"/>
      <c r="D29" s="117"/>
      <c r="E29" s="124"/>
      <c r="F29" s="124"/>
    </row>
    <row r="30" spans="1:6" x14ac:dyDescent="0.25">
      <c r="A30" s="108" t="s">
        <v>91</v>
      </c>
      <c r="B30" s="125"/>
      <c r="C30" s="125"/>
      <c r="D30" s="125"/>
      <c r="E30" s="125"/>
      <c r="F30" s="125"/>
    </row>
    <row r="31" spans="1:6" x14ac:dyDescent="0.25">
      <c r="A31" s="112" t="s">
        <v>838</v>
      </c>
      <c r="B31" s="978">
        <f>IFERROR(GETPIVOTDATA("Sum of Female",sexandrolepivot!$A$3,"Type","Control","PostConv","Area Manager"), "-")</f>
        <v>1</v>
      </c>
      <c r="C31" s="978" t="str">
        <f>IFERROR("-",GETPIVOTDATA("Sum of Male",sexandrolepivot!$A$3,"Type","Control","PostConv","Area Manager"))</f>
        <v>-</v>
      </c>
      <c r="D31" s="895">
        <f>IFERROR(GETPIVOTDATA("Sum of Total",sexandrolepivot!$A$3,"Type","Control","PostConv","Area Manager"), "-")</f>
        <v>1</v>
      </c>
      <c r="E31" s="115">
        <f>IFERROR(B31/(B31+C31),0)</f>
        <v>0</v>
      </c>
      <c r="F31" s="115">
        <f>IFERROR(C31/(B31+C31),0)</f>
        <v>0</v>
      </c>
    </row>
    <row r="32" spans="1:6" x14ac:dyDescent="0.25">
      <c r="A32" s="112" t="s">
        <v>839</v>
      </c>
      <c r="B32" s="978">
        <f>GETPIVOTDATA("Sum of Female",sexandrolepivot!$A$3,"Type","Control","PostConv","Group Manager")</f>
        <v>4</v>
      </c>
      <c r="C32" s="978">
        <f>GETPIVOTDATA("Sum of Male",sexandrolepivot!$A$3,"Type","Control","PostConv","Group Manager")</f>
        <v>0</v>
      </c>
      <c r="D32" s="484">
        <f>GETPIVOTDATA("Sum of Total",sexandrolepivot!$A$3,"Type","Control","PostConv","Group Manager")</f>
        <v>4</v>
      </c>
      <c r="E32" s="115">
        <f t="shared" ref="E32:E37" si="3">B32/(B32+C32)</f>
        <v>1</v>
      </c>
      <c r="F32" s="115">
        <f t="shared" ref="F32:F37" si="4">C32/(B32+C32)</f>
        <v>0</v>
      </c>
    </row>
    <row r="33" spans="1:6" x14ac:dyDescent="0.25">
      <c r="A33" s="112" t="s">
        <v>840</v>
      </c>
      <c r="B33" s="978">
        <f>GETPIVOTDATA("Sum of Female",sexandrolepivot!$A$3,"Type","Control","PostConv","Station Manager")</f>
        <v>8</v>
      </c>
      <c r="C33" s="978">
        <f>GETPIVOTDATA("Sum of Male",sexandrolepivot!$A$3,"Type","Control","PostConv","Station Manager")</f>
        <v>1</v>
      </c>
      <c r="D33" s="484">
        <f>GETPIVOTDATA("Sum of Total",sexandrolepivot!$A$3,"Type","Control","PostConv","Station Manager")</f>
        <v>9</v>
      </c>
      <c r="E33" s="115">
        <f t="shared" si="3"/>
        <v>0.88888888888888884</v>
      </c>
      <c r="F33" s="115">
        <f t="shared" si="4"/>
        <v>0.1111111111111111</v>
      </c>
    </row>
    <row r="34" spans="1:6" x14ac:dyDescent="0.25">
      <c r="A34" s="112" t="s">
        <v>842</v>
      </c>
      <c r="B34" s="116">
        <f>GETPIVOTDATA("Sum of Female",sexandrolepivot!$A$3,"Type","Control","PostConv","Crew Manager")</f>
        <v>21</v>
      </c>
      <c r="C34" s="116">
        <f>GETPIVOTDATA("Sum of Male",sexandrolepivot!$A$3,"Type","Control","PostConv","Crew Manager")</f>
        <v>5</v>
      </c>
      <c r="D34" s="484">
        <f>GETPIVOTDATA("Sum of Total",sexandrolepivot!$A$3,"Type","Control","PostConv","Crew Manager")</f>
        <v>26</v>
      </c>
      <c r="E34" s="115">
        <f t="shared" si="3"/>
        <v>0.80769230769230771</v>
      </c>
      <c r="F34" s="115">
        <f t="shared" si="4"/>
        <v>0.19230769230769232</v>
      </c>
    </row>
    <row r="35" spans="1:6" x14ac:dyDescent="0.25">
      <c r="A35" s="112" t="s">
        <v>841</v>
      </c>
      <c r="B35" s="116">
        <f>GETPIVOTDATA("Sum of Female",sexandrolepivot!$A$3,"Type","Control","PostConv","Watch Manager")</f>
        <v>35</v>
      </c>
      <c r="C35" s="116">
        <f>GETPIVOTDATA("Sum of Male",sexandrolepivot!$A$3,"Type","Control","PostConv","Watch Manager")</f>
        <v>5</v>
      </c>
      <c r="D35" s="484">
        <f>GETPIVOTDATA("Sum of Total",sexandrolepivot!$A$3,"Type","Control","PostConv","Watch Manager")</f>
        <v>40</v>
      </c>
      <c r="E35" s="115">
        <f t="shared" si="3"/>
        <v>0.875</v>
      </c>
      <c r="F35" s="115">
        <f t="shared" si="4"/>
        <v>0.125</v>
      </c>
    </row>
    <row r="36" spans="1:6" x14ac:dyDescent="0.25">
      <c r="A36" s="112" t="s">
        <v>76</v>
      </c>
      <c r="B36" s="116">
        <f>GETPIVOTDATA("Sum of Female",sexandrolepivot!$A$3,"Type","Control","PostConv","Firefighter")</f>
        <v>73</v>
      </c>
      <c r="C36" s="116">
        <f>GETPIVOTDATA("Sum of Male",sexandrolepivot!$A$3,"Type","Control","PostConv","Firefighter")</f>
        <v>18</v>
      </c>
      <c r="D36" s="484">
        <f>GETPIVOTDATA("Sum of Total",sexandrolepivot!$A$3,"Type","Control","PostConv","Firefighter")</f>
        <v>91</v>
      </c>
      <c r="E36" s="115">
        <f t="shared" si="3"/>
        <v>0.80219780219780223</v>
      </c>
      <c r="F36" s="115">
        <f t="shared" si="4"/>
        <v>0.19780219780219779</v>
      </c>
    </row>
    <row r="37" spans="1:6" ht="15.75" thickBot="1" x14ac:dyDescent="0.3">
      <c r="A37" s="129" t="s">
        <v>92</v>
      </c>
      <c r="B37" s="120">
        <f t="shared" ref="B37:C37" si="5">SUM(B31:B36)</f>
        <v>142</v>
      </c>
      <c r="C37" s="120">
        <f t="shared" si="5"/>
        <v>29</v>
      </c>
      <c r="D37" s="120">
        <f>SUM(D31:D36)</f>
        <v>171</v>
      </c>
      <c r="E37" s="121">
        <f t="shared" si="3"/>
        <v>0.83040935672514615</v>
      </c>
      <c r="F37" s="121">
        <f t="shared" si="4"/>
        <v>0.16959064327485379</v>
      </c>
    </row>
    <row r="38" spans="1:6" x14ac:dyDescent="0.25">
      <c r="A38" s="113"/>
      <c r="B38" s="122"/>
      <c r="C38" s="122"/>
      <c r="D38" s="117"/>
      <c r="E38" s="124"/>
      <c r="F38" s="124"/>
    </row>
    <row r="39" spans="1:6" x14ac:dyDescent="0.25">
      <c r="A39" s="130" t="s">
        <v>86</v>
      </c>
      <c r="B39" s="109"/>
      <c r="C39" s="117"/>
      <c r="D39" s="117"/>
      <c r="E39" s="308"/>
      <c r="F39" s="308"/>
    </row>
    <row r="40" spans="1:6" x14ac:dyDescent="0.25">
      <c r="A40" s="112" t="s">
        <v>197</v>
      </c>
      <c r="B40" s="100">
        <f>GETPIVOTDATA("Sum of Female",sexandrolepivot!$A$3,"Type","Support","PostConv","Director")</f>
        <v>2</v>
      </c>
      <c r="C40" s="982">
        <f>GETPIVOTDATA("Sum of Male",sexandrolepivot!$A$3,"Type","Support","PostConv","Director")</f>
        <v>1</v>
      </c>
      <c r="D40" s="309">
        <f>GETPIVOTDATA("Sum of Total",sexandrolepivot!$A$3,"Type","Support","PostConv","Director")</f>
        <v>3</v>
      </c>
      <c r="E40" s="307">
        <f>IFERROR(B40/(B40+C40), "-")</f>
        <v>0.66666666666666663</v>
      </c>
      <c r="F40" s="307">
        <f>IFERROR(C40/(B40+C40), "-")</f>
        <v>0.33333333333333331</v>
      </c>
    </row>
    <row r="41" spans="1:6" x14ac:dyDescent="0.25">
      <c r="A41" s="112" t="s">
        <v>77</v>
      </c>
      <c r="B41" s="123">
        <f>GETPIVOTDATA("Sum of Female",sexandrolepivot!$A$3,"Type","Support","PostConv","Service Manager")</f>
        <v>41</v>
      </c>
      <c r="C41" s="123">
        <f>GETPIVOTDATA("Sum of Male",sexandrolepivot!$A$3,"Type","Support","PostConv","Service Manager")</f>
        <v>46</v>
      </c>
      <c r="D41" s="117">
        <f>GETPIVOTDATA("Sum of Total",sexandrolepivot!$A$3,"Type","Support","PostConv","Service Manager")</f>
        <v>87</v>
      </c>
      <c r="E41" s="115">
        <f t="shared" ref="E41:E46" si="6">B41/(B41+C41)</f>
        <v>0.47126436781609193</v>
      </c>
      <c r="F41" s="115">
        <f t="shared" ref="F41:F46" si="7">C41/(B41+C41)</f>
        <v>0.52873563218390807</v>
      </c>
    </row>
    <row r="42" spans="1:6" x14ac:dyDescent="0.25">
      <c r="A42" s="112" t="s">
        <v>83</v>
      </c>
      <c r="B42" s="123">
        <f>GETPIVOTDATA("Sum of Female",sexandrolepivot!$A$3,"Type","Support","PostConv","Team Leader")</f>
        <v>24</v>
      </c>
      <c r="C42" s="123">
        <f>GETPIVOTDATA("Sum of Male",sexandrolepivot!$A$3,"Type","Support","PostConv","Team Leader")</f>
        <v>11</v>
      </c>
      <c r="D42" s="117">
        <f>GETPIVOTDATA("Sum of Total",sexandrolepivot!$A$3,"Type","Support","PostConv","Team Leader")</f>
        <v>35</v>
      </c>
      <c r="E42" s="115">
        <f t="shared" si="6"/>
        <v>0.68571428571428572</v>
      </c>
      <c r="F42" s="115">
        <f t="shared" si="7"/>
        <v>0.31428571428571428</v>
      </c>
    </row>
    <row r="43" spans="1:6" x14ac:dyDescent="0.25">
      <c r="A43" s="112" t="s">
        <v>81</v>
      </c>
      <c r="B43" s="123">
        <f>GETPIVOTDATA("Sum of Female",sexandrolepivot!$A$3,"Type","Support","PostConv","Tech Support")</f>
        <v>19</v>
      </c>
      <c r="C43" s="123">
        <f>GETPIVOTDATA("Sum of Male",sexandrolepivot!$A$3,"Type","Support","PostConv","Tech Support")</f>
        <v>41</v>
      </c>
      <c r="D43" s="117">
        <f>GETPIVOTDATA("Sum of Total",sexandrolepivot!$A$3,"Type","Support","PostConv","Tech Support")</f>
        <v>60</v>
      </c>
      <c r="E43" s="115">
        <f t="shared" si="6"/>
        <v>0.31666666666666665</v>
      </c>
      <c r="F43" s="115">
        <f t="shared" si="7"/>
        <v>0.68333333333333335</v>
      </c>
    </row>
    <row r="44" spans="1:6" x14ac:dyDescent="0.25">
      <c r="A44" s="112" t="s">
        <v>79</v>
      </c>
      <c r="B44" s="123">
        <f>GETPIVOTDATA("Sum of Female",sexandrolepivot!$A$3,"Type","Support","PostConv","Professional")</f>
        <v>49</v>
      </c>
      <c r="C44" s="123">
        <f>GETPIVOTDATA("Sum of Male",sexandrolepivot!$A$3,"Type","Support","PostConv","Professional")</f>
        <v>41</v>
      </c>
      <c r="D44" s="117">
        <f>GETPIVOTDATA("Sum of Total",sexandrolepivot!$A$3,"Type","Support","PostConv","Professional")</f>
        <v>90</v>
      </c>
      <c r="E44" s="115">
        <f t="shared" si="6"/>
        <v>0.5444444444444444</v>
      </c>
      <c r="F44" s="115">
        <f t="shared" si="7"/>
        <v>0.45555555555555555</v>
      </c>
    </row>
    <row r="45" spans="1:6" x14ac:dyDescent="0.25">
      <c r="A45" s="112" t="s">
        <v>93</v>
      </c>
      <c r="B45" s="123">
        <f>GETPIVOTDATA("Sum of Female",sexandrolepivot!$A$3,"Type","Support","PostConv","Specialist Technical")</f>
        <v>218</v>
      </c>
      <c r="C45" s="123">
        <f>GETPIVOTDATA("Sum of Male",sexandrolepivot!$A$3,"Type","Support","PostConv","Specialist Technical")</f>
        <v>252</v>
      </c>
      <c r="D45" s="117">
        <f>GETPIVOTDATA("Sum of Total",sexandrolepivot!$A$3,"Type","Support","PostConv","Specialist Technical")</f>
        <v>470</v>
      </c>
      <c r="E45" s="115">
        <f t="shared" si="6"/>
        <v>0.46382978723404256</v>
      </c>
      <c r="F45" s="115">
        <f t="shared" si="7"/>
        <v>0.53617021276595744</v>
      </c>
    </row>
    <row r="46" spans="1:6" x14ac:dyDescent="0.25">
      <c r="A46" s="112" t="s">
        <v>94</v>
      </c>
      <c r="B46" s="123">
        <f>GETPIVOTDATA("Sum of Female",sexandrolepivot!$A$3,"Type","Support","PostConv","Administration")</f>
        <v>129</v>
      </c>
      <c r="C46" s="123">
        <f>GETPIVOTDATA("Sum of Male",sexandrolepivot!$A$3,"Type","Support","PostConv","Administration")</f>
        <v>13</v>
      </c>
      <c r="D46" s="117">
        <f>GETPIVOTDATA("Sum of Total",sexandrolepivot!$A$3,"Type","Support","PostConv","Administration")</f>
        <v>142</v>
      </c>
      <c r="E46" s="115">
        <f t="shared" si="6"/>
        <v>0.90845070422535212</v>
      </c>
      <c r="F46" s="115">
        <f t="shared" si="7"/>
        <v>9.154929577464789E-2</v>
      </c>
    </row>
    <row r="47" spans="1:6" ht="15.75" thickBot="1" x14ac:dyDescent="0.3">
      <c r="A47" s="129" t="s">
        <v>95</v>
      </c>
      <c r="B47" s="120">
        <f t="shared" ref="B47:C47" si="8">SUM(B40:B46)</f>
        <v>482</v>
      </c>
      <c r="C47" s="120">
        <f t="shared" si="8"/>
        <v>405</v>
      </c>
      <c r="D47" s="120">
        <f>SUM(D40:D46)</f>
        <v>887</v>
      </c>
      <c r="E47" s="121">
        <f>B47/(B47+C47)</f>
        <v>0.54340473506200682</v>
      </c>
      <c r="F47" s="121">
        <f>C47/(B47+C47)</f>
        <v>0.45659526493799324</v>
      </c>
    </row>
    <row r="48" spans="1:6" x14ac:dyDescent="0.25">
      <c r="A48" s="25"/>
      <c r="B48" s="132"/>
      <c r="C48" s="132"/>
      <c r="D48" s="117"/>
      <c r="E48" s="124"/>
      <c r="F48" s="124"/>
    </row>
    <row r="49" spans="1:9" x14ac:dyDescent="0.25">
      <c r="A49" s="130" t="s">
        <v>29</v>
      </c>
      <c r="B49" s="125"/>
      <c r="C49" s="132"/>
      <c r="D49" s="117"/>
      <c r="E49" s="308"/>
      <c r="F49" s="308"/>
    </row>
    <row r="50" spans="1:9" x14ac:dyDescent="0.25">
      <c r="A50" s="118" t="s">
        <v>209</v>
      </c>
      <c r="B50" s="122">
        <f>GETPIVOTDATA("Sum of Female",sexandrolepivot!$A$3,"Type","Vol","PostConv","Crew Manager")</f>
        <v>6</v>
      </c>
      <c r="C50" s="310">
        <f>GETPIVOTDATA("Sum of Male",sexandrolepivot!$A$3,"Type","Vol","PostConv","Crew Manager")</f>
        <v>35</v>
      </c>
      <c r="D50" s="311">
        <f>GETPIVOTDATA("Sum of Total",sexandrolepivot!$A$3,"Type","Vol","PostConv","Crew Manager")</f>
        <v>41</v>
      </c>
      <c r="E50" s="307">
        <f>B50/(B50+C50)</f>
        <v>0.14634146341463414</v>
      </c>
      <c r="F50" s="307">
        <f>C50/(B50+C50)</f>
        <v>0.85365853658536583</v>
      </c>
    </row>
    <row r="51" spans="1:9" x14ac:dyDescent="0.25">
      <c r="A51" s="118" t="s">
        <v>971</v>
      </c>
      <c r="B51" s="983">
        <f>GETPIVOTDATA("Sum of Female",sexandrolepivot!$A$3,"Type","Vol","PostConv","Watch Manager")</f>
        <v>5</v>
      </c>
      <c r="C51" s="983">
        <f>GETPIVOTDATA("Sum of Male",sexandrolepivot!$A$3,"Type","Vol","PostConv","Watch Manager")</f>
        <v>30</v>
      </c>
      <c r="D51" s="892">
        <f>GETPIVOTDATA("Sum of Total",sexandrolepivot!$A$3,"Type","Vol","PostConv","Watch Manager")</f>
        <v>35</v>
      </c>
      <c r="E51" s="115">
        <f>B51/(B51+C51)</f>
        <v>0.14285714285714285</v>
      </c>
      <c r="F51" s="115">
        <f>C51/(B51+C51)</f>
        <v>0.8571428571428571</v>
      </c>
    </row>
    <row r="52" spans="1:9" x14ac:dyDescent="0.25">
      <c r="A52" s="118" t="s">
        <v>210</v>
      </c>
      <c r="B52" s="122">
        <f>GETPIVOTDATA("Sum of Female",sexandrolepivot!$A$3,"Type","Vol","PostConv","Firefighter")</f>
        <v>31</v>
      </c>
      <c r="C52" s="122">
        <f>GETPIVOTDATA("Sum of Male",sexandrolepivot!$A$3,"Type","Vol","PostConv","Firefighter")</f>
        <v>162</v>
      </c>
      <c r="D52" s="892">
        <f>GETPIVOTDATA("Sum of Total",sexandrolepivot!$A$3,"Type","Vol","PostConv","Firefighter")</f>
        <v>193</v>
      </c>
      <c r="E52" s="115">
        <f>B52/(B52+C52)</f>
        <v>0.16062176165803108</v>
      </c>
      <c r="F52" s="115">
        <f>C52/(B52+C52)</f>
        <v>0.8393782383419689</v>
      </c>
    </row>
    <row r="53" spans="1:9" ht="15.75" thickBot="1" x14ac:dyDescent="0.3">
      <c r="A53" s="129" t="s">
        <v>96</v>
      </c>
      <c r="B53" s="120">
        <f t="shared" ref="B53:C53" si="9">SUM(B50:B52)</f>
        <v>42</v>
      </c>
      <c r="C53" s="120">
        <f t="shared" si="9"/>
        <v>227</v>
      </c>
      <c r="D53" s="120">
        <f>SUM(D50:D52)</f>
        <v>269</v>
      </c>
      <c r="E53" s="121">
        <f>B53/(B53+C53)</f>
        <v>0.15613382899628253</v>
      </c>
      <c r="F53" s="121">
        <f>C53/(B53+C53)</f>
        <v>0.84386617100371752</v>
      </c>
    </row>
    <row r="54" spans="1:9" x14ac:dyDescent="0.25">
      <c r="A54" s="133"/>
      <c r="B54" s="134"/>
      <c r="C54" s="134"/>
      <c r="D54" s="135"/>
      <c r="E54" s="136"/>
      <c r="F54" s="136"/>
    </row>
    <row r="55" spans="1:9" ht="15.75" thickBot="1" x14ac:dyDescent="0.3">
      <c r="A55" s="137" t="s">
        <v>97</v>
      </c>
      <c r="B55" s="138">
        <f>B53+B47+B37+B23+B17</f>
        <v>1077</v>
      </c>
      <c r="C55" s="138">
        <f>C53+C47+C37+C23+C17</f>
        <v>6380</v>
      </c>
      <c r="D55" s="138">
        <f>D53+D47+D37+D23+D17+D28</f>
        <v>7512</v>
      </c>
      <c r="E55" s="121">
        <f>B55/(B55+C55)</f>
        <v>0.14442805417728308</v>
      </c>
      <c r="F55" s="121">
        <f>C55/(B55+C55)</f>
        <v>0.85557194582271689</v>
      </c>
    </row>
    <row r="56" spans="1:9" x14ac:dyDescent="0.25">
      <c r="A56" s="139"/>
      <c r="B56" s="140"/>
      <c r="C56" s="140"/>
      <c r="D56" s="140"/>
      <c r="E56" s="136"/>
      <c r="F56" s="136"/>
    </row>
    <row r="57" spans="1:9" ht="15.75" thickBot="1" x14ac:dyDescent="0.3">
      <c r="A57" s="141" t="s">
        <v>98</v>
      </c>
      <c r="B57" s="138">
        <f>B55-B53</f>
        <v>1035</v>
      </c>
      <c r="C57" s="138">
        <f>C55-C53</f>
        <v>6153</v>
      </c>
      <c r="D57" s="120">
        <f>SUM(B57:C57)</f>
        <v>7188</v>
      </c>
      <c r="E57" s="121">
        <f>B57/(B57+C57)</f>
        <v>0.14398998330550919</v>
      </c>
      <c r="F57" s="121">
        <f>C57/(B57+C57)</f>
        <v>0.85601001669449084</v>
      </c>
    </row>
    <row r="58" spans="1:9" x14ac:dyDescent="0.25">
      <c r="A58" s="25"/>
      <c r="B58" s="25"/>
      <c r="C58" s="25"/>
      <c r="D58" s="142"/>
      <c r="E58" s="143" t="s">
        <v>99</v>
      </c>
      <c r="F58" s="25"/>
    </row>
    <row r="59" spans="1:9" x14ac:dyDescent="0.25">
      <c r="A59" s="339" t="s">
        <v>8</v>
      </c>
      <c r="B59" s="344"/>
      <c r="C59" s="344"/>
      <c r="D59" s="345"/>
      <c r="E59" s="346"/>
      <c r="F59" s="344"/>
      <c r="G59" s="344"/>
    </row>
    <row r="60" spans="1:9" ht="29.25" customHeight="1" x14ac:dyDescent="0.25">
      <c r="A60" s="992" t="s">
        <v>916</v>
      </c>
      <c r="B60" s="992"/>
      <c r="C60" s="992"/>
      <c r="D60" s="992"/>
      <c r="E60" s="992"/>
      <c r="F60" s="992"/>
      <c r="G60" s="992"/>
    </row>
    <row r="61" spans="1:9" ht="46.5" customHeight="1" x14ac:dyDescent="0.25">
      <c r="A61" s="1003" t="s">
        <v>844</v>
      </c>
      <c r="B61" s="1003"/>
      <c r="C61" s="1003"/>
      <c r="D61" s="1003"/>
      <c r="E61" s="1003"/>
      <c r="F61" s="1003"/>
      <c r="G61" s="1003"/>
      <c r="H61" s="603"/>
      <c r="I61" s="603"/>
    </row>
    <row r="62" spans="1:9" ht="45" customHeight="1" x14ac:dyDescent="0.25">
      <c r="A62" s="1010" t="s">
        <v>214</v>
      </c>
      <c r="B62" s="1010"/>
      <c r="C62" s="1010"/>
      <c r="D62" s="1010"/>
      <c r="E62" s="1010"/>
      <c r="F62" s="1010"/>
      <c r="G62" s="1010"/>
    </row>
    <row r="63" spans="1:9" ht="30" customHeight="1" x14ac:dyDescent="0.25">
      <c r="A63" s="1026" t="s">
        <v>215</v>
      </c>
      <c r="B63" s="1026"/>
      <c r="C63" s="1026"/>
      <c r="D63" s="1026"/>
      <c r="E63" s="1026"/>
      <c r="F63" s="1026"/>
      <c r="G63" s="344"/>
    </row>
    <row r="64" spans="1:9" ht="45" customHeight="1" x14ac:dyDescent="0.25">
      <c r="A64" s="1027" t="s">
        <v>216</v>
      </c>
      <c r="B64" s="1027"/>
      <c r="C64" s="1027"/>
      <c r="D64" s="1027"/>
      <c r="E64" s="1027"/>
      <c r="F64" s="1027"/>
      <c r="G64" s="344"/>
    </row>
    <row r="65" spans="1:1" x14ac:dyDescent="0.25">
      <c r="A65" s="573" t="s">
        <v>729</v>
      </c>
    </row>
  </sheetData>
  <sheetProtection algorithmName="SHA-512" hashValue="iJhBFMy+vSeCspWcPMLaqWdeZo9+xYt9UWL8sxJjKUVFVLiK/dmlkaSfzwCm8PSaj7SQEctxA9dns3eV7a8TRA==" saltValue="rGsxUK7gmbiKaQgxj6ewsg==" spinCount="100000" sheet="1" scenarios="1" formatCells="0" sort="0" autoFilter="0" pivotTables="0"/>
  <mergeCells count="7">
    <mergeCell ref="A1:C1"/>
    <mergeCell ref="A61:G61"/>
    <mergeCell ref="A4:F4"/>
    <mergeCell ref="A63:F63"/>
    <mergeCell ref="A64:F64"/>
    <mergeCell ref="A62:G62"/>
    <mergeCell ref="A60:G60"/>
  </mergeCells>
  <hyperlinks>
    <hyperlink ref="A2" location="'Table of Contents'!A1" display="Back to Table of Contents" xr:uid="{00000000-0004-0000-5A00-000000000000}"/>
  </hyperlinks>
  <pageMargins left="0.70866141732283472" right="0.70866141732283472" top="0.74803149606299213" bottom="0.74803149606299213" header="0.31496062992125984" footer="0.31496062992125984"/>
  <pageSetup paperSize="9" scale="73" orientation="portrait" r:id="rId1"/>
  <drawing r:id="rId2"/>
  <extLst>
    <ext xmlns:x14="http://schemas.microsoft.com/office/spreadsheetml/2009/9/main" uri="{A8765BA9-456A-4dab-B4F3-ACF838C121DE}">
      <x14:slicerList>
        <x14:slicer r:id="rId3"/>
      </x14:slicerList>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9" tint="0.39997558519241921"/>
  </sheetPr>
  <dimension ref="A1:D39"/>
  <sheetViews>
    <sheetView topLeftCell="A4" workbookViewId="0">
      <selection activeCell="B18" sqref="B18"/>
    </sheetView>
  </sheetViews>
  <sheetFormatPr defaultRowHeight="15" x14ac:dyDescent="0.25"/>
  <cols>
    <col min="1" max="1" width="21.85546875" bestFit="1" customWidth="1"/>
    <col min="2" max="2" width="13.5703125" bestFit="1" customWidth="1"/>
    <col min="3" max="3" width="11.5703125" bestFit="1" customWidth="1"/>
    <col min="4" max="4" width="11.42578125" bestFit="1" customWidth="1"/>
  </cols>
  <sheetData>
    <row r="1" spans="1:4" x14ac:dyDescent="0.25">
      <c r="A1" s="394" t="s">
        <v>1</v>
      </c>
      <c r="B1" t="s">
        <v>1108</v>
      </c>
    </row>
    <row r="3" spans="1:4" x14ac:dyDescent="0.25">
      <c r="A3" s="394" t="s">
        <v>231</v>
      </c>
      <c r="B3" t="s">
        <v>303</v>
      </c>
      <c r="C3" t="s">
        <v>304</v>
      </c>
      <c r="D3" t="s">
        <v>237</v>
      </c>
    </row>
    <row r="4" spans="1:4" x14ac:dyDescent="0.25">
      <c r="A4" s="395" t="s">
        <v>2</v>
      </c>
    </row>
    <row r="5" spans="1:4" x14ac:dyDescent="0.25">
      <c r="A5" s="396" t="s">
        <v>18</v>
      </c>
      <c r="B5">
        <v>1</v>
      </c>
    </row>
    <row r="6" spans="1:4" x14ac:dyDescent="0.25">
      <c r="A6" s="396" t="s">
        <v>22</v>
      </c>
      <c r="B6">
        <v>20.79</v>
      </c>
      <c r="C6">
        <v>5</v>
      </c>
      <c r="D6">
        <v>25.79</v>
      </c>
    </row>
    <row r="7" spans="1:4" x14ac:dyDescent="0.25">
      <c r="A7" s="396" t="s">
        <v>23</v>
      </c>
      <c r="B7">
        <v>68.850000000000009</v>
      </c>
      <c r="C7">
        <v>18</v>
      </c>
      <c r="D7">
        <v>86.850000000000009</v>
      </c>
    </row>
    <row r="8" spans="1:4" x14ac:dyDescent="0.25">
      <c r="A8" s="396" t="s">
        <v>19</v>
      </c>
      <c r="B8">
        <v>4</v>
      </c>
    </row>
    <row r="9" spans="1:4" x14ac:dyDescent="0.25">
      <c r="A9" s="396" t="s">
        <v>20</v>
      </c>
      <c r="B9">
        <v>8</v>
      </c>
      <c r="C9">
        <v>1</v>
      </c>
      <c r="D9">
        <v>9</v>
      </c>
    </row>
    <row r="10" spans="1:4" x14ac:dyDescent="0.25">
      <c r="A10" s="396" t="s">
        <v>21</v>
      </c>
      <c r="B10">
        <v>34.57</v>
      </c>
      <c r="C10">
        <v>5</v>
      </c>
      <c r="D10">
        <v>39.57</v>
      </c>
    </row>
    <row r="11" spans="1:4" x14ac:dyDescent="0.25">
      <c r="A11" s="395" t="s">
        <v>964</v>
      </c>
      <c r="B11">
        <v>137.21</v>
      </c>
      <c r="C11">
        <v>29</v>
      </c>
      <c r="D11">
        <v>161.21</v>
      </c>
    </row>
    <row r="12" spans="1:4" x14ac:dyDescent="0.25">
      <c r="A12" s="395" t="s">
        <v>9</v>
      </c>
    </row>
    <row r="13" spans="1:4" x14ac:dyDescent="0.25">
      <c r="A13" s="396" t="s">
        <v>22</v>
      </c>
      <c r="B13">
        <v>23.25</v>
      </c>
      <c r="C13">
        <v>428.88</v>
      </c>
      <c r="D13">
        <v>452.13</v>
      </c>
    </row>
    <row r="14" spans="1:4" x14ac:dyDescent="0.25">
      <c r="A14" s="396" t="s">
        <v>23</v>
      </c>
      <c r="B14">
        <v>128.5</v>
      </c>
      <c r="C14">
        <v>1486.84</v>
      </c>
      <c r="D14">
        <v>1615.34</v>
      </c>
    </row>
    <row r="15" spans="1:4" x14ac:dyDescent="0.25">
      <c r="A15" s="396" t="s">
        <v>21</v>
      </c>
      <c r="B15">
        <v>9.75</v>
      </c>
      <c r="C15">
        <v>212.54999999999998</v>
      </c>
      <c r="D15">
        <v>222.29999999999998</v>
      </c>
    </row>
    <row r="16" spans="1:4" x14ac:dyDescent="0.25">
      <c r="A16" s="395" t="s">
        <v>965</v>
      </c>
      <c r="B16">
        <v>161.5</v>
      </c>
      <c r="C16">
        <v>2128.27</v>
      </c>
      <c r="D16">
        <v>2289.77</v>
      </c>
    </row>
    <row r="17" spans="1:4" x14ac:dyDescent="0.25">
      <c r="A17" s="395" t="s">
        <v>761</v>
      </c>
    </row>
    <row r="18" spans="1:4" x14ac:dyDescent="0.25">
      <c r="A18" s="396" t="s">
        <v>22</v>
      </c>
      <c r="C18">
        <v>2</v>
      </c>
    </row>
    <row r="19" spans="1:4" x14ac:dyDescent="0.25">
      <c r="A19" s="396" t="s">
        <v>21</v>
      </c>
      <c r="B19">
        <v>8</v>
      </c>
      <c r="C19">
        <v>45</v>
      </c>
      <c r="D19">
        <v>53</v>
      </c>
    </row>
    <row r="20" spans="1:4" x14ac:dyDescent="0.25">
      <c r="A20" s="395" t="s">
        <v>969</v>
      </c>
      <c r="B20">
        <v>8</v>
      </c>
      <c r="C20">
        <v>47</v>
      </c>
      <c r="D20">
        <v>53</v>
      </c>
    </row>
    <row r="21" spans="1:4" x14ac:dyDescent="0.25">
      <c r="A21" s="395" t="s">
        <v>3</v>
      </c>
    </row>
    <row r="22" spans="1:4" x14ac:dyDescent="0.25">
      <c r="A22" s="396" t="s">
        <v>94</v>
      </c>
      <c r="B22">
        <v>110.35999999999999</v>
      </c>
      <c r="C22">
        <v>13</v>
      </c>
      <c r="D22">
        <v>123.35999999999999</v>
      </c>
    </row>
    <row r="23" spans="1:4" x14ac:dyDescent="0.25">
      <c r="A23" s="396" t="s">
        <v>197</v>
      </c>
      <c r="B23">
        <v>2</v>
      </c>
      <c r="C23">
        <v>1</v>
      </c>
      <c r="D23">
        <v>3</v>
      </c>
    </row>
    <row r="24" spans="1:4" x14ac:dyDescent="0.25">
      <c r="A24" s="396" t="s">
        <v>79</v>
      </c>
      <c r="B24">
        <v>47.1</v>
      </c>
      <c r="C24">
        <v>41</v>
      </c>
      <c r="D24">
        <v>88.1</v>
      </c>
    </row>
    <row r="25" spans="1:4" x14ac:dyDescent="0.25">
      <c r="A25" s="396" t="s">
        <v>77</v>
      </c>
      <c r="B25">
        <v>40.08</v>
      </c>
      <c r="C25">
        <v>45.6</v>
      </c>
      <c r="D25">
        <v>85.68</v>
      </c>
    </row>
    <row r="26" spans="1:4" x14ac:dyDescent="0.25">
      <c r="A26" s="396" t="s">
        <v>301</v>
      </c>
      <c r="B26">
        <v>204.51</v>
      </c>
      <c r="C26">
        <v>233.86999999999998</v>
      </c>
      <c r="D26">
        <v>438.38</v>
      </c>
    </row>
    <row r="27" spans="1:4" x14ac:dyDescent="0.25">
      <c r="A27" s="396" t="s">
        <v>83</v>
      </c>
      <c r="B27">
        <v>24</v>
      </c>
      <c r="C27">
        <v>11</v>
      </c>
      <c r="D27">
        <v>35</v>
      </c>
    </row>
    <row r="28" spans="1:4" x14ac:dyDescent="0.25">
      <c r="A28" s="396" t="s">
        <v>302</v>
      </c>
      <c r="B28">
        <v>15.529999999999998</v>
      </c>
      <c r="C28">
        <v>40.35</v>
      </c>
      <c r="D28">
        <v>55.879999999999995</v>
      </c>
    </row>
    <row r="29" spans="1:4" x14ac:dyDescent="0.25">
      <c r="A29" s="395" t="s">
        <v>966</v>
      </c>
      <c r="B29">
        <v>443.57999999999993</v>
      </c>
      <c r="C29">
        <v>385.82</v>
      </c>
      <c r="D29">
        <v>829.4</v>
      </c>
    </row>
    <row r="30" spans="1:4" x14ac:dyDescent="0.25">
      <c r="A30" s="395" t="s">
        <v>300</v>
      </c>
    </row>
    <row r="31" spans="1:4" x14ac:dyDescent="0.25">
      <c r="A31" s="396" t="s">
        <v>18</v>
      </c>
      <c r="B31">
        <v>1</v>
      </c>
      <c r="C31">
        <v>30</v>
      </c>
      <c r="D31">
        <v>31</v>
      </c>
    </row>
    <row r="32" spans="1:4" x14ac:dyDescent="0.25">
      <c r="A32" s="396" t="s">
        <v>196</v>
      </c>
      <c r="C32">
        <v>5</v>
      </c>
    </row>
    <row r="33" spans="1:4" x14ac:dyDescent="0.25">
      <c r="A33" s="396" t="s">
        <v>22</v>
      </c>
      <c r="B33">
        <v>39</v>
      </c>
      <c r="C33">
        <v>601</v>
      </c>
      <c r="D33">
        <v>640</v>
      </c>
    </row>
    <row r="34" spans="1:4" x14ac:dyDescent="0.25">
      <c r="A34" s="396" t="s">
        <v>23</v>
      </c>
      <c r="B34">
        <v>137.32999999999998</v>
      </c>
      <c r="C34">
        <v>1771.98</v>
      </c>
      <c r="D34">
        <v>1909.31</v>
      </c>
    </row>
    <row r="35" spans="1:4" x14ac:dyDescent="0.25">
      <c r="A35" s="396" t="s">
        <v>19</v>
      </c>
      <c r="B35">
        <v>2</v>
      </c>
      <c r="C35">
        <v>69</v>
      </c>
      <c r="D35">
        <v>71</v>
      </c>
    </row>
    <row r="36" spans="1:4" x14ac:dyDescent="0.25">
      <c r="A36" s="396" t="s">
        <v>20</v>
      </c>
      <c r="B36">
        <v>9</v>
      </c>
      <c r="C36">
        <v>147</v>
      </c>
      <c r="D36">
        <v>156</v>
      </c>
    </row>
    <row r="37" spans="1:4" x14ac:dyDescent="0.25">
      <c r="A37" s="396" t="s">
        <v>21</v>
      </c>
      <c r="B37">
        <v>31</v>
      </c>
      <c r="C37">
        <v>575.77</v>
      </c>
      <c r="D37">
        <v>606.77</v>
      </c>
    </row>
    <row r="38" spans="1:4" x14ac:dyDescent="0.25">
      <c r="A38" s="395" t="s">
        <v>968</v>
      </c>
      <c r="B38">
        <v>219.32999999999998</v>
      </c>
      <c r="C38">
        <v>3199.75</v>
      </c>
      <c r="D38">
        <v>3414.08</v>
      </c>
    </row>
    <row r="39" spans="1:4" x14ac:dyDescent="0.25">
      <c r="A39" s="395" t="s">
        <v>236</v>
      </c>
      <c r="B39">
        <v>969.61999999999989</v>
      </c>
      <c r="C39">
        <v>5789.84</v>
      </c>
      <c r="D39">
        <v>6747.4600000000009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9" tint="0.39997558519241921"/>
  </sheetPr>
  <dimension ref="A1:F257"/>
  <sheetViews>
    <sheetView workbookViewId="0">
      <selection activeCell="D14" sqref="D14"/>
    </sheetView>
  </sheetViews>
  <sheetFormatPr defaultRowHeight="15" x14ac:dyDescent="0.25"/>
  <cols>
    <col min="1" max="1" width="7.42578125" bestFit="1" customWidth="1"/>
    <col min="2" max="2" width="11.7109375" bestFit="1" customWidth="1"/>
    <col min="3" max="3" width="17.5703125" bestFit="1" customWidth="1"/>
    <col min="4" max="6" width="11.85546875" bestFit="1" customWidth="1"/>
  </cols>
  <sheetData>
    <row r="1" spans="1:6" x14ac:dyDescent="0.25">
      <c r="A1" t="s">
        <v>1</v>
      </c>
      <c r="B1" t="s">
        <v>961</v>
      </c>
      <c r="C1" t="s">
        <v>962</v>
      </c>
      <c r="D1" t="s">
        <v>26</v>
      </c>
      <c r="E1" t="s">
        <v>88</v>
      </c>
      <c r="F1" t="s">
        <v>89</v>
      </c>
    </row>
    <row r="2" spans="1:6" x14ac:dyDescent="0.25">
      <c r="A2" t="s">
        <v>192</v>
      </c>
      <c r="B2" t="s">
        <v>3</v>
      </c>
      <c r="C2" t="s">
        <v>94</v>
      </c>
      <c r="D2">
        <v>223.6</v>
      </c>
      <c r="E2">
        <v>197.5</v>
      </c>
      <c r="F2">
        <v>26.1</v>
      </c>
    </row>
    <row r="3" spans="1:6" x14ac:dyDescent="0.25">
      <c r="A3" t="s">
        <v>192</v>
      </c>
      <c r="B3" t="s">
        <v>3</v>
      </c>
      <c r="C3" t="s">
        <v>79</v>
      </c>
      <c r="D3">
        <v>42.3</v>
      </c>
      <c r="E3">
        <v>25.7</v>
      </c>
      <c r="F3">
        <v>16.600000000000001</v>
      </c>
    </row>
    <row r="4" spans="1:6" x14ac:dyDescent="0.25">
      <c r="A4" t="s">
        <v>192</v>
      </c>
      <c r="B4" t="s">
        <v>300</v>
      </c>
      <c r="C4" t="s">
        <v>18</v>
      </c>
      <c r="D4">
        <v>28</v>
      </c>
      <c r="F4">
        <v>28</v>
      </c>
    </row>
    <row r="5" spans="1:6" x14ac:dyDescent="0.25">
      <c r="A5" t="s">
        <v>191</v>
      </c>
      <c r="B5" t="s">
        <v>2</v>
      </c>
      <c r="C5" t="s">
        <v>19</v>
      </c>
      <c r="D5">
        <v>5</v>
      </c>
      <c r="E5">
        <v>4</v>
      </c>
      <c r="F5">
        <v>1</v>
      </c>
    </row>
    <row r="6" spans="1:6" x14ac:dyDescent="0.25">
      <c r="A6" t="s">
        <v>191</v>
      </c>
      <c r="B6" t="s">
        <v>2</v>
      </c>
      <c r="C6" t="s">
        <v>20</v>
      </c>
      <c r="D6">
        <v>12.85</v>
      </c>
      <c r="E6">
        <v>10.85</v>
      </c>
      <c r="F6">
        <v>2</v>
      </c>
    </row>
    <row r="7" spans="1:6" x14ac:dyDescent="0.25">
      <c r="A7" t="s">
        <v>191</v>
      </c>
      <c r="B7" t="s">
        <v>2</v>
      </c>
      <c r="C7" t="s">
        <v>21</v>
      </c>
      <c r="D7">
        <v>49.46</v>
      </c>
      <c r="E7">
        <v>43.46</v>
      </c>
      <c r="F7">
        <v>6</v>
      </c>
    </row>
    <row r="8" spans="1:6" x14ac:dyDescent="0.25">
      <c r="A8" t="s">
        <v>191</v>
      </c>
      <c r="B8" t="s">
        <v>9</v>
      </c>
      <c r="C8" t="s">
        <v>21</v>
      </c>
      <c r="D8">
        <v>263.75</v>
      </c>
      <c r="E8">
        <v>12</v>
      </c>
      <c r="F8">
        <v>251.75</v>
      </c>
    </row>
    <row r="9" spans="1:6" x14ac:dyDescent="0.25">
      <c r="A9" t="s">
        <v>190</v>
      </c>
      <c r="B9" t="s">
        <v>3</v>
      </c>
      <c r="C9" t="s">
        <v>94</v>
      </c>
      <c r="D9">
        <v>145.72971428571435</v>
      </c>
      <c r="E9">
        <v>128.96057142857148</v>
      </c>
      <c r="F9">
        <v>16.769142857142857</v>
      </c>
    </row>
    <row r="10" spans="1:6" x14ac:dyDescent="0.25">
      <c r="A10" t="s">
        <v>190</v>
      </c>
      <c r="B10" t="s">
        <v>300</v>
      </c>
      <c r="C10" t="s">
        <v>19</v>
      </c>
      <c r="D10">
        <v>90</v>
      </c>
      <c r="E10">
        <v>3</v>
      </c>
      <c r="F10">
        <v>87</v>
      </c>
    </row>
    <row r="11" spans="1:6" x14ac:dyDescent="0.25">
      <c r="A11" t="s">
        <v>240</v>
      </c>
      <c r="B11" t="s">
        <v>3</v>
      </c>
      <c r="C11" t="s">
        <v>83</v>
      </c>
      <c r="D11">
        <v>30.86</v>
      </c>
      <c r="E11">
        <v>18.36</v>
      </c>
      <c r="F11">
        <v>12.5</v>
      </c>
    </row>
    <row r="12" spans="1:6" x14ac:dyDescent="0.25">
      <c r="A12" t="s">
        <v>239</v>
      </c>
      <c r="B12" t="s">
        <v>2</v>
      </c>
      <c r="C12" t="s">
        <v>19</v>
      </c>
      <c r="D12">
        <v>4</v>
      </c>
      <c r="E12">
        <v>3</v>
      </c>
      <c r="F12">
        <v>1</v>
      </c>
    </row>
    <row r="13" spans="1:6" x14ac:dyDescent="0.25">
      <c r="A13" t="s">
        <v>239</v>
      </c>
      <c r="B13" t="s">
        <v>3</v>
      </c>
      <c r="C13" t="s">
        <v>302</v>
      </c>
      <c r="D13">
        <v>58.61</v>
      </c>
      <c r="E13">
        <v>21.26</v>
      </c>
      <c r="F13">
        <v>37.35</v>
      </c>
    </row>
    <row r="14" spans="1:6" x14ac:dyDescent="0.25">
      <c r="A14" t="s">
        <v>760</v>
      </c>
      <c r="B14" t="s">
        <v>2</v>
      </c>
      <c r="C14" t="s">
        <v>18</v>
      </c>
      <c r="E14">
        <v>1</v>
      </c>
    </row>
    <row r="15" spans="1:6" x14ac:dyDescent="0.25">
      <c r="A15" t="s">
        <v>760</v>
      </c>
      <c r="B15" t="s">
        <v>9</v>
      </c>
      <c r="C15" t="s">
        <v>23</v>
      </c>
      <c r="D15">
        <v>1855.3</v>
      </c>
      <c r="E15">
        <v>153.15</v>
      </c>
      <c r="F15">
        <v>1702.1499999999999</v>
      </c>
    </row>
    <row r="16" spans="1:6" x14ac:dyDescent="0.25">
      <c r="A16" t="s">
        <v>917</v>
      </c>
      <c r="B16" t="s">
        <v>3</v>
      </c>
      <c r="C16" t="s">
        <v>77</v>
      </c>
      <c r="D16">
        <v>49.8</v>
      </c>
      <c r="E16">
        <v>16.8</v>
      </c>
      <c r="F16">
        <v>33</v>
      </c>
    </row>
    <row r="17" spans="1:6" x14ac:dyDescent="0.25">
      <c r="A17" t="s">
        <v>917</v>
      </c>
      <c r="B17" t="s">
        <v>3</v>
      </c>
      <c r="C17" t="s">
        <v>302</v>
      </c>
      <c r="D17">
        <v>55.730000000000004</v>
      </c>
      <c r="E17">
        <v>18.38</v>
      </c>
      <c r="F17">
        <v>37.35</v>
      </c>
    </row>
    <row r="18" spans="1:6" x14ac:dyDescent="0.25">
      <c r="A18" t="s">
        <v>917</v>
      </c>
      <c r="B18" t="s">
        <v>300</v>
      </c>
      <c r="C18" t="s">
        <v>23</v>
      </c>
      <c r="D18">
        <v>2017.43</v>
      </c>
      <c r="E18">
        <v>148.43</v>
      </c>
      <c r="F18">
        <v>1869</v>
      </c>
    </row>
    <row r="19" spans="1:6" x14ac:dyDescent="0.25">
      <c r="A19" t="s">
        <v>1010</v>
      </c>
      <c r="B19" t="s">
        <v>2</v>
      </c>
      <c r="C19" t="s">
        <v>20</v>
      </c>
      <c r="D19">
        <v>10</v>
      </c>
      <c r="E19">
        <v>9</v>
      </c>
      <c r="F19">
        <v>1</v>
      </c>
    </row>
    <row r="20" spans="1:6" x14ac:dyDescent="0.25">
      <c r="A20" t="s">
        <v>1010</v>
      </c>
      <c r="B20" t="s">
        <v>761</v>
      </c>
      <c r="C20" t="s">
        <v>21</v>
      </c>
      <c r="D20">
        <v>53</v>
      </c>
      <c r="E20">
        <v>10</v>
      </c>
      <c r="F20">
        <v>43</v>
      </c>
    </row>
    <row r="21" spans="1:6" x14ac:dyDescent="0.25">
      <c r="A21" t="s">
        <v>1010</v>
      </c>
      <c r="B21" t="s">
        <v>3</v>
      </c>
      <c r="C21" t="s">
        <v>301</v>
      </c>
      <c r="D21">
        <v>449.55000000000007</v>
      </c>
      <c r="E21">
        <v>168.88000000000002</v>
      </c>
      <c r="F21">
        <v>280.67</v>
      </c>
    </row>
    <row r="22" spans="1:6" x14ac:dyDescent="0.25">
      <c r="A22" t="s">
        <v>1010</v>
      </c>
      <c r="B22" t="s">
        <v>300</v>
      </c>
      <c r="C22" t="s">
        <v>23</v>
      </c>
      <c r="D22">
        <v>1988.43</v>
      </c>
      <c r="E22">
        <v>146.92999999999998</v>
      </c>
      <c r="F22">
        <v>1841.5</v>
      </c>
    </row>
    <row r="23" spans="1:6" x14ac:dyDescent="0.25">
      <c r="A23" t="s">
        <v>1061</v>
      </c>
      <c r="B23" t="s">
        <v>2</v>
      </c>
      <c r="C23" t="s">
        <v>22</v>
      </c>
      <c r="D23">
        <v>28.29</v>
      </c>
      <c r="E23">
        <v>24.29</v>
      </c>
      <c r="F23">
        <v>4</v>
      </c>
    </row>
    <row r="24" spans="1:6" x14ac:dyDescent="0.25">
      <c r="A24" t="s">
        <v>1061</v>
      </c>
      <c r="B24" t="s">
        <v>2</v>
      </c>
      <c r="C24" t="s">
        <v>23</v>
      </c>
      <c r="D24">
        <v>87.91</v>
      </c>
      <c r="E24">
        <v>70.91</v>
      </c>
      <c r="F24">
        <v>17</v>
      </c>
    </row>
    <row r="25" spans="1:6" x14ac:dyDescent="0.25">
      <c r="A25" t="s">
        <v>1061</v>
      </c>
      <c r="B25" t="s">
        <v>3</v>
      </c>
      <c r="C25" t="s">
        <v>83</v>
      </c>
      <c r="D25">
        <v>36</v>
      </c>
      <c r="E25">
        <v>24</v>
      </c>
      <c r="F25">
        <v>12</v>
      </c>
    </row>
    <row r="26" spans="1:6" x14ac:dyDescent="0.25">
      <c r="A26" t="s">
        <v>1108</v>
      </c>
      <c r="B26" t="s">
        <v>9</v>
      </c>
      <c r="C26" t="s">
        <v>23</v>
      </c>
      <c r="D26">
        <v>1615.34</v>
      </c>
      <c r="E26">
        <v>128.5</v>
      </c>
      <c r="F26">
        <v>1486.84</v>
      </c>
    </row>
    <row r="27" spans="1:6" x14ac:dyDescent="0.25">
      <c r="A27" t="s">
        <v>1108</v>
      </c>
      <c r="B27" t="s">
        <v>3</v>
      </c>
      <c r="C27" t="s">
        <v>77</v>
      </c>
      <c r="D27">
        <v>85.68</v>
      </c>
      <c r="E27">
        <v>40.08</v>
      </c>
      <c r="F27">
        <v>45.6</v>
      </c>
    </row>
    <row r="28" spans="1:6" x14ac:dyDescent="0.25">
      <c r="A28" t="s">
        <v>1108</v>
      </c>
      <c r="B28" t="s">
        <v>3</v>
      </c>
      <c r="C28" t="s">
        <v>302</v>
      </c>
      <c r="D28">
        <v>55.879999999999995</v>
      </c>
      <c r="E28">
        <v>15.529999999999998</v>
      </c>
      <c r="F28">
        <v>40.35</v>
      </c>
    </row>
    <row r="29" spans="1:6" x14ac:dyDescent="0.25">
      <c r="A29" t="s">
        <v>1108</v>
      </c>
      <c r="B29" t="s">
        <v>300</v>
      </c>
      <c r="C29" t="s">
        <v>18</v>
      </c>
      <c r="D29">
        <v>31</v>
      </c>
      <c r="E29">
        <v>1</v>
      </c>
      <c r="F29">
        <v>30</v>
      </c>
    </row>
    <row r="30" spans="1:6" x14ac:dyDescent="0.25">
      <c r="A30" t="s">
        <v>1108</v>
      </c>
      <c r="B30" t="s">
        <v>300</v>
      </c>
      <c r="C30" t="s">
        <v>22</v>
      </c>
      <c r="D30">
        <v>640</v>
      </c>
      <c r="E30">
        <v>39</v>
      </c>
      <c r="F30">
        <v>601</v>
      </c>
    </row>
    <row r="31" spans="1:6" x14ac:dyDescent="0.25">
      <c r="A31" t="s">
        <v>1108</v>
      </c>
      <c r="B31" t="s">
        <v>300</v>
      </c>
      <c r="C31" t="s">
        <v>20</v>
      </c>
      <c r="D31">
        <v>156</v>
      </c>
      <c r="E31">
        <v>9</v>
      </c>
      <c r="F31">
        <v>147</v>
      </c>
    </row>
    <row r="32" spans="1:6" x14ac:dyDescent="0.25">
      <c r="A32" t="s">
        <v>192</v>
      </c>
      <c r="B32" t="s">
        <v>2</v>
      </c>
      <c r="C32" t="s">
        <v>22</v>
      </c>
      <c r="D32">
        <v>51.01</v>
      </c>
      <c r="E32">
        <v>45.01</v>
      </c>
      <c r="F32">
        <v>6</v>
      </c>
    </row>
    <row r="33" spans="1:6" x14ac:dyDescent="0.25">
      <c r="A33" t="s">
        <v>192</v>
      </c>
      <c r="B33" t="s">
        <v>9</v>
      </c>
      <c r="C33" t="s">
        <v>21</v>
      </c>
      <c r="D33">
        <v>262.12</v>
      </c>
      <c r="E33">
        <v>10</v>
      </c>
      <c r="F33">
        <v>252.12000000000003</v>
      </c>
    </row>
    <row r="34" spans="1:6" x14ac:dyDescent="0.25">
      <c r="A34" t="s">
        <v>192</v>
      </c>
      <c r="B34" t="s">
        <v>3</v>
      </c>
      <c r="C34" t="s">
        <v>301</v>
      </c>
      <c r="D34">
        <v>256.39999999999998</v>
      </c>
      <c r="E34">
        <v>39.199999999999996</v>
      </c>
      <c r="F34">
        <v>217.2</v>
      </c>
    </row>
    <row r="35" spans="1:6" x14ac:dyDescent="0.25">
      <c r="A35" t="s">
        <v>191</v>
      </c>
      <c r="B35" t="s">
        <v>300</v>
      </c>
      <c r="C35" t="s">
        <v>21</v>
      </c>
      <c r="D35">
        <v>664</v>
      </c>
      <c r="E35">
        <v>27</v>
      </c>
      <c r="F35">
        <v>637</v>
      </c>
    </row>
    <row r="36" spans="1:6" x14ac:dyDescent="0.25">
      <c r="A36" t="s">
        <v>190</v>
      </c>
      <c r="B36" t="s">
        <v>300</v>
      </c>
      <c r="C36" t="s">
        <v>22</v>
      </c>
      <c r="D36">
        <v>598.34523809523807</v>
      </c>
      <c r="E36">
        <v>27</v>
      </c>
      <c r="F36">
        <v>571.34523809523807</v>
      </c>
    </row>
    <row r="37" spans="1:6" x14ac:dyDescent="0.25">
      <c r="A37" t="s">
        <v>190</v>
      </c>
      <c r="B37" t="s">
        <v>300</v>
      </c>
      <c r="C37" t="s">
        <v>20</v>
      </c>
      <c r="D37">
        <v>126</v>
      </c>
      <c r="E37">
        <v>2</v>
      </c>
      <c r="F37">
        <v>124</v>
      </c>
    </row>
    <row r="38" spans="1:6" x14ac:dyDescent="0.25">
      <c r="A38" t="s">
        <v>190</v>
      </c>
      <c r="B38" t="s">
        <v>300</v>
      </c>
      <c r="C38" t="s">
        <v>21</v>
      </c>
      <c r="D38">
        <v>585.31904761904764</v>
      </c>
      <c r="E38">
        <v>22</v>
      </c>
      <c r="F38">
        <v>563.31904761904764</v>
      </c>
    </row>
    <row r="39" spans="1:6" x14ac:dyDescent="0.25">
      <c r="A39" t="s">
        <v>257</v>
      </c>
      <c r="B39" t="s">
        <v>3</v>
      </c>
      <c r="C39" t="s">
        <v>94</v>
      </c>
      <c r="D39">
        <v>140.91</v>
      </c>
      <c r="E39">
        <v>130.36000000000001</v>
      </c>
      <c r="F39">
        <v>10.55</v>
      </c>
    </row>
    <row r="40" spans="1:6" x14ac:dyDescent="0.25">
      <c r="A40" t="s">
        <v>257</v>
      </c>
      <c r="B40" t="s">
        <v>300</v>
      </c>
      <c r="C40" t="s">
        <v>196</v>
      </c>
      <c r="F40">
        <v>4</v>
      </c>
    </row>
    <row r="41" spans="1:6" x14ac:dyDescent="0.25">
      <c r="A41" t="s">
        <v>257</v>
      </c>
      <c r="B41" t="s">
        <v>300</v>
      </c>
      <c r="C41" t="s">
        <v>19</v>
      </c>
      <c r="D41">
        <v>70</v>
      </c>
      <c r="E41">
        <v>2</v>
      </c>
      <c r="F41">
        <v>68</v>
      </c>
    </row>
    <row r="42" spans="1:6" x14ac:dyDescent="0.25">
      <c r="A42" t="s">
        <v>257</v>
      </c>
      <c r="B42" t="s">
        <v>300</v>
      </c>
      <c r="C42" t="s">
        <v>20</v>
      </c>
      <c r="D42">
        <v>151</v>
      </c>
      <c r="E42">
        <v>2</v>
      </c>
      <c r="F42">
        <v>149</v>
      </c>
    </row>
    <row r="43" spans="1:6" x14ac:dyDescent="0.25">
      <c r="A43" t="s">
        <v>240</v>
      </c>
      <c r="B43" t="s">
        <v>2</v>
      </c>
      <c r="C43" t="s">
        <v>22</v>
      </c>
      <c r="D43">
        <v>26.79</v>
      </c>
      <c r="E43">
        <v>22.79</v>
      </c>
      <c r="F43">
        <v>4</v>
      </c>
    </row>
    <row r="44" spans="1:6" x14ac:dyDescent="0.25">
      <c r="A44" t="s">
        <v>240</v>
      </c>
      <c r="B44" t="s">
        <v>9</v>
      </c>
      <c r="C44" t="s">
        <v>21</v>
      </c>
      <c r="D44">
        <v>246.25</v>
      </c>
      <c r="E44">
        <v>13.75</v>
      </c>
      <c r="F44">
        <v>232.5</v>
      </c>
    </row>
    <row r="45" spans="1:6" x14ac:dyDescent="0.25">
      <c r="A45" t="s">
        <v>240</v>
      </c>
      <c r="B45" t="s">
        <v>3</v>
      </c>
      <c r="C45" t="s">
        <v>79</v>
      </c>
      <c r="D45">
        <v>75.81</v>
      </c>
      <c r="E45">
        <v>53.98</v>
      </c>
      <c r="F45">
        <v>21.83</v>
      </c>
    </row>
    <row r="46" spans="1:6" x14ac:dyDescent="0.25">
      <c r="A46" t="s">
        <v>239</v>
      </c>
      <c r="B46" t="s">
        <v>2</v>
      </c>
      <c r="C46" t="s">
        <v>18</v>
      </c>
      <c r="E46">
        <v>1</v>
      </c>
    </row>
    <row r="47" spans="1:6" x14ac:dyDescent="0.25">
      <c r="A47" t="s">
        <v>239</v>
      </c>
      <c r="B47" t="s">
        <v>9</v>
      </c>
      <c r="C47" t="s">
        <v>23</v>
      </c>
      <c r="D47">
        <v>1863.8</v>
      </c>
      <c r="E47">
        <v>148.4</v>
      </c>
      <c r="F47">
        <v>1715.3999999999999</v>
      </c>
    </row>
    <row r="48" spans="1:6" x14ac:dyDescent="0.25">
      <c r="A48" t="s">
        <v>239</v>
      </c>
      <c r="B48" t="s">
        <v>3</v>
      </c>
      <c r="C48" t="s">
        <v>79</v>
      </c>
      <c r="D48">
        <v>80.399999999999991</v>
      </c>
      <c r="E48">
        <v>55.399999999999991</v>
      </c>
      <c r="F48">
        <v>25</v>
      </c>
    </row>
    <row r="49" spans="1:6" x14ac:dyDescent="0.25">
      <c r="A49" t="s">
        <v>239</v>
      </c>
      <c r="B49" t="s">
        <v>3</v>
      </c>
      <c r="C49" t="s">
        <v>77</v>
      </c>
      <c r="D49">
        <v>49</v>
      </c>
      <c r="E49">
        <v>15</v>
      </c>
      <c r="F49">
        <v>34</v>
      </c>
    </row>
    <row r="50" spans="1:6" x14ac:dyDescent="0.25">
      <c r="A50" t="s">
        <v>239</v>
      </c>
      <c r="B50" t="s">
        <v>300</v>
      </c>
      <c r="C50" t="s">
        <v>22</v>
      </c>
      <c r="D50">
        <v>687</v>
      </c>
      <c r="E50">
        <v>27</v>
      </c>
      <c r="F50">
        <v>660</v>
      </c>
    </row>
    <row r="51" spans="1:6" x14ac:dyDescent="0.25">
      <c r="A51" t="s">
        <v>760</v>
      </c>
      <c r="B51" t="s">
        <v>2</v>
      </c>
      <c r="C51" t="s">
        <v>22</v>
      </c>
      <c r="D51">
        <v>26</v>
      </c>
      <c r="E51">
        <v>21</v>
      </c>
      <c r="F51">
        <v>5</v>
      </c>
    </row>
    <row r="52" spans="1:6" x14ac:dyDescent="0.25">
      <c r="A52" t="s">
        <v>760</v>
      </c>
      <c r="B52" t="s">
        <v>2</v>
      </c>
      <c r="C52" t="s">
        <v>19</v>
      </c>
      <c r="D52">
        <v>4</v>
      </c>
      <c r="E52">
        <v>3</v>
      </c>
      <c r="F52">
        <v>1</v>
      </c>
    </row>
    <row r="53" spans="1:6" x14ac:dyDescent="0.25">
      <c r="A53" t="s">
        <v>760</v>
      </c>
      <c r="B53" t="s">
        <v>3</v>
      </c>
      <c r="C53" t="s">
        <v>94</v>
      </c>
      <c r="D53">
        <v>154.34000000000003</v>
      </c>
      <c r="E53">
        <v>144.79000000000002</v>
      </c>
      <c r="F53">
        <v>9.5500000000000007</v>
      </c>
    </row>
    <row r="54" spans="1:6" x14ac:dyDescent="0.25">
      <c r="A54" t="s">
        <v>760</v>
      </c>
      <c r="B54" t="s">
        <v>3</v>
      </c>
      <c r="C54" t="s">
        <v>301</v>
      </c>
      <c r="D54">
        <v>382.5</v>
      </c>
      <c r="E54">
        <v>142.84</v>
      </c>
      <c r="F54">
        <v>239.66000000000003</v>
      </c>
    </row>
    <row r="55" spans="1:6" x14ac:dyDescent="0.25">
      <c r="A55" t="s">
        <v>1010</v>
      </c>
      <c r="B55" t="s">
        <v>3</v>
      </c>
      <c r="C55" t="s">
        <v>94</v>
      </c>
      <c r="D55">
        <v>163.91</v>
      </c>
      <c r="E55">
        <v>150.60999999999999</v>
      </c>
      <c r="F55">
        <v>13.299999999999999</v>
      </c>
    </row>
    <row r="56" spans="1:6" x14ac:dyDescent="0.25">
      <c r="A56" t="s">
        <v>1010</v>
      </c>
      <c r="B56" t="s">
        <v>3</v>
      </c>
      <c r="C56" t="s">
        <v>197</v>
      </c>
      <c r="D56">
        <v>4</v>
      </c>
      <c r="E56">
        <v>1</v>
      </c>
      <c r="F56">
        <v>3</v>
      </c>
    </row>
    <row r="57" spans="1:6" x14ac:dyDescent="0.25">
      <c r="A57" t="s">
        <v>1010</v>
      </c>
      <c r="B57" t="s">
        <v>300</v>
      </c>
      <c r="C57" t="s">
        <v>22</v>
      </c>
      <c r="D57">
        <v>660</v>
      </c>
      <c r="E57">
        <v>39</v>
      </c>
      <c r="F57">
        <v>621</v>
      </c>
    </row>
    <row r="58" spans="1:6" x14ac:dyDescent="0.25">
      <c r="A58" t="s">
        <v>1061</v>
      </c>
      <c r="B58" t="s">
        <v>2</v>
      </c>
      <c r="C58" t="s">
        <v>18</v>
      </c>
      <c r="E58">
        <v>1</v>
      </c>
    </row>
    <row r="59" spans="1:6" x14ac:dyDescent="0.25">
      <c r="A59" t="s">
        <v>1061</v>
      </c>
      <c r="B59" t="s">
        <v>761</v>
      </c>
      <c r="C59" t="s">
        <v>22</v>
      </c>
      <c r="F59">
        <v>1</v>
      </c>
    </row>
    <row r="60" spans="1:6" x14ac:dyDescent="0.25">
      <c r="A60" t="s">
        <v>1061</v>
      </c>
      <c r="B60" t="s">
        <v>300</v>
      </c>
      <c r="C60" t="s">
        <v>21</v>
      </c>
      <c r="D60">
        <v>601</v>
      </c>
      <c r="E60">
        <v>31</v>
      </c>
      <c r="F60">
        <v>570</v>
      </c>
    </row>
    <row r="61" spans="1:6" x14ac:dyDescent="0.25">
      <c r="A61" t="s">
        <v>1108</v>
      </c>
      <c r="B61" t="s">
        <v>3</v>
      </c>
      <c r="C61" t="s">
        <v>94</v>
      </c>
      <c r="D61">
        <v>123.35999999999999</v>
      </c>
      <c r="E61">
        <v>110.35999999999999</v>
      </c>
      <c r="F61">
        <v>13</v>
      </c>
    </row>
    <row r="62" spans="1:6" x14ac:dyDescent="0.25">
      <c r="A62" t="s">
        <v>1108</v>
      </c>
      <c r="B62" t="s">
        <v>3</v>
      </c>
      <c r="C62" t="s">
        <v>79</v>
      </c>
      <c r="D62">
        <v>88.1</v>
      </c>
      <c r="E62">
        <v>47.1</v>
      </c>
      <c r="F62">
        <v>41</v>
      </c>
    </row>
    <row r="63" spans="1:6" x14ac:dyDescent="0.25">
      <c r="A63" t="s">
        <v>1108</v>
      </c>
      <c r="B63" t="s">
        <v>300</v>
      </c>
      <c r="C63" t="s">
        <v>23</v>
      </c>
      <c r="D63">
        <v>1909.31</v>
      </c>
      <c r="E63">
        <v>137.32999999999998</v>
      </c>
      <c r="F63">
        <v>1771.98</v>
      </c>
    </row>
    <row r="64" spans="1:6" x14ac:dyDescent="0.25">
      <c r="A64" t="s">
        <v>192</v>
      </c>
      <c r="B64" t="s">
        <v>2</v>
      </c>
      <c r="C64" t="s">
        <v>20</v>
      </c>
      <c r="D64">
        <v>11</v>
      </c>
      <c r="E64">
        <v>9</v>
      </c>
      <c r="F64">
        <v>2</v>
      </c>
    </row>
    <row r="65" spans="1:6" x14ac:dyDescent="0.25">
      <c r="A65" t="s">
        <v>191</v>
      </c>
      <c r="B65" t="s">
        <v>3</v>
      </c>
      <c r="C65" t="s">
        <v>79</v>
      </c>
      <c r="D65">
        <v>55.470000000000006</v>
      </c>
      <c r="E65">
        <v>36.870000000000005</v>
      </c>
      <c r="F65">
        <v>18.600000000000001</v>
      </c>
    </row>
    <row r="66" spans="1:6" x14ac:dyDescent="0.25">
      <c r="A66" t="s">
        <v>191</v>
      </c>
      <c r="B66" t="s">
        <v>3</v>
      </c>
      <c r="C66" t="s">
        <v>302</v>
      </c>
      <c r="D66">
        <v>128.98000000000002</v>
      </c>
      <c r="E66">
        <v>65.05000000000004</v>
      </c>
      <c r="F66">
        <v>63.929999999999993</v>
      </c>
    </row>
    <row r="67" spans="1:6" x14ac:dyDescent="0.25">
      <c r="A67" t="s">
        <v>191</v>
      </c>
      <c r="B67" t="s">
        <v>300</v>
      </c>
      <c r="C67" t="s">
        <v>19</v>
      </c>
      <c r="D67">
        <v>103</v>
      </c>
      <c r="E67">
        <v>3</v>
      </c>
      <c r="F67">
        <v>100</v>
      </c>
    </row>
    <row r="68" spans="1:6" x14ac:dyDescent="0.25">
      <c r="A68" t="s">
        <v>190</v>
      </c>
      <c r="B68" t="s">
        <v>2</v>
      </c>
      <c r="C68" t="s">
        <v>23</v>
      </c>
      <c r="D68">
        <v>89.021904761904764</v>
      </c>
      <c r="E68">
        <v>71.021904761904764</v>
      </c>
      <c r="F68">
        <v>18</v>
      </c>
    </row>
    <row r="69" spans="1:6" x14ac:dyDescent="0.25">
      <c r="A69" t="s">
        <v>257</v>
      </c>
      <c r="B69" t="s">
        <v>3</v>
      </c>
      <c r="C69" t="s">
        <v>77</v>
      </c>
      <c r="D69">
        <v>42</v>
      </c>
      <c r="E69">
        <v>17</v>
      </c>
      <c r="F69">
        <v>25</v>
      </c>
    </row>
    <row r="70" spans="1:6" x14ac:dyDescent="0.25">
      <c r="A70" t="s">
        <v>257</v>
      </c>
      <c r="B70" t="s">
        <v>300</v>
      </c>
      <c r="C70" t="s">
        <v>21</v>
      </c>
      <c r="D70">
        <v>587</v>
      </c>
      <c r="E70">
        <v>21</v>
      </c>
      <c r="F70">
        <v>566</v>
      </c>
    </row>
    <row r="71" spans="1:6" x14ac:dyDescent="0.25">
      <c r="A71" t="s">
        <v>240</v>
      </c>
      <c r="B71" t="s">
        <v>3</v>
      </c>
      <c r="C71" t="s">
        <v>301</v>
      </c>
      <c r="D71">
        <v>354.57</v>
      </c>
      <c r="E71">
        <v>133.04</v>
      </c>
      <c r="F71">
        <v>221.53</v>
      </c>
    </row>
    <row r="72" spans="1:6" x14ac:dyDescent="0.25">
      <c r="A72" t="s">
        <v>239</v>
      </c>
      <c r="B72" t="s">
        <v>3</v>
      </c>
      <c r="C72" t="s">
        <v>301</v>
      </c>
      <c r="D72">
        <v>375.56000000000006</v>
      </c>
      <c r="E72">
        <v>139.56</v>
      </c>
      <c r="F72">
        <v>236.00000000000003</v>
      </c>
    </row>
    <row r="73" spans="1:6" x14ac:dyDescent="0.25">
      <c r="A73" t="s">
        <v>239</v>
      </c>
      <c r="B73" t="s">
        <v>300</v>
      </c>
      <c r="C73" t="s">
        <v>19</v>
      </c>
      <c r="D73">
        <v>80</v>
      </c>
      <c r="E73">
        <v>2</v>
      </c>
      <c r="F73">
        <v>78</v>
      </c>
    </row>
    <row r="74" spans="1:6" x14ac:dyDescent="0.25">
      <c r="A74" t="s">
        <v>239</v>
      </c>
      <c r="B74" t="s">
        <v>300</v>
      </c>
      <c r="C74" t="s">
        <v>20</v>
      </c>
      <c r="D74">
        <v>147</v>
      </c>
      <c r="E74">
        <v>2</v>
      </c>
      <c r="F74">
        <v>145</v>
      </c>
    </row>
    <row r="75" spans="1:6" x14ac:dyDescent="0.25">
      <c r="A75" t="s">
        <v>760</v>
      </c>
      <c r="B75" t="s">
        <v>2</v>
      </c>
      <c r="C75" t="s">
        <v>20</v>
      </c>
      <c r="D75">
        <v>8</v>
      </c>
      <c r="E75">
        <v>7</v>
      </c>
      <c r="F75">
        <v>1</v>
      </c>
    </row>
    <row r="76" spans="1:6" x14ac:dyDescent="0.25">
      <c r="A76" t="s">
        <v>760</v>
      </c>
      <c r="B76" t="s">
        <v>2</v>
      </c>
      <c r="C76" t="s">
        <v>21</v>
      </c>
      <c r="D76">
        <v>45</v>
      </c>
      <c r="E76">
        <v>38</v>
      </c>
      <c r="F76">
        <v>7</v>
      </c>
    </row>
    <row r="77" spans="1:6" x14ac:dyDescent="0.25">
      <c r="A77" t="s">
        <v>760</v>
      </c>
      <c r="B77" t="s">
        <v>9</v>
      </c>
      <c r="C77" t="s">
        <v>21</v>
      </c>
      <c r="D77">
        <v>236.5</v>
      </c>
      <c r="E77">
        <v>11.75</v>
      </c>
      <c r="F77">
        <v>224.75</v>
      </c>
    </row>
    <row r="78" spans="1:6" x14ac:dyDescent="0.25">
      <c r="A78" t="s">
        <v>760</v>
      </c>
      <c r="B78" t="s">
        <v>300</v>
      </c>
      <c r="C78" t="s">
        <v>21</v>
      </c>
      <c r="D78">
        <v>608</v>
      </c>
      <c r="E78">
        <v>30</v>
      </c>
      <c r="F78">
        <v>578</v>
      </c>
    </row>
    <row r="79" spans="1:6" x14ac:dyDescent="0.25">
      <c r="A79" t="s">
        <v>917</v>
      </c>
      <c r="B79" t="s">
        <v>2</v>
      </c>
      <c r="C79" t="s">
        <v>18</v>
      </c>
      <c r="E79">
        <v>1</v>
      </c>
    </row>
    <row r="80" spans="1:6" x14ac:dyDescent="0.25">
      <c r="A80" t="s">
        <v>917</v>
      </c>
      <c r="B80" t="s">
        <v>2</v>
      </c>
      <c r="C80" t="s">
        <v>23</v>
      </c>
      <c r="D80">
        <v>90.06</v>
      </c>
      <c r="E80">
        <v>74.06</v>
      </c>
      <c r="F80">
        <v>16</v>
      </c>
    </row>
    <row r="81" spans="1:6" x14ac:dyDescent="0.25">
      <c r="A81" t="s">
        <v>917</v>
      </c>
      <c r="B81" t="s">
        <v>2</v>
      </c>
      <c r="C81" t="s">
        <v>19</v>
      </c>
      <c r="D81">
        <v>4</v>
      </c>
      <c r="E81">
        <v>3</v>
      </c>
      <c r="F81">
        <v>1</v>
      </c>
    </row>
    <row r="82" spans="1:6" x14ac:dyDescent="0.25">
      <c r="A82" t="s">
        <v>917</v>
      </c>
      <c r="B82" t="s">
        <v>300</v>
      </c>
      <c r="C82" t="s">
        <v>22</v>
      </c>
      <c r="D82">
        <v>687</v>
      </c>
      <c r="E82">
        <v>29</v>
      </c>
      <c r="F82">
        <v>658</v>
      </c>
    </row>
    <row r="83" spans="1:6" x14ac:dyDescent="0.25">
      <c r="A83" t="s">
        <v>1010</v>
      </c>
      <c r="B83" t="s">
        <v>2</v>
      </c>
      <c r="C83" t="s">
        <v>18</v>
      </c>
      <c r="E83">
        <v>1</v>
      </c>
    </row>
    <row r="84" spans="1:6" x14ac:dyDescent="0.25">
      <c r="A84" t="s">
        <v>1010</v>
      </c>
      <c r="B84" t="s">
        <v>2</v>
      </c>
      <c r="C84" t="s">
        <v>22</v>
      </c>
      <c r="D84">
        <v>27</v>
      </c>
      <c r="E84">
        <v>20</v>
      </c>
      <c r="F84">
        <v>7</v>
      </c>
    </row>
    <row r="85" spans="1:6" x14ac:dyDescent="0.25">
      <c r="A85" t="s">
        <v>1010</v>
      </c>
      <c r="B85" t="s">
        <v>2</v>
      </c>
      <c r="C85" t="s">
        <v>19</v>
      </c>
      <c r="D85">
        <v>4</v>
      </c>
      <c r="E85">
        <v>3</v>
      </c>
      <c r="F85">
        <v>1</v>
      </c>
    </row>
    <row r="86" spans="1:6" x14ac:dyDescent="0.25">
      <c r="A86" t="s">
        <v>1010</v>
      </c>
      <c r="B86" t="s">
        <v>300</v>
      </c>
      <c r="C86" t="s">
        <v>18</v>
      </c>
      <c r="D86">
        <v>35</v>
      </c>
      <c r="E86">
        <v>1</v>
      </c>
      <c r="F86">
        <v>34</v>
      </c>
    </row>
    <row r="87" spans="1:6" x14ac:dyDescent="0.25">
      <c r="A87" t="s">
        <v>1010</v>
      </c>
      <c r="B87" t="s">
        <v>300</v>
      </c>
      <c r="C87" t="s">
        <v>20</v>
      </c>
      <c r="D87">
        <v>157</v>
      </c>
      <c r="E87">
        <v>5</v>
      </c>
      <c r="F87">
        <v>152</v>
      </c>
    </row>
    <row r="88" spans="1:6" x14ac:dyDescent="0.25">
      <c r="A88" t="s">
        <v>1061</v>
      </c>
      <c r="B88" t="s">
        <v>9</v>
      </c>
      <c r="C88" t="s">
        <v>21</v>
      </c>
      <c r="D88">
        <v>231.79999999999998</v>
      </c>
      <c r="E88">
        <v>12.75</v>
      </c>
      <c r="F88">
        <v>219.04999999999998</v>
      </c>
    </row>
    <row r="89" spans="1:6" x14ac:dyDescent="0.25">
      <c r="A89" t="s">
        <v>1061</v>
      </c>
      <c r="B89" t="s">
        <v>761</v>
      </c>
      <c r="C89" t="s">
        <v>21</v>
      </c>
      <c r="D89">
        <v>54</v>
      </c>
      <c r="E89">
        <v>9</v>
      </c>
      <c r="F89">
        <v>45</v>
      </c>
    </row>
    <row r="90" spans="1:6" x14ac:dyDescent="0.25">
      <c r="A90" t="s">
        <v>1061</v>
      </c>
      <c r="B90" t="s">
        <v>3</v>
      </c>
      <c r="C90" t="s">
        <v>77</v>
      </c>
      <c r="D90">
        <v>80.14</v>
      </c>
      <c r="E90">
        <v>36.14</v>
      </c>
      <c r="F90">
        <v>44</v>
      </c>
    </row>
    <row r="91" spans="1:6" x14ac:dyDescent="0.25">
      <c r="A91" t="s">
        <v>1061</v>
      </c>
      <c r="B91" t="s">
        <v>3</v>
      </c>
      <c r="C91" t="s">
        <v>302</v>
      </c>
      <c r="D91">
        <v>53.88</v>
      </c>
      <c r="E91">
        <v>14.530000000000001</v>
      </c>
      <c r="F91">
        <v>39.35</v>
      </c>
    </row>
    <row r="92" spans="1:6" x14ac:dyDescent="0.25">
      <c r="A92" t="s">
        <v>1108</v>
      </c>
      <c r="B92" t="s">
        <v>2</v>
      </c>
      <c r="C92" t="s">
        <v>22</v>
      </c>
      <c r="D92">
        <v>25.79</v>
      </c>
      <c r="E92">
        <v>20.79</v>
      </c>
      <c r="F92">
        <v>5</v>
      </c>
    </row>
    <row r="93" spans="1:6" x14ac:dyDescent="0.25">
      <c r="A93" t="s">
        <v>192</v>
      </c>
      <c r="B93" t="s">
        <v>300</v>
      </c>
      <c r="C93" t="s">
        <v>196</v>
      </c>
      <c r="D93">
        <v>9</v>
      </c>
      <c r="F93">
        <v>9</v>
      </c>
    </row>
    <row r="94" spans="1:6" x14ac:dyDescent="0.25">
      <c r="A94" t="s">
        <v>192</v>
      </c>
      <c r="B94" t="s">
        <v>300</v>
      </c>
      <c r="C94" t="s">
        <v>22</v>
      </c>
      <c r="D94">
        <v>660</v>
      </c>
      <c r="E94">
        <v>26</v>
      </c>
      <c r="F94">
        <v>634</v>
      </c>
    </row>
    <row r="95" spans="1:6" x14ac:dyDescent="0.25">
      <c r="A95" t="s">
        <v>191</v>
      </c>
      <c r="B95" t="s">
        <v>2</v>
      </c>
      <c r="C95" t="s">
        <v>22</v>
      </c>
      <c r="D95">
        <v>50.79</v>
      </c>
      <c r="E95">
        <v>42.79</v>
      </c>
      <c r="F95">
        <v>8</v>
      </c>
    </row>
    <row r="96" spans="1:6" x14ac:dyDescent="0.25">
      <c r="A96" t="s">
        <v>191</v>
      </c>
      <c r="B96" t="s">
        <v>3</v>
      </c>
      <c r="C96" t="s">
        <v>301</v>
      </c>
      <c r="D96">
        <v>325.23</v>
      </c>
      <c r="E96">
        <v>94.63</v>
      </c>
      <c r="F96">
        <v>230.60000000000002</v>
      </c>
    </row>
    <row r="97" spans="1:6" x14ac:dyDescent="0.25">
      <c r="A97" t="s">
        <v>190</v>
      </c>
      <c r="B97" t="s">
        <v>2</v>
      </c>
      <c r="C97" t="s">
        <v>22</v>
      </c>
      <c r="D97">
        <v>43</v>
      </c>
      <c r="E97">
        <v>38</v>
      </c>
      <c r="F97">
        <v>5</v>
      </c>
    </row>
    <row r="98" spans="1:6" x14ac:dyDescent="0.25">
      <c r="A98" t="s">
        <v>190</v>
      </c>
      <c r="B98" t="s">
        <v>2</v>
      </c>
      <c r="C98" t="s">
        <v>19</v>
      </c>
      <c r="D98">
        <v>6</v>
      </c>
      <c r="E98">
        <v>4</v>
      </c>
      <c r="F98">
        <v>2</v>
      </c>
    </row>
    <row r="99" spans="1:6" x14ac:dyDescent="0.25">
      <c r="A99" t="s">
        <v>257</v>
      </c>
      <c r="B99" t="s">
        <v>2</v>
      </c>
      <c r="C99" t="s">
        <v>20</v>
      </c>
      <c r="D99">
        <v>8</v>
      </c>
      <c r="E99">
        <v>7</v>
      </c>
      <c r="F99">
        <v>1</v>
      </c>
    </row>
    <row r="100" spans="1:6" x14ac:dyDescent="0.25">
      <c r="A100" t="s">
        <v>257</v>
      </c>
      <c r="B100" t="s">
        <v>9</v>
      </c>
      <c r="C100" t="s">
        <v>21</v>
      </c>
      <c r="D100">
        <v>247.25</v>
      </c>
      <c r="E100">
        <v>15.75</v>
      </c>
      <c r="F100">
        <v>231.5</v>
      </c>
    </row>
    <row r="101" spans="1:6" x14ac:dyDescent="0.25">
      <c r="A101" t="s">
        <v>257</v>
      </c>
      <c r="B101" t="s">
        <v>300</v>
      </c>
      <c r="C101" t="s">
        <v>18</v>
      </c>
      <c r="F101">
        <v>34</v>
      </c>
    </row>
    <row r="102" spans="1:6" x14ac:dyDescent="0.25">
      <c r="A102" t="s">
        <v>240</v>
      </c>
      <c r="B102" t="s">
        <v>2</v>
      </c>
      <c r="C102" t="s">
        <v>19</v>
      </c>
      <c r="D102">
        <v>5</v>
      </c>
      <c r="E102">
        <v>4</v>
      </c>
      <c r="F102">
        <v>1</v>
      </c>
    </row>
    <row r="103" spans="1:6" x14ac:dyDescent="0.25">
      <c r="A103" t="s">
        <v>240</v>
      </c>
      <c r="B103" t="s">
        <v>2</v>
      </c>
      <c r="C103" t="s">
        <v>20</v>
      </c>
      <c r="D103">
        <v>8</v>
      </c>
      <c r="E103">
        <v>7</v>
      </c>
      <c r="F103">
        <v>1</v>
      </c>
    </row>
    <row r="104" spans="1:6" x14ac:dyDescent="0.25">
      <c r="A104" t="s">
        <v>240</v>
      </c>
      <c r="B104" t="s">
        <v>2</v>
      </c>
      <c r="C104" t="s">
        <v>21</v>
      </c>
      <c r="D104">
        <v>43</v>
      </c>
      <c r="E104">
        <v>36</v>
      </c>
      <c r="F104">
        <v>7</v>
      </c>
    </row>
    <row r="105" spans="1:6" x14ac:dyDescent="0.25">
      <c r="A105" t="s">
        <v>240</v>
      </c>
      <c r="B105" t="s">
        <v>9</v>
      </c>
      <c r="C105" t="s">
        <v>22</v>
      </c>
      <c r="D105">
        <v>477.18</v>
      </c>
      <c r="E105">
        <v>18.25</v>
      </c>
      <c r="F105">
        <v>458.93</v>
      </c>
    </row>
    <row r="106" spans="1:6" x14ac:dyDescent="0.25">
      <c r="A106" t="s">
        <v>240</v>
      </c>
      <c r="B106" t="s">
        <v>300</v>
      </c>
      <c r="C106" t="s">
        <v>196</v>
      </c>
      <c r="D106">
        <v>4</v>
      </c>
      <c r="F106">
        <v>4</v>
      </c>
    </row>
    <row r="107" spans="1:6" x14ac:dyDescent="0.25">
      <c r="A107" t="s">
        <v>240</v>
      </c>
      <c r="B107" t="s">
        <v>300</v>
      </c>
      <c r="C107" t="s">
        <v>19</v>
      </c>
      <c r="D107">
        <v>74</v>
      </c>
      <c r="E107">
        <v>2</v>
      </c>
      <c r="F107">
        <v>72</v>
      </c>
    </row>
    <row r="108" spans="1:6" x14ac:dyDescent="0.25">
      <c r="A108" t="s">
        <v>240</v>
      </c>
      <c r="B108" t="s">
        <v>300</v>
      </c>
      <c r="C108" t="s">
        <v>21</v>
      </c>
      <c r="D108">
        <v>602</v>
      </c>
      <c r="E108">
        <v>31</v>
      </c>
      <c r="F108">
        <v>571</v>
      </c>
    </row>
    <row r="109" spans="1:6" x14ac:dyDescent="0.25">
      <c r="A109" t="s">
        <v>239</v>
      </c>
      <c r="B109" t="s">
        <v>2</v>
      </c>
      <c r="C109" t="s">
        <v>22</v>
      </c>
      <c r="D109">
        <v>27</v>
      </c>
      <c r="E109">
        <v>21</v>
      </c>
      <c r="F109">
        <v>6</v>
      </c>
    </row>
    <row r="110" spans="1:6" x14ac:dyDescent="0.25">
      <c r="A110" t="s">
        <v>239</v>
      </c>
      <c r="B110" t="s">
        <v>2</v>
      </c>
      <c r="C110" t="s">
        <v>21</v>
      </c>
      <c r="D110">
        <v>42</v>
      </c>
      <c r="E110">
        <v>36</v>
      </c>
      <c r="F110">
        <v>6</v>
      </c>
    </row>
    <row r="111" spans="1:6" x14ac:dyDescent="0.25">
      <c r="A111" t="s">
        <v>239</v>
      </c>
      <c r="B111" t="s">
        <v>9</v>
      </c>
      <c r="C111" t="s">
        <v>22</v>
      </c>
      <c r="D111">
        <v>478.93</v>
      </c>
      <c r="E111">
        <v>19</v>
      </c>
      <c r="F111">
        <v>459.93</v>
      </c>
    </row>
    <row r="112" spans="1:6" x14ac:dyDescent="0.25">
      <c r="A112" t="s">
        <v>239</v>
      </c>
      <c r="B112" t="s">
        <v>9</v>
      </c>
      <c r="C112" t="s">
        <v>21</v>
      </c>
      <c r="D112">
        <v>241.25</v>
      </c>
      <c r="E112">
        <v>12.5</v>
      </c>
      <c r="F112">
        <v>228.75</v>
      </c>
    </row>
    <row r="113" spans="1:6" x14ac:dyDescent="0.25">
      <c r="A113" t="s">
        <v>239</v>
      </c>
      <c r="B113" t="s">
        <v>300</v>
      </c>
      <c r="C113" t="s">
        <v>23</v>
      </c>
      <c r="D113">
        <v>2073.9299999999998</v>
      </c>
      <c r="E113">
        <v>130.93</v>
      </c>
      <c r="F113">
        <v>1943</v>
      </c>
    </row>
    <row r="114" spans="1:6" x14ac:dyDescent="0.25">
      <c r="A114" t="s">
        <v>760</v>
      </c>
      <c r="B114" t="s">
        <v>3</v>
      </c>
      <c r="C114" t="s">
        <v>77</v>
      </c>
      <c r="D114">
        <v>47</v>
      </c>
      <c r="E114">
        <v>14</v>
      </c>
      <c r="F114">
        <v>33</v>
      </c>
    </row>
    <row r="115" spans="1:6" x14ac:dyDescent="0.25">
      <c r="A115" t="s">
        <v>760</v>
      </c>
      <c r="B115" t="s">
        <v>3</v>
      </c>
      <c r="C115" t="s">
        <v>83</v>
      </c>
      <c r="D115">
        <v>32</v>
      </c>
      <c r="E115">
        <v>20</v>
      </c>
      <c r="F115">
        <v>12</v>
      </c>
    </row>
    <row r="116" spans="1:6" x14ac:dyDescent="0.25">
      <c r="A116" t="s">
        <v>760</v>
      </c>
      <c r="B116" t="s">
        <v>300</v>
      </c>
      <c r="C116" t="s">
        <v>196</v>
      </c>
      <c r="F116">
        <v>6</v>
      </c>
    </row>
    <row r="117" spans="1:6" x14ac:dyDescent="0.25">
      <c r="A117" t="s">
        <v>917</v>
      </c>
      <c r="B117" t="s">
        <v>761</v>
      </c>
      <c r="C117" t="s">
        <v>21</v>
      </c>
      <c r="D117">
        <v>54</v>
      </c>
      <c r="E117">
        <v>11</v>
      </c>
      <c r="F117">
        <v>43</v>
      </c>
    </row>
    <row r="118" spans="1:6" x14ac:dyDescent="0.25">
      <c r="A118" t="s">
        <v>917</v>
      </c>
      <c r="B118" t="s">
        <v>3</v>
      </c>
      <c r="C118" t="s">
        <v>83</v>
      </c>
      <c r="D118">
        <v>30</v>
      </c>
      <c r="E118">
        <v>19</v>
      </c>
      <c r="F118">
        <v>11</v>
      </c>
    </row>
    <row r="119" spans="1:6" x14ac:dyDescent="0.25">
      <c r="A119" t="s">
        <v>917</v>
      </c>
      <c r="B119" t="s">
        <v>300</v>
      </c>
      <c r="C119" t="s">
        <v>20</v>
      </c>
      <c r="D119">
        <v>152</v>
      </c>
      <c r="E119">
        <v>7</v>
      </c>
      <c r="F119">
        <v>145</v>
      </c>
    </row>
    <row r="120" spans="1:6" x14ac:dyDescent="0.25">
      <c r="A120" t="s">
        <v>1010</v>
      </c>
      <c r="B120" t="s">
        <v>9</v>
      </c>
      <c r="C120" t="s">
        <v>22</v>
      </c>
      <c r="D120">
        <v>461.28999999999996</v>
      </c>
      <c r="E120">
        <v>14.5</v>
      </c>
      <c r="F120">
        <v>446.78999999999996</v>
      </c>
    </row>
    <row r="121" spans="1:6" x14ac:dyDescent="0.25">
      <c r="A121" t="s">
        <v>1010</v>
      </c>
      <c r="B121" t="s">
        <v>9</v>
      </c>
      <c r="C121" t="s">
        <v>21</v>
      </c>
      <c r="D121">
        <v>235.85</v>
      </c>
      <c r="E121">
        <v>12.25</v>
      </c>
      <c r="F121">
        <v>223.6</v>
      </c>
    </row>
    <row r="122" spans="1:6" x14ac:dyDescent="0.25">
      <c r="A122" t="s">
        <v>1010</v>
      </c>
      <c r="B122" t="s">
        <v>3</v>
      </c>
      <c r="C122" t="s">
        <v>302</v>
      </c>
      <c r="D122">
        <v>55.65</v>
      </c>
      <c r="E122">
        <v>16.299999999999997</v>
      </c>
      <c r="F122">
        <v>39.35</v>
      </c>
    </row>
    <row r="123" spans="1:6" x14ac:dyDescent="0.25">
      <c r="A123" t="s">
        <v>1061</v>
      </c>
      <c r="B123" t="s">
        <v>300</v>
      </c>
      <c r="C123" t="s">
        <v>18</v>
      </c>
      <c r="D123">
        <v>31</v>
      </c>
      <c r="E123">
        <v>1</v>
      </c>
      <c r="F123">
        <v>30</v>
      </c>
    </row>
    <row r="124" spans="1:6" x14ac:dyDescent="0.25">
      <c r="A124" t="s">
        <v>1108</v>
      </c>
      <c r="B124" t="s">
        <v>2</v>
      </c>
      <c r="C124" t="s">
        <v>19</v>
      </c>
      <c r="E124">
        <v>4</v>
      </c>
    </row>
    <row r="125" spans="1:6" x14ac:dyDescent="0.25">
      <c r="A125" t="s">
        <v>1108</v>
      </c>
      <c r="B125" t="s">
        <v>9</v>
      </c>
      <c r="C125" t="s">
        <v>22</v>
      </c>
      <c r="D125">
        <v>452.13</v>
      </c>
      <c r="E125">
        <v>23.25</v>
      </c>
      <c r="F125">
        <v>428.88</v>
      </c>
    </row>
    <row r="126" spans="1:6" x14ac:dyDescent="0.25">
      <c r="A126" t="s">
        <v>1108</v>
      </c>
      <c r="B126" t="s">
        <v>9</v>
      </c>
      <c r="C126" t="s">
        <v>21</v>
      </c>
      <c r="D126">
        <v>222.29999999999998</v>
      </c>
      <c r="E126">
        <v>9.75</v>
      </c>
      <c r="F126">
        <v>212.54999999999998</v>
      </c>
    </row>
    <row r="127" spans="1:6" x14ac:dyDescent="0.25">
      <c r="A127" t="s">
        <v>192</v>
      </c>
      <c r="B127" t="s">
        <v>3</v>
      </c>
      <c r="C127" t="s">
        <v>197</v>
      </c>
    </row>
    <row r="128" spans="1:6" x14ac:dyDescent="0.25">
      <c r="A128" t="s">
        <v>192</v>
      </c>
      <c r="B128" t="s">
        <v>3</v>
      </c>
      <c r="C128" t="s">
        <v>77</v>
      </c>
      <c r="D128">
        <v>69.7</v>
      </c>
      <c r="E128">
        <v>31.7</v>
      </c>
      <c r="F128">
        <v>38</v>
      </c>
    </row>
    <row r="129" spans="1:6" x14ac:dyDescent="0.25">
      <c r="A129" t="s">
        <v>192</v>
      </c>
      <c r="B129" t="s">
        <v>3</v>
      </c>
      <c r="C129" t="s">
        <v>83</v>
      </c>
      <c r="D129">
        <v>19.8</v>
      </c>
      <c r="E129">
        <v>6.8</v>
      </c>
      <c r="F129">
        <v>13</v>
      </c>
    </row>
    <row r="130" spans="1:6" x14ac:dyDescent="0.25">
      <c r="A130" t="s">
        <v>192</v>
      </c>
      <c r="B130" t="s">
        <v>300</v>
      </c>
      <c r="C130" t="s">
        <v>23</v>
      </c>
      <c r="D130">
        <v>2373.7600000000002</v>
      </c>
      <c r="E130">
        <v>106</v>
      </c>
      <c r="F130">
        <v>2267.7600000000002</v>
      </c>
    </row>
    <row r="131" spans="1:6" x14ac:dyDescent="0.25">
      <c r="A131" t="s">
        <v>192</v>
      </c>
      <c r="B131" t="s">
        <v>300</v>
      </c>
      <c r="C131" t="s">
        <v>20</v>
      </c>
      <c r="D131">
        <v>136</v>
      </c>
      <c r="E131">
        <v>2</v>
      </c>
      <c r="F131">
        <v>134</v>
      </c>
    </row>
    <row r="132" spans="1:6" x14ac:dyDescent="0.25">
      <c r="A132" t="s">
        <v>191</v>
      </c>
      <c r="B132" t="s">
        <v>9</v>
      </c>
      <c r="C132" t="s">
        <v>23</v>
      </c>
      <c r="D132">
        <v>1906.75</v>
      </c>
      <c r="E132">
        <v>128.25</v>
      </c>
      <c r="F132">
        <v>1778.5</v>
      </c>
    </row>
    <row r="133" spans="1:6" x14ac:dyDescent="0.25">
      <c r="A133" t="s">
        <v>191</v>
      </c>
      <c r="B133" t="s">
        <v>3</v>
      </c>
      <c r="C133" t="s">
        <v>83</v>
      </c>
      <c r="D133">
        <v>36.9</v>
      </c>
      <c r="E133">
        <v>19.899999999999999</v>
      </c>
      <c r="F133">
        <v>17</v>
      </c>
    </row>
    <row r="134" spans="1:6" x14ac:dyDescent="0.25">
      <c r="A134" t="s">
        <v>191</v>
      </c>
      <c r="B134" t="s">
        <v>300</v>
      </c>
      <c r="C134" t="s">
        <v>196</v>
      </c>
      <c r="D134">
        <v>7</v>
      </c>
      <c r="F134">
        <v>7</v>
      </c>
    </row>
    <row r="135" spans="1:6" x14ac:dyDescent="0.25">
      <c r="A135" t="s">
        <v>190</v>
      </c>
      <c r="B135" t="s">
        <v>2</v>
      </c>
      <c r="C135" t="s">
        <v>21</v>
      </c>
      <c r="D135">
        <v>50.314285714285717</v>
      </c>
      <c r="E135">
        <v>43.314285714285717</v>
      </c>
      <c r="F135">
        <v>7</v>
      </c>
    </row>
    <row r="136" spans="1:6" x14ac:dyDescent="0.25">
      <c r="A136" t="s">
        <v>190</v>
      </c>
      <c r="B136" t="s">
        <v>9</v>
      </c>
      <c r="C136" t="s">
        <v>22</v>
      </c>
      <c r="D136">
        <v>486.17999999999995</v>
      </c>
      <c r="E136">
        <v>16.75</v>
      </c>
      <c r="F136">
        <v>469.42999999999995</v>
      </c>
    </row>
    <row r="137" spans="1:6" x14ac:dyDescent="0.25">
      <c r="A137" t="s">
        <v>190</v>
      </c>
      <c r="B137" t="s">
        <v>9</v>
      </c>
      <c r="C137" t="s">
        <v>21</v>
      </c>
      <c r="D137">
        <v>247.75</v>
      </c>
      <c r="E137">
        <v>14</v>
      </c>
      <c r="F137">
        <v>233.75</v>
      </c>
    </row>
    <row r="138" spans="1:6" x14ac:dyDescent="0.25">
      <c r="A138" t="s">
        <v>257</v>
      </c>
      <c r="B138" t="s">
        <v>3</v>
      </c>
      <c r="C138" t="s">
        <v>197</v>
      </c>
      <c r="D138">
        <v>3</v>
      </c>
      <c r="E138">
        <v>2</v>
      </c>
      <c r="F138">
        <v>1</v>
      </c>
    </row>
    <row r="139" spans="1:6" x14ac:dyDescent="0.25">
      <c r="A139" t="s">
        <v>257</v>
      </c>
      <c r="B139" t="s">
        <v>3</v>
      </c>
      <c r="C139" t="s">
        <v>301</v>
      </c>
      <c r="D139">
        <v>332.41</v>
      </c>
      <c r="E139">
        <v>106.79</v>
      </c>
      <c r="F139">
        <v>225.62</v>
      </c>
    </row>
    <row r="140" spans="1:6" x14ac:dyDescent="0.25">
      <c r="A140" t="s">
        <v>257</v>
      </c>
      <c r="B140" t="s">
        <v>3</v>
      </c>
      <c r="C140" t="s">
        <v>302</v>
      </c>
      <c r="D140">
        <v>115.06</v>
      </c>
      <c r="E140">
        <v>56.58</v>
      </c>
      <c r="F140">
        <v>58.48</v>
      </c>
    </row>
    <row r="141" spans="1:6" x14ac:dyDescent="0.25">
      <c r="A141" t="s">
        <v>240</v>
      </c>
      <c r="B141" t="s">
        <v>9</v>
      </c>
      <c r="C141" t="s">
        <v>23</v>
      </c>
      <c r="D141">
        <v>1821.55</v>
      </c>
      <c r="E141">
        <v>121.65</v>
      </c>
      <c r="F141">
        <v>1699.9</v>
      </c>
    </row>
    <row r="142" spans="1:6" x14ac:dyDescent="0.25">
      <c r="A142" t="s">
        <v>240</v>
      </c>
      <c r="B142" t="s">
        <v>300</v>
      </c>
      <c r="C142" t="s">
        <v>18</v>
      </c>
      <c r="D142">
        <v>34</v>
      </c>
      <c r="F142">
        <v>34</v>
      </c>
    </row>
    <row r="143" spans="1:6" x14ac:dyDescent="0.25">
      <c r="A143" t="s">
        <v>240</v>
      </c>
      <c r="B143" t="s">
        <v>300</v>
      </c>
      <c r="C143" t="s">
        <v>23</v>
      </c>
      <c r="D143">
        <v>1988.43</v>
      </c>
      <c r="E143">
        <v>113.43</v>
      </c>
      <c r="F143">
        <v>1875</v>
      </c>
    </row>
    <row r="144" spans="1:6" x14ac:dyDescent="0.25">
      <c r="A144" t="s">
        <v>239</v>
      </c>
      <c r="B144" t="s">
        <v>3</v>
      </c>
      <c r="C144" t="s">
        <v>94</v>
      </c>
      <c r="D144">
        <v>144.99</v>
      </c>
      <c r="E144">
        <v>134.44</v>
      </c>
      <c r="F144">
        <v>10.549999999999999</v>
      </c>
    </row>
    <row r="145" spans="1:6" x14ac:dyDescent="0.25">
      <c r="A145" t="s">
        <v>239</v>
      </c>
      <c r="B145" t="s">
        <v>3</v>
      </c>
      <c r="C145" t="s">
        <v>83</v>
      </c>
      <c r="D145">
        <v>34</v>
      </c>
      <c r="E145">
        <v>21</v>
      </c>
      <c r="F145">
        <v>13</v>
      </c>
    </row>
    <row r="146" spans="1:6" x14ac:dyDescent="0.25">
      <c r="A146" t="s">
        <v>239</v>
      </c>
      <c r="B146" t="s">
        <v>300</v>
      </c>
      <c r="C146" t="s">
        <v>18</v>
      </c>
      <c r="F146">
        <v>33</v>
      </c>
    </row>
    <row r="147" spans="1:6" x14ac:dyDescent="0.25">
      <c r="A147" t="s">
        <v>760</v>
      </c>
      <c r="B147" t="s">
        <v>3</v>
      </c>
      <c r="C147" t="s">
        <v>302</v>
      </c>
      <c r="D147">
        <v>56.95</v>
      </c>
      <c r="E147">
        <v>20.6</v>
      </c>
      <c r="F147">
        <v>36.35</v>
      </c>
    </row>
    <row r="148" spans="1:6" x14ac:dyDescent="0.25">
      <c r="A148" t="s">
        <v>760</v>
      </c>
      <c r="B148" t="s">
        <v>300</v>
      </c>
      <c r="C148" t="s">
        <v>19</v>
      </c>
      <c r="D148">
        <v>80</v>
      </c>
      <c r="E148">
        <v>2</v>
      </c>
      <c r="F148">
        <v>78</v>
      </c>
    </row>
    <row r="149" spans="1:6" x14ac:dyDescent="0.25">
      <c r="A149" t="s">
        <v>760</v>
      </c>
      <c r="B149" t="s">
        <v>300</v>
      </c>
      <c r="C149" t="s">
        <v>20</v>
      </c>
      <c r="D149">
        <v>153</v>
      </c>
      <c r="E149">
        <v>5</v>
      </c>
      <c r="F149">
        <v>148</v>
      </c>
    </row>
    <row r="150" spans="1:6" x14ac:dyDescent="0.25">
      <c r="A150" t="s">
        <v>917</v>
      </c>
      <c r="B150" t="s">
        <v>3</v>
      </c>
      <c r="C150" t="s">
        <v>79</v>
      </c>
      <c r="D150">
        <v>88.429999999999993</v>
      </c>
      <c r="E150">
        <v>59.429999999999993</v>
      </c>
      <c r="F150">
        <v>29</v>
      </c>
    </row>
    <row r="151" spans="1:6" x14ac:dyDescent="0.25">
      <c r="A151" t="s">
        <v>917</v>
      </c>
      <c r="B151" t="s">
        <v>300</v>
      </c>
      <c r="C151" t="s">
        <v>18</v>
      </c>
      <c r="F151">
        <v>35</v>
      </c>
    </row>
    <row r="152" spans="1:6" x14ac:dyDescent="0.25">
      <c r="A152" t="s">
        <v>917</v>
      </c>
      <c r="B152" t="s">
        <v>300</v>
      </c>
      <c r="C152" t="s">
        <v>21</v>
      </c>
      <c r="D152">
        <v>603</v>
      </c>
      <c r="E152">
        <v>31</v>
      </c>
      <c r="F152">
        <v>572</v>
      </c>
    </row>
    <row r="153" spans="1:6" x14ac:dyDescent="0.25">
      <c r="A153" t="s">
        <v>1010</v>
      </c>
      <c r="B153" t="s">
        <v>9</v>
      </c>
      <c r="C153" t="s">
        <v>23</v>
      </c>
      <c r="D153">
        <v>1678.3400000000001</v>
      </c>
      <c r="E153">
        <v>135.9</v>
      </c>
      <c r="F153">
        <v>1542.44</v>
      </c>
    </row>
    <row r="154" spans="1:6" x14ac:dyDescent="0.25">
      <c r="A154" t="s">
        <v>1010</v>
      </c>
      <c r="B154" t="s">
        <v>3</v>
      </c>
      <c r="C154" t="s">
        <v>83</v>
      </c>
      <c r="D154">
        <v>32</v>
      </c>
      <c r="E154">
        <v>19</v>
      </c>
      <c r="F154">
        <v>13</v>
      </c>
    </row>
    <row r="155" spans="1:6" x14ac:dyDescent="0.25">
      <c r="A155" t="s">
        <v>1010</v>
      </c>
      <c r="B155" t="s">
        <v>300</v>
      </c>
      <c r="C155" t="s">
        <v>21</v>
      </c>
      <c r="D155">
        <v>607</v>
      </c>
      <c r="E155">
        <v>30</v>
      </c>
      <c r="F155">
        <v>577</v>
      </c>
    </row>
    <row r="156" spans="1:6" x14ac:dyDescent="0.25">
      <c r="A156" t="s">
        <v>1061</v>
      </c>
      <c r="B156" t="s">
        <v>9</v>
      </c>
      <c r="C156" t="s">
        <v>22</v>
      </c>
      <c r="D156">
        <v>453.13</v>
      </c>
      <c r="E156">
        <v>18</v>
      </c>
      <c r="F156">
        <v>435.13</v>
      </c>
    </row>
    <row r="157" spans="1:6" x14ac:dyDescent="0.25">
      <c r="A157" t="s">
        <v>1061</v>
      </c>
      <c r="B157" t="s">
        <v>3</v>
      </c>
      <c r="C157" t="s">
        <v>197</v>
      </c>
      <c r="D157">
        <v>4</v>
      </c>
      <c r="E157">
        <v>1</v>
      </c>
      <c r="F157">
        <v>3</v>
      </c>
    </row>
    <row r="158" spans="1:6" x14ac:dyDescent="0.25">
      <c r="A158" t="s">
        <v>1108</v>
      </c>
      <c r="B158" t="s">
        <v>2</v>
      </c>
      <c r="C158" t="s">
        <v>23</v>
      </c>
      <c r="D158">
        <v>86.850000000000009</v>
      </c>
      <c r="E158">
        <v>68.850000000000009</v>
      </c>
      <c r="F158">
        <v>18</v>
      </c>
    </row>
    <row r="159" spans="1:6" x14ac:dyDescent="0.25">
      <c r="A159" t="s">
        <v>1108</v>
      </c>
      <c r="B159" t="s">
        <v>761</v>
      </c>
      <c r="C159" t="s">
        <v>22</v>
      </c>
      <c r="F159">
        <v>2</v>
      </c>
    </row>
    <row r="160" spans="1:6" x14ac:dyDescent="0.25">
      <c r="A160" t="s">
        <v>1108</v>
      </c>
      <c r="B160" t="s">
        <v>3</v>
      </c>
      <c r="C160" t="s">
        <v>83</v>
      </c>
      <c r="D160">
        <v>35</v>
      </c>
      <c r="E160">
        <v>24</v>
      </c>
      <c r="F160">
        <v>11</v>
      </c>
    </row>
    <row r="161" spans="1:6" x14ac:dyDescent="0.25">
      <c r="A161" t="s">
        <v>1108</v>
      </c>
      <c r="B161" t="s">
        <v>300</v>
      </c>
      <c r="C161" t="s">
        <v>196</v>
      </c>
      <c r="F161">
        <v>5</v>
      </c>
    </row>
    <row r="162" spans="1:6" x14ac:dyDescent="0.25">
      <c r="A162" t="s">
        <v>1108</v>
      </c>
      <c r="B162" t="s">
        <v>300</v>
      </c>
      <c r="C162" t="s">
        <v>19</v>
      </c>
      <c r="D162">
        <v>71</v>
      </c>
      <c r="E162">
        <v>2</v>
      </c>
      <c r="F162">
        <v>69</v>
      </c>
    </row>
    <row r="163" spans="1:6" x14ac:dyDescent="0.25">
      <c r="A163" t="s">
        <v>192</v>
      </c>
      <c r="B163" t="s">
        <v>2</v>
      </c>
      <c r="C163" t="s">
        <v>19</v>
      </c>
      <c r="D163">
        <v>5</v>
      </c>
      <c r="E163">
        <v>4</v>
      </c>
      <c r="F163">
        <v>1</v>
      </c>
    </row>
    <row r="164" spans="1:6" x14ac:dyDescent="0.25">
      <c r="A164" t="s">
        <v>192</v>
      </c>
      <c r="B164" t="s">
        <v>2</v>
      </c>
      <c r="C164" t="s">
        <v>21</v>
      </c>
      <c r="D164">
        <v>51.56</v>
      </c>
      <c r="E164">
        <v>45.56</v>
      </c>
      <c r="F164">
        <v>6</v>
      </c>
    </row>
    <row r="165" spans="1:6" x14ac:dyDescent="0.25">
      <c r="A165" t="s">
        <v>191</v>
      </c>
      <c r="B165" t="s">
        <v>3</v>
      </c>
      <c r="C165" t="s">
        <v>77</v>
      </c>
      <c r="D165">
        <v>45.99</v>
      </c>
      <c r="E165">
        <v>22.990000000000002</v>
      </c>
      <c r="F165">
        <v>23</v>
      </c>
    </row>
    <row r="166" spans="1:6" x14ac:dyDescent="0.25">
      <c r="A166" t="s">
        <v>191</v>
      </c>
      <c r="B166" t="s">
        <v>300</v>
      </c>
      <c r="C166" t="s">
        <v>18</v>
      </c>
      <c r="D166">
        <v>33</v>
      </c>
      <c r="F166">
        <v>33</v>
      </c>
    </row>
    <row r="167" spans="1:6" x14ac:dyDescent="0.25">
      <c r="A167" t="s">
        <v>190</v>
      </c>
      <c r="B167" t="s">
        <v>3</v>
      </c>
      <c r="C167" t="s">
        <v>79</v>
      </c>
      <c r="D167">
        <v>70.714285714285694</v>
      </c>
      <c r="E167">
        <v>53.714285714285701</v>
      </c>
      <c r="F167">
        <v>17</v>
      </c>
    </row>
    <row r="168" spans="1:6" x14ac:dyDescent="0.25">
      <c r="A168" t="s">
        <v>190</v>
      </c>
      <c r="B168" t="s">
        <v>300</v>
      </c>
      <c r="C168" t="s">
        <v>18</v>
      </c>
      <c r="D168">
        <v>35</v>
      </c>
      <c r="E168">
        <v>0</v>
      </c>
      <c r="F168">
        <v>35</v>
      </c>
    </row>
    <row r="169" spans="1:6" x14ac:dyDescent="0.25">
      <c r="A169" t="s">
        <v>190</v>
      </c>
      <c r="B169" t="s">
        <v>300</v>
      </c>
      <c r="C169" t="s">
        <v>23</v>
      </c>
      <c r="D169">
        <v>2250.7857142857101</v>
      </c>
      <c r="E169">
        <v>112.88571428571429</v>
      </c>
      <c r="F169">
        <v>2137.9</v>
      </c>
    </row>
    <row r="170" spans="1:6" x14ac:dyDescent="0.25">
      <c r="A170" t="s">
        <v>257</v>
      </c>
      <c r="B170" t="s">
        <v>2</v>
      </c>
      <c r="C170" t="s">
        <v>22</v>
      </c>
      <c r="D170">
        <v>30.79</v>
      </c>
      <c r="E170">
        <v>26</v>
      </c>
      <c r="F170">
        <v>4.79</v>
      </c>
    </row>
    <row r="171" spans="1:6" x14ac:dyDescent="0.25">
      <c r="A171" t="s">
        <v>257</v>
      </c>
      <c r="B171" t="s">
        <v>300</v>
      </c>
      <c r="C171" t="s">
        <v>22</v>
      </c>
      <c r="D171">
        <v>636</v>
      </c>
      <c r="E171">
        <v>29</v>
      </c>
      <c r="F171">
        <v>607</v>
      </c>
    </row>
    <row r="172" spans="1:6" x14ac:dyDescent="0.25">
      <c r="A172" t="s">
        <v>240</v>
      </c>
      <c r="B172" t="s">
        <v>2</v>
      </c>
      <c r="C172" t="s">
        <v>23</v>
      </c>
      <c r="D172">
        <v>100.83</v>
      </c>
      <c r="E172">
        <v>83.33</v>
      </c>
      <c r="F172">
        <v>17.5</v>
      </c>
    </row>
    <row r="173" spans="1:6" x14ac:dyDescent="0.25">
      <c r="A173" t="s">
        <v>240</v>
      </c>
      <c r="B173" t="s">
        <v>3</v>
      </c>
      <c r="C173" t="s">
        <v>77</v>
      </c>
      <c r="D173">
        <v>49.71</v>
      </c>
      <c r="E173">
        <v>16.71</v>
      </c>
      <c r="F173">
        <v>33</v>
      </c>
    </row>
    <row r="174" spans="1:6" x14ac:dyDescent="0.25">
      <c r="A174" t="s">
        <v>239</v>
      </c>
      <c r="B174" t="s">
        <v>2</v>
      </c>
      <c r="C174" t="s">
        <v>23</v>
      </c>
      <c r="D174">
        <v>119.32999999999998</v>
      </c>
      <c r="E174">
        <v>98.329999999999984</v>
      </c>
      <c r="F174">
        <v>21</v>
      </c>
    </row>
    <row r="175" spans="1:6" x14ac:dyDescent="0.25">
      <c r="A175" t="s">
        <v>239</v>
      </c>
      <c r="B175" t="s">
        <v>300</v>
      </c>
      <c r="C175" t="s">
        <v>196</v>
      </c>
      <c r="F175">
        <v>4</v>
      </c>
    </row>
    <row r="176" spans="1:6" x14ac:dyDescent="0.25">
      <c r="A176" t="s">
        <v>760</v>
      </c>
      <c r="B176" t="s">
        <v>2</v>
      </c>
      <c r="C176" t="s">
        <v>23</v>
      </c>
      <c r="D176">
        <v>99.83</v>
      </c>
      <c r="E176">
        <v>81.83</v>
      </c>
      <c r="F176">
        <v>18</v>
      </c>
    </row>
    <row r="177" spans="1:6" x14ac:dyDescent="0.25">
      <c r="A177" t="s">
        <v>760</v>
      </c>
      <c r="B177" t="s">
        <v>761</v>
      </c>
      <c r="C177" t="s">
        <v>21</v>
      </c>
      <c r="D177">
        <v>36</v>
      </c>
      <c r="E177">
        <v>7</v>
      </c>
      <c r="F177">
        <v>29</v>
      </c>
    </row>
    <row r="178" spans="1:6" x14ac:dyDescent="0.25">
      <c r="A178" t="s">
        <v>760</v>
      </c>
      <c r="B178" t="s">
        <v>3</v>
      </c>
      <c r="C178" t="s">
        <v>197</v>
      </c>
      <c r="D178">
        <v>3</v>
      </c>
      <c r="E178">
        <v>2</v>
      </c>
      <c r="F178">
        <v>1</v>
      </c>
    </row>
    <row r="179" spans="1:6" x14ac:dyDescent="0.25">
      <c r="A179" t="s">
        <v>760</v>
      </c>
      <c r="B179" t="s">
        <v>3</v>
      </c>
      <c r="C179" t="s">
        <v>79</v>
      </c>
      <c r="D179">
        <v>88.61</v>
      </c>
      <c r="E179">
        <v>59.61</v>
      </c>
      <c r="F179">
        <v>29</v>
      </c>
    </row>
    <row r="180" spans="1:6" x14ac:dyDescent="0.25">
      <c r="A180" t="s">
        <v>917</v>
      </c>
      <c r="B180" t="s">
        <v>2</v>
      </c>
      <c r="C180" t="s">
        <v>22</v>
      </c>
      <c r="D180">
        <v>30</v>
      </c>
      <c r="E180">
        <v>23</v>
      </c>
      <c r="F180">
        <v>7</v>
      </c>
    </row>
    <row r="181" spans="1:6" x14ac:dyDescent="0.25">
      <c r="A181" t="s">
        <v>917</v>
      </c>
      <c r="B181" t="s">
        <v>3</v>
      </c>
      <c r="C181" t="s">
        <v>94</v>
      </c>
      <c r="D181">
        <v>160.44999999999999</v>
      </c>
      <c r="E181">
        <v>151.58999999999997</v>
      </c>
      <c r="F181">
        <v>8.86</v>
      </c>
    </row>
    <row r="182" spans="1:6" x14ac:dyDescent="0.25">
      <c r="A182" t="s">
        <v>917</v>
      </c>
      <c r="B182" t="s">
        <v>3</v>
      </c>
      <c r="C182" t="s">
        <v>301</v>
      </c>
      <c r="D182">
        <v>398.88</v>
      </c>
      <c r="E182">
        <v>154.14000000000001</v>
      </c>
      <c r="F182">
        <v>244.73999999999998</v>
      </c>
    </row>
    <row r="183" spans="1:6" x14ac:dyDescent="0.25">
      <c r="A183" t="s">
        <v>1010</v>
      </c>
      <c r="B183" t="s">
        <v>300</v>
      </c>
      <c r="C183" t="s">
        <v>19</v>
      </c>
      <c r="D183">
        <v>76</v>
      </c>
      <c r="E183">
        <v>2</v>
      </c>
      <c r="F183">
        <v>74</v>
      </c>
    </row>
    <row r="184" spans="1:6" x14ac:dyDescent="0.25">
      <c r="A184" t="s">
        <v>1061</v>
      </c>
      <c r="B184" t="s">
        <v>2</v>
      </c>
      <c r="C184" t="s">
        <v>20</v>
      </c>
      <c r="D184">
        <v>10</v>
      </c>
      <c r="E184">
        <v>9</v>
      </c>
      <c r="F184">
        <v>1</v>
      </c>
    </row>
    <row r="185" spans="1:6" x14ac:dyDescent="0.25">
      <c r="A185" t="s">
        <v>1061</v>
      </c>
      <c r="B185" t="s">
        <v>2</v>
      </c>
      <c r="C185" t="s">
        <v>21</v>
      </c>
      <c r="D185">
        <v>36.86</v>
      </c>
      <c r="E185">
        <v>31.86</v>
      </c>
      <c r="F185">
        <v>5</v>
      </c>
    </row>
    <row r="186" spans="1:6" x14ac:dyDescent="0.25">
      <c r="A186" t="s">
        <v>1061</v>
      </c>
      <c r="B186" t="s">
        <v>9</v>
      </c>
      <c r="C186" t="s">
        <v>23</v>
      </c>
      <c r="D186">
        <v>1648.19</v>
      </c>
      <c r="E186">
        <v>127.25</v>
      </c>
      <c r="F186">
        <v>1520.94</v>
      </c>
    </row>
    <row r="187" spans="1:6" x14ac:dyDescent="0.25">
      <c r="A187" t="s">
        <v>1061</v>
      </c>
      <c r="B187" t="s">
        <v>3</v>
      </c>
      <c r="C187" t="s">
        <v>301</v>
      </c>
      <c r="D187">
        <v>441.38</v>
      </c>
      <c r="E187">
        <v>188.97999999999996</v>
      </c>
      <c r="F187">
        <v>252.40000000000003</v>
      </c>
    </row>
    <row r="188" spans="1:6" x14ac:dyDescent="0.25">
      <c r="A188" t="s">
        <v>1061</v>
      </c>
      <c r="B188" t="s">
        <v>300</v>
      </c>
      <c r="C188" t="s">
        <v>196</v>
      </c>
      <c r="F188">
        <v>5</v>
      </c>
    </row>
    <row r="189" spans="1:6" x14ac:dyDescent="0.25">
      <c r="A189" t="s">
        <v>1061</v>
      </c>
      <c r="B189" t="s">
        <v>300</v>
      </c>
      <c r="C189" t="s">
        <v>22</v>
      </c>
      <c r="D189">
        <v>655</v>
      </c>
      <c r="E189">
        <v>39</v>
      </c>
      <c r="F189">
        <v>616</v>
      </c>
    </row>
    <row r="190" spans="1:6" x14ac:dyDescent="0.25">
      <c r="A190" t="s">
        <v>1061</v>
      </c>
      <c r="B190" t="s">
        <v>300</v>
      </c>
      <c r="C190" t="s">
        <v>19</v>
      </c>
      <c r="D190">
        <v>78</v>
      </c>
      <c r="E190">
        <v>2</v>
      </c>
      <c r="F190">
        <v>76</v>
      </c>
    </row>
    <row r="191" spans="1:6" x14ac:dyDescent="0.25">
      <c r="A191" t="s">
        <v>1061</v>
      </c>
      <c r="B191" t="s">
        <v>300</v>
      </c>
      <c r="C191" t="s">
        <v>20</v>
      </c>
      <c r="D191">
        <v>148</v>
      </c>
      <c r="E191">
        <v>9</v>
      </c>
      <c r="F191">
        <v>139</v>
      </c>
    </row>
    <row r="192" spans="1:6" x14ac:dyDescent="0.25">
      <c r="A192" t="s">
        <v>1108</v>
      </c>
      <c r="B192" t="s">
        <v>300</v>
      </c>
      <c r="C192" t="s">
        <v>21</v>
      </c>
      <c r="D192">
        <v>606.77</v>
      </c>
      <c r="E192">
        <v>31</v>
      </c>
      <c r="F192">
        <v>575.77</v>
      </c>
    </row>
    <row r="193" spans="1:6" x14ac:dyDescent="0.25">
      <c r="A193" t="s">
        <v>192</v>
      </c>
      <c r="B193" t="s">
        <v>2</v>
      </c>
      <c r="C193" t="s">
        <v>23</v>
      </c>
      <c r="D193">
        <v>94.39</v>
      </c>
      <c r="E193">
        <v>85.39</v>
      </c>
      <c r="F193">
        <v>9</v>
      </c>
    </row>
    <row r="194" spans="1:6" x14ac:dyDescent="0.25">
      <c r="A194" t="s">
        <v>192</v>
      </c>
      <c r="B194" t="s">
        <v>9</v>
      </c>
      <c r="C194" t="s">
        <v>22</v>
      </c>
      <c r="D194">
        <v>489.46</v>
      </c>
      <c r="E194">
        <v>17.760000000000002</v>
      </c>
      <c r="F194">
        <v>471.7</v>
      </c>
    </row>
    <row r="195" spans="1:6" x14ac:dyDescent="0.25">
      <c r="A195" t="s">
        <v>192</v>
      </c>
      <c r="B195" t="s">
        <v>300</v>
      </c>
      <c r="C195" t="s">
        <v>19</v>
      </c>
      <c r="D195">
        <v>115</v>
      </c>
      <c r="E195">
        <v>3</v>
      </c>
      <c r="F195">
        <v>112</v>
      </c>
    </row>
    <row r="196" spans="1:6" x14ac:dyDescent="0.25">
      <c r="A196" t="s">
        <v>192</v>
      </c>
      <c r="B196" t="s">
        <v>300</v>
      </c>
      <c r="C196" t="s">
        <v>21</v>
      </c>
      <c r="D196">
        <v>679</v>
      </c>
      <c r="E196">
        <v>22</v>
      </c>
      <c r="F196">
        <v>657</v>
      </c>
    </row>
    <row r="197" spans="1:6" x14ac:dyDescent="0.25">
      <c r="A197" t="s">
        <v>191</v>
      </c>
      <c r="B197" t="s">
        <v>3</v>
      </c>
      <c r="C197" t="s">
        <v>197</v>
      </c>
      <c r="D197">
        <v>2</v>
      </c>
      <c r="E197">
        <v>2</v>
      </c>
      <c r="F197">
        <v>0</v>
      </c>
    </row>
    <row r="198" spans="1:6" x14ac:dyDescent="0.25">
      <c r="A198" t="s">
        <v>191</v>
      </c>
      <c r="B198" t="s">
        <v>300</v>
      </c>
      <c r="C198" t="s">
        <v>23</v>
      </c>
      <c r="D198">
        <v>2285</v>
      </c>
      <c r="E198">
        <v>109</v>
      </c>
      <c r="F198">
        <v>2176</v>
      </c>
    </row>
    <row r="199" spans="1:6" x14ac:dyDescent="0.25">
      <c r="A199" t="s">
        <v>191</v>
      </c>
      <c r="B199" t="s">
        <v>300</v>
      </c>
      <c r="C199" t="s">
        <v>20</v>
      </c>
      <c r="D199">
        <v>130</v>
      </c>
      <c r="E199">
        <v>1</v>
      </c>
      <c r="F199">
        <v>129</v>
      </c>
    </row>
    <row r="200" spans="1:6" x14ac:dyDescent="0.25">
      <c r="A200" t="s">
        <v>190</v>
      </c>
      <c r="B200" t="s">
        <v>2</v>
      </c>
      <c r="C200" t="s">
        <v>20</v>
      </c>
      <c r="D200">
        <v>6.8333333333333339</v>
      </c>
      <c r="E200">
        <v>6.8333333333333339</v>
      </c>
    </row>
    <row r="201" spans="1:6" x14ac:dyDescent="0.25">
      <c r="A201" t="s">
        <v>190</v>
      </c>
      <c r="B201" t="s">
        <v>9</v>
      </c>
      <c r="C201" t="s">
        <v>23</v>
      </c>
      <c r="D201">
        <v>1792.8328571428574</v>
      </c>
      <c r="E201">
        <v>116.4</v>
      </c>
      <c r="F201">
        <v>1676.4328571428573</v>
      </c>
    </row>
    <row r="202" spans="1:6" x14ac:dyDescent="0.25">
      <c r="A202" t="s">
        <v>190</v>
      </c>
      <c r="B202" t="s">
        <v>3</v>
      </c>
      <c r="C202" t="s">
        <v>77</v>
      </c>
      <c r="D202">
        <v>40</v>
      </c>
      <c r="E202">
        <v>15</v>
      </c>
      <c r="F202">
        <v>25</v>
      </c>
    </row>
    <row r="203" spans="1:6" x14ac:dyDescent="0.25">
      <c r="A203" t="s">
        <v>190</v>
      </c>
      <c r="B203" t="s">
        <v>3</v>
      </c>
      <c r="C203" t="s">
        <v>301</v>
      </c>
      <c r="D203">
        <v>303.60857142857139</v>
      </c>
      <c r="E203">
        <v>95.918571428571425</v>
      </c>
      <c r="F203">
        <v>207.69</v>
      </c>
    </row>
    <row r="204" spans="1:6" x14ac:dyDescent="0.25">
      <c r="A204" t="s">
        <v>190</v>
      </c>
      <c r="B204" t="s">
        <v>3</v>
      </c>
      <c r="C204" t="s">
        <v>302</v>
      </c>
      <c r="D204">
        <v>122.20028571428573</v>
      </c>
      <c r="E204">
        <v>57.195428571428593</v>
      </c>
      <c r="F204">
        <v>65.004857142857134</v>
      </c>
    </row>
    <row r="205" spans="1:6" x14ac:dyDescent="0.25">
      <c r="A205" t="s">
        <v>190</v>
      </c>
      <c r="B205" t="s">
        <v>300</v>
      </c>
      <c r="C205" t="s">
        <v>196</v>
      </c>
      <c r="D205">
        <v>4</v>
      </c>
      <c r="E205">
        <v>0</v>
      </c>
      <c r="F205">
        <v>4</v>
      </c>
    </row>
    <row r="206" spans="1:6" x14ac:dyDescent="0.25">
      <c r="A206" t="s">
        <v>257</v>
      </c>
      <c r="B206" t="s">
        <v>2</v>
      </c>
      <c r="C206" t="s">
        <v>19</v>
      </c>
      <c r="D206">
        <v>5</v>
      </c>
      <c r="E206">
        <v>4</v>
      </c>
      <c r="F206">
        <v>1</v>
      </c>
    </row>
    <row r="207" spans="1:6" x14ac:dyDescent="0.25">
      <c r="A207" t="s">
        <v>257</v>
      </c>
      <c r="B207" t="s">
        <v>2</v>
      </c>
      <c r="C207" t="s">
        <v>21</v>
      </c>
      <c r="D207">
        <v>40.85</v>
      </c>
      <c r="E207">
        <v>34.85</v>
      </c>
      <c r="F207">
        <v>6</v>
      </c>
    </row>
    <row r="208" spans="1:6" x14ac:dyDescent="0.25">
      <c r="A208" t="s">
        <v>257</v>
      </c>
      <c r="B208" t="s">
        <v>9</v>
      </c>
      <c r="C208" t="s">
        <v>22</v>
      </c>
      <c r="D208">
        <v>502.68</v>
      </c>
      <c r="E208">
        <v>15.5</v>
      </c>
      <c r="F208">
        <v>487.18</v>
      </c>
    </row>
    <row r="209" spans="1:6" x14ac:dyDescent="0.25">
      <c r="A209" t="s">
        <v>257</v>
      </c>
      <c r="B209" t="s">
        <v>3</v>
      </c>
      <c r="C209" t="s">
        <v>79</v>
      </c>
      <c r="D209">
        <v>75.62</v>
      </c>
      <c r="E209">
        <v>55</v>
      </c>
      <c r="F209">
        <v>20.62</v>
      </c>
    </row>
    <row r="210" spans="1:6" x14ac:dyDescent="0.25">
      <c r="A210" t="s">
        <v>240</v>
      </c>
      <c r="B210" t="s">
        <v>3</v>
      </c>
      <c r="C210" t="s">
        <v>302</v>
      </c>
      <c r="D210">
        <v>110.41</v>
      </c>
      <c r="E210">
        <v>52.13</v>
      </c>
      <c r="F210">
        <v>58.28</v>
      </c>
    </row>
    <row r="211" spans="1:6" x14ac:dyDescent="0.25">
      <c r="A211" t="s">
        <v>240</v>
      </c>
      <c r="B211" t="s">
        <v>300</v>
      </c>
      <c r="C211" t="s">
        <v>22</v>
      </c>
      <c r="D211">
        <v>689</v>
      </c>
      <c r="E211">
        <v>26</v>
      </c>
      <c r="F211">
        <v>663</v>
      </c>
    </row>
    <row r="212" spans="1:6" x14ac:dyDescent="0.25">
      <c r="A212" t="s">
        <v>240</v>
      </c>
      <c r="B212" t="s">
        <v>300</v>
      </c>
      <c r="C212" t="s">
        <v>20</v>
      </c>
      <c r="D212">
        <v>153</v>
      </c>
      <c r="E212">
        <v>2</v>
      </c>
      <c r="F212">
        <v>151</v>
      </c>
    </row>
    <row r="213" spans="1:6" x14ac:dyDescent="0.25">
      <c r="A213" t="s">
        <v>239</v>
      </c>
      <c r="B213" t="s">
        <v>2</v>
      </c>
      <c r="C213" t="s">
        <v>20</v>
      </c>
      <c r="D213">
        <v>9</v>
      </c>
      <c r="E213">
        <v>8</v>
      </c>
      <c r="F213">
        <v>1</v>
      </c>
    </row>
    <row r="214" spans="1:6" x14ac:dyDescent="0.25">
      <c r="A214" t="s">
        <v>239</v>
      </c>
      <c r="B214" t="s">
        <v>761</v>
      </c>
      <c r="C214" t="s">
        <v>991</v>
      </c>
      <c r="D214">
        <v>18</v>
      </c>
      <c r="E214">
        <v>1</v>
      </c>
      <c r="F214">
        <v>17</v>
      </c>
    </row>
    <row r="215" spans="1:6" x14ac:dyDescent="0.25">
      <c r="A215" t="s">
        <v>760</v>
      </c>
      <c r="B215" t="s">
        <v>300</v>
      </c>
      <c r="C215" t="s">
        <v>22</v>
      </c>
      <c r="D215">
        <v>688</v>
      </c>
      <c r="E215">
        <v>31</v>
      </c>
      <c r="F215">
        <v>657</v>
      </c>
    </row>
    <row r="216" spans="1:6" x14ac:dyDescent="0.25">
      <c r="A216" t="s">
        <v>760</v>
      </c>
      <c r="B216" t="s">
        <v>300</v>
      </c>
      <c r="C216" t="s">
        <v>23</v>
      </c>
      <c r="D216">
        <v>2067.9299999999998</v>
      </c>
      <c r="E216">
        <v>152.93</v>
      </c>
      <c r="F216">
        <v>1915</v>
      </c>
    </row>
    <row r="217" spans="1:6" x14ac:dyDescent="0.25">
      <c r="A217" t="s">
        <v>917</v>
      </c>
      <c r="B217" t="s">
        <v>9</v>
      </c>
      <c r="C217" t="s">
        <v>22</v>
      </c>
      <c r="D217">
        <v>461.93</v>
      </c>
      <c r="E217">
        <v>14</v>
      </c>
      <c r="F217">
        <v>447.93</v>
      </c>
    </row>
    <row r="218" spans="1:6" x14ac:dyDescent="0.25">
      <c r="A218" t="s">
        <v>917</v>
      </c>
      <c r="B218" t="s">
        <v>9</v>
      </c>
      <c r="C218" t="s">
        <v>23</v>
      </c>
      <c r="D218">
        <v>1784.5500000000002</v>
      </c>
      <c r="E218">
        <v>143.4</v>
      </c>
      <c r="F218">
        <v>1641.15</v>
      </c>
    </row>
    <row r="219" spans="1:6" x14ac:dyDescent="0.25">
      <c r="A219" t="s">
        <v>917</v>
      </c>
      <c r="B219" t="s">
        <v>3</v>
      </c>
      <c r="C219" t="s">
        <v>197</v>
      </c>
      <c r="D219">
        <v>3</v>
      </c>
      <c r="E219">
        <v>2</v>
      </c>
      <c r="F219">
        <v>1</v>
      </c>
    </row>
    <row r="220" spans="1:6" x14ac:dyDescent="0.25">
      <c r="A220" t="s">
        <v>917</v>
      </c>
      <c r="B220" t="s">
        <v>300</v>
      </c>
      <c r="C220" t="s">
        <v>19</v>
      </c>
      <c r="D220">
        <v>79</v>
      </c>
      <c r="E220">
        <v>2</v>
      </c>
      <c r="F220">
        <v>77</v>
      </c>
    </row>
    <row r="221" spans="1:6" x14ac:dyDescent="0.25">
      <c r="A221" t="s">
        <v>1010</v>
      </c>
      <c r="B221" t="s">
        <v>2</v>
      </c>
      <c r="C221" t="s">
        <v>23</v>
      </c>
      <c r="D221">
        <v>86.460000000000008</v>
      </c>
      <c r="E221">
        <v>72.460000000000008</v>
      </c>
      <c r="F221">
        <v>14</v>
      </c>
    </row>
    <row r="222" spans="1:6" x14ac:dyDescent="0.25">
      <c r="A222" t="s">
        <v>1010</v>
      </c>
      <c r="B222" t="s">
        <v>3</v>
      </c>
      <c r="C222" t="s">
        <v>77</v>
      </c>
      <c r="D222">
        <v>57</v>
      </c>
      <c r="E222">
        <v>25</v>
      </c>
      <c r="F222">
        <v>32</v>
      </c>
    </row>
    <row r="223" spans="1:6" x14ac:dyDescent="0.25">
      <c r="A223" t="s">
        <v>1061</v>
      </c>
      <c r="B223" t="s">
        <v>300</v>
      </c>
      <c r="C223" t="s">
        <v>23</v>
      </c>
      <c r="D223">
        <v>1969.43</v>
      </c>
      <c r="E223">
        <v>143.93</v>
      </c>
      <c r="F223">
        <v>1825.5</v>
      </c>
    </row>
    <row r="224" spans="1:6" x14ac:dyDescent="0.25">
      <c r="A224" t="s">
        <v>1108</v>
      </c>
      <c r="B224" t="s">
        <v>761</v>
      </c>
      <c r="C224" t="s">
        <v>21</v>
      </c>
      <c r="D224">
        <v>53</v>
      </c>
      <c r="E224">
        <v>8</v>
      </c>
      <c r="F224">
        <v>45</v>
      </c>
    </row>
    <row r="225" spans="1:6" x14ac:dyDescent="0.25">
      <c r="A225" t="s">
        <v>1108</v>
      </c>
      <c r="B225" t="s">
        <v>3</v>
      </c>
      <c r="C225" t="s">
        <v>197</v>
      </c>
      <c r="D225">
        <v>3</v>
      </c>
      <c r="E225">
        <v>2</v>
      </c>
      <c r="F225">
        <v>1</v>
      </c>
    </row>
    <row r="226" spans="1:6" x14ac:dyDescent="0.25">
      <c r="A226" t="s">
        <v>1108</v>
      </c>
      <c r="B226" t="s">
        <v>3</v>
      </c>
      <c r="C226" t="s">
        <v>301</v>
      </c>
      <c r="D226">
        <v>438.38</v>
      </c>
      <c r="E226">
        <v>204.51</v>
      </c>
      <c r="F226">
        <v>233.86999999999998</v>
      </c>
    </row>
    <row r="227" spans="1:6" x14ac:dyDescent="0.25">
      <c r="A227" t="s">
        <v>192</v>
      </c>
      <c r="B227" t="s">
        <v>9</v>
      </c>
      <c r="C227" t="s">
        <v>23</v>
      </c>
      <c r="D227">
        <v>1913.5500000000002</v>
      </c>
      <c r="E227">
        <v>132.88999999999999</v>
      </c>
      <c r="F227">
        <v>1780.66</v>
      </c>
    </row>
    <row r="228" spans="1:6" x14ac:dyDescent="0.25">
      <c r="A228" t="s">
        <v>192</v>
      </c>
      <c r="B228" t="s">
        <v>3</v>
      </c>
      <c r="C228" t="s">
        <v>302</v>
      </c>
      <c r="D228">
        <v>199.5</v>
      </c>
      <c r="E228">
        <v>119.8</v>
      </c>
      <c r="F228">
        <v>79.7</v>
      </c>
    </row>
    <row r="229" spans="1:6" x14ac:dyDescent="0.25">
      <c r="A229" t="s">
        <v>191</v>
      </c>
      <c r="B229" t="s">
        <v>2</v>
      </c>
      <c r="C229" t="s">
        <v>23</v>
      </c>
      <c r="D229">
        <v>102.69</v>
      </c>
      <c r="E229">
        <v>81.69</v>
      </c>
      <c r="F229">
        <v>21</v>
      </c>
    </row>
    <row r="230" spans="1:6" x14ac:dyDescent="0.25">
      <c r="A230" t="s">
        <v>191</v>
      </c>
      <c r="B230" t="s">
        <v>9</v>
      </c>
      <c r="C230" t="s">
        <v>22</v>
      </c>
      <c r="D230">
        <v>498</v>
      </c>
      <c r="E230">
        <v>16.5</v>
      </c>
      <c r="F230">
        <v>481.5</v>
      </c>
    </row>
    <row r="231" spans="1:6" x14ac:dyDescent="0.25">
      <c r="A231" t="s">
        <v>191</v>
      </c>
      <c r="B231" t="s">
        <v>3</v>
      </c>
      <c r="C231" t="s">
        <v>94</v>
      </c>
      <c r="D231">
        <v>151.38999999999999</v>
      </c>
      <c r="E231">
        <v>135.17999999999998</v>
      </c>
      <c r="F231">
        <v>16.21</v>
      </c>
    </row>
    <row r="232" spans="1:6" x14ac:dyDescent="0.25">
      <c r="A232" t="s">
        <v>191</v>
      </c>
      <c r="B232" t="s">
        <v>300</v>
      </c>
      <c r="C232" t="s">
        <v>22</v>
      </c>
      <c r="D232">
        <v>634</v>
      </c>
      <c r="E232">
        <v>24</v>
      </c>
      <c r="F232">
        <v>610</v>
      </c>
    </row>
    <row r="233" spans="1:6" x14ac:dyDescent="0.25">
      <c r="A233" t="s">
        <v>190</v>
      </c>
      <c r="B233" t="s">
        <v>3</v>
      </c>
      <c r="C233" t="s">
        <v>197</v>
      </c>
      <c r="D233">
        <v>3</v>
      </c>
      <c r="E233">
        <v>2</v>
      </c>
      <c r="F233">
        <v>1</v>
      </c>
    </row>
    <row r="234" spans="1:6" x14ac:dyDescent="0.25">
      <c r="A234" t="s">
        <v>190</v>
      </c>
      <c r="B234" t="s">
        <v>3</v>
      </c>
      <c r="C234" t="s">
        <v>83</v>
      </c>
      <c r="D234">
        <v>33.309428571428569</v>
      </c>
      <c r="E234">
        <v>17.309428571428572</v>
      </c>
      <c r="F234">
        <v>16</v>
      </c>
    </row>
    <row r="235" spans="1:6" x14ac:dyDescent="0.25">
      <c r="A235" t="s">
        <v>257</v>
      </c>
      <c r="B235" t="s">
        <v>2</v>
      </c>
      <c r="C235" t="s">
        <v>23</v>
      </c>
      <c r="D235">
        <v>76.33</v>
      </c>
      <c r="E235">
        <v>63.83</v>
      </c>
      <c r="F235">
        <v>12.5</v>
      </c>
    </row>
    <row r="236" spans="1:6" x14ac:dyDescent="0.25">
      <c r="A236" t="s">
        <v>257</v>
      </c>
      <c r="B236" t="s">
        <v>9</v>
      </c>
      <c r="C236" t="s">
        <v>23</v>
      </c>
      <c r="D236">
        <v>1807.55</v>
      </c>
      <c r="E236">
        <v>112.65</v>
      </c>
      <c r="F236">
        <v>1694.9</v>
      </c>
    </row>
    <row r="237" spans="1:6" x14ac:dyDescent="0.25">
      <c r="A237" t="s">
        <v>257</v>
      </c>
      <c r="B237" t="s">
        <v>3</v>
      </c>
      <c r="C237" t="s">
        <v>83</v>
      </c>
      <c r="D237">
        <v>33.86</v>
      </c>
      <c r="E237">
        <v>18.86</v>
      </c>
      <c r="F237">
        <v>15</v>
      </c>
    </row>
    <row r="238" spans="1:6" x14ac:dyDescent="0.25">
      <c r="A238" t="s">
        <v>257</v>
      </c>
      <c r="B238" t="s">
        <v>300</v>
      </c>
      <c r="C238" t="s">
        <v>23</v>
      </c>
      <c r="D238">
        <v>2158.58</v>
      </c>
      <c r="E238">
        <v>122.58</v>
      </c>
      <c r="F238">
        <v>2036</v>
      </c>
    </row>
    <row r="239" spans="1:6" x14ac:dyDescent="0.25">
      <c r="A239" t="s">
        <v>240</v>
      </c>
      <c r="B239" t="s">
        <v>3</v>
      </c>
      <c r="C239" t="s">
        <v>94</v>
      </c>
      <c r="D239">
        <v>135.37</v>
      </c>
      <c r="E239">
        <v>126.82</v>
      </c>
      <c r="F239">
        <v>8.5500000000000007</v>
      </c>
    </row>
    <row r="240" spans="1:6" x14ac:dyDescent="0.25">
      <c r="A240" t="s">
        <v>240</v>
      </c>
      <c r="B240" t="s">
        <v>3</v>
      </c>
      <c r="C240" t="s">
        <v>197</v>
      </c>
      <c r="D240">
        <v>2</v>
      </c>
      <c r="E240">
        <v>1</v>
      </c>
      <c r="F240">
        <v>1</v>
      </c>
    </row>
    <row r="241" spans="1:6" x14ac:dyDescent="0.25">
      <c r="A241" t="s">
        <v>239</v>
      </c>
      <c r="B241" t="s">
        <v>3</v>
      </c>
      <c r="C241" t="s">
        <v>197</v>
      </c>
      <c r="D241">
        <v>3</v>
      </c>
      <c r="E241">
        <v>2</v>
      </c>
      <c r="F241">
        <v>1</v>
      </c>
    </row>
    <row r="242" spans="1:6" x14ac:dyDescent="0.25">
      <c r="A242" t="s">
        <v>239</v>
      </c>
      <c r="B242" t="s">
        <v>300</v>
      </c>
      <c r="C242" t="s">
        <v>21</v>
      </c>
      <c r="D242">
        <v>611</v>
      </c>
      <c r="E242">
        <v>33</v>
      </c>
      <c r="F242">
        <v>578</v>
      </c>
    </row>
    <row r="243" spans="1:6" x14ac:dyDescent="0.25">
      <c r="A243" t="s">
        <v>760</v>
      </c>
      <c r="B243" t="s">
        <v>9</v>
      </c>
      <c r="C243" t="s">
        <v>22</v>
      </c>
      <c r="D243">
        <v>459.93</v>
      </c>
      <c r="E243">
        <v>17</v>
      </c>
      <c r="F243">
        <v>442.93</v>
      </c>
    </row>
    <row r="244" spans="1:6" x14ac:dyDescent="0.25">
      <c r="A244" t="s">
        <v>760</v>
      </c>
      <c r="B244" t="s">
        <v>300</v>
      </c>
      <c r="C244" t="s">
        <v>18</v>
      </c>
      <c r="F244">
        <v>31</v>
      </c>
    </row>
    <row r="245" spans="1:6" x14ac:dyDescent="0.25">
      <c r="A245" t="s">
        <v>917</v>
      </c>
      <c r="B245" t="s">
        <v>2</v>
      </c>
      <c r="C245" t="s">
        <v>20</v>
      </c>
      <c r="D245">
        <v>10</v>
      </c>
      <c r="E245">
        <v>9</v>
      </c>
      <c r="F245">
        <v>1</v>
      </c>
    </row>
    <row r="246" spans="1:6" x14ac:dyDescent="0.25">
      <c r="A246" t="s">
        <v>917</v>
      </c>
      <c r="B246" t="s">
        <v>2</v>
      </c>
      <c r="C246" t="s">
        <v>21</v>
      </c>
      <c r="D246">
        <v>41</v>
      </c>
      <c r="E246">
        <v>35</v>
      </c>
      <c r="F246">
        <v>6</v>
      </c>
    </row>
    <row r="247" spans="1:6" x14ac:dyDescent="0.25">
      <c r="A247" t="s">
        <v>917</v>
      </c>
      <c r="B247" t="s">
        <v>9</v>
      </c>
      <c r="C247" t="s">
        <v>21</v>
      </c>
      <c r="D247">
        <v>236</v>
      </c>
      <c r="E247">
        <v>11.25</v>
      </c>
      <c r="F247">
        <v>224.75</v>
      </c>
    </row>
    <row r="248" spans="1:6" x14ac:dyDescent="0.25">
      <c r="A248" t="s">
        <v>917</v>
      </c>
      <c r="B248" t="s">
        <v>300</v>
      </c>
      <c r="C248" t="s">
        <v>196</v>
      </c>
      <c r="F248">
        <v>5</v>
      </c>
    </row>
    <row r="249" spans="1:6" x14ac:dyDescent="0.25">
      <c r="A249" t="s">
        <v>1010</v>
      </c>
      <c r="B249" t="s">
        <v>2</v>
      </c>
      <c r="C249" t="s">
        <v>21</v>
      </c>
      <c r="D249">
        <v>42</v>
      </c>
      <c r="E249">
        <v>37</v>
      </c>
      <c r="F249">
        <v>5</v>
      </c>
    </row>
    <row r="250" spans="1:6" x14ac:dyDescent="0.25">
      <c r="A250" t="s">
        <v>1010</v>
      </c>
      <c r="B250" t="s">
        <v>3</v>
      </c>
      <c r="C250" t="s">
        <v>79</v>
      </c>
      <c r="D250">
        <v>100.35</v>
      </c>
      <c r="E250">
        <v>72.849999999999994</v>
      </c>
      <c r="F250">
        <v>27.5</v>
      </c>
    </row>
    <row r="251" spans="1:6" x14ac:dyDescent="0.25">
      <c r="A251" t="s">
        <v>1010</v>
      </c>
      <c r="B251" t="s">
        <v>300</v>
      </c>
      <c r="C251" t="s">
        <v>196</v>
      </c>
      <c r="F251">
        <v>5</v>
      </c>
    </row>
    <row r="252" spans="1:6" x14ac:dyDescent="0.25">
      <c r="A252" t="s">
        <v>1061</v>
      </c>
      <c r="B252" t="s">
        <v>2</v>
      </c>
      <c r="C252" t="s">
        <v>19</v>
      </c>
      <c r="D252">
        <v>4</v>
      </c>
      <c r="E252">
        <v>3</v>
      </c>
      <c r="F252">
        <v>1</v>
      </c>
    </row>
    <row r="253" spans="1:6" x14ac:dyDescent="0.25">
      <c r="A253" t="s">
        <v>1061</v>
      </c>
      <c r="B253" t="s">
        <v>3</v>
      </c>
      <c r="C253" t="s">
        <v>94</v>
      </c>
      <c r="D253">
        <v>140.28</v>
      </c>
      <c r="E253">
        <v>124.76</v>
      </c>
      <c r="F253">
        <v>15.52</v>
      </c>
    </row>
    <row r="254" spans="1:6" x14ac:dyDescent="0.25">
      <c r="A254" t="s">
        <v>1061</v>
      </c>
      <c r="B254" t="s">
        <v>3</v>
      </c>
      <c r="C254" t="s">
        <v>79</v>
      </c>
      <c r="D254">
        <v>94.669999999999987</v>
      </c>
      <c r="E254">
        <v>54.669999999999995</v>
      </c>
      <c r="F254">
        <v>40</v>
      </c>
    </row>
    <row r="255" spans="1:6" x14ac:dyDescent="0.25">
      <c r="A255" t="s">
        <v>1108</v>
      </c>
      <c r="B255" t="s">
        <v>2</v>
      </c>
      <c r="C255" t="s">
        <v>18</v>
      </c>
      <c r="E255">
        <v>1</v>
      </c>
    </row>
    <row r="256" spans="1:6" x14ac:dyDescent="0.25">
      <c r="A256" t="s">
        <v>1108</v>
      </c>
      <c r="B256" t="s">
        <v>2</v>
      </c>
      <c r="C256" t="s">
        <v>20</v>
      </c>
      <c r="D256">
        <v>9</v>
      </c>
      <c r="E256">
        <v>8</v>
      </c>
      <c r="F256">
        <v>1</v>
      </c>
    </row>
    <row r="257" spans="1:6" x14ac:dyDescent="0.25">
      <c r="A257" t="s">
        <v>1108</v>
      </c>
      <c r="B257" t="s">
        <v>2</v>
      </c>
      <c r="C257" t="s">
        <v>21</v>
      </c>
      <c r="D257">
        <v>39.57</v>
      </c>
      <c r="E257">
        <v>34.57</v>
      </c>
      <c r="F257">
        <v>5</v>
      </c>
    </row>
  </sheetData>
  <pageMargins left="0.7" right="0.7" top="0.75" bottom="0.75" header="0.3" footer="0.3"/>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7">
    <tabColor theme="9" tint="0.39997558519241921"/>
    <pageSetUpPr fitToPage="1"/>
  </sheetPr>
  <dimension ref="A1:Q64"/>
  <sheetViews>
    <sheetView showGridLines="0" zoomScaleNormal="100" workbookViewId="0">
      <pane ySplit="2" topLeftCell="A3" activePane="bottomLeft" state="frozen"/>
      <selection pane="bottomLeft"/>
    </sheetView>
  </sheetViews>
  <sheetFormatPr defaultRowHeight="15" x14ac:dyDescent="0.25"/>
  <cols>
    <col min="1" max="1" width="28.42578125" customWidth="1"/>
    <col min="2" max="6" width="13.42578125" customWidth="1"/>
  </cols>
  <sheetData>
    <row r="1" spans="1:6" ht="30" customHeight="1" x14ac:dyDescent="0.25">
      <c r="A1" s="522" t="s">
        <v>450</v>
      </c>
      <c r="B1" s="522"/>
      <c r="C1" s="522"/>
    </row>
    <row r="2" spans="1:6" x14ac:dyDescent="0.25">
      <c r="A2" s="507" t="s">
        <v>511</v>
      </c>
    </row>
    <row r="3" spans="1:6" x14ac:dyDescent="0.25">
      <c r="A3" s="25"/>
      <c r="B3" s="25"/>
      <c r="C3" s="25"/>
    </row>
    <row r="4" spans="1:6" ht="15.75" customHeight="1" x14ac:dyDescent="0.25">
      <c r="A4" s="1024" t="s">
        <v>1245</v>
      </c>
      <c r="B4" s="1024"/>
      <c r="C4" s="1024"/>
      <c r="D4" s="1024"/>
      <c r="E4" s="1024"/>
      <c r="F4" s="1024"/>
    </row>
    <row r="5" spans="1:6" ht="15" customHeight="1" x14ac:dyDescent="0.25">
      <c r="A5" t="s">
        <v>328</v>
      </c>
      <c r="B5" t="s">
        <v>681</v>
      </c>
      <c r="C5" s="429"/>
      <c r="D5" s="302"/>
      <c r="E5" s="302"/>
      <c r="F5" s="302"/>
    </row>
    <row r="6" spans="1:6" ht="15" customHeight="1" x14ac:dyDescent="0.25">
      <c r="A6" t="s">
        <v>329</v>
      </c>
      <c r="B6" t="s">
        <v>331</v>
      </c>
      <c r="C6" s="429"/>
      <c r="D6" s="302"/>
      <c r="E6" s="302"/>
      <c r="F6" s="302"/>
    </row>
    <row r="7" spans="1:6" ht="15" customHeight="1" x14ac:dyDescent="0.25">
      <c r="A7" t="s">
        <v>330</v>
      </c>
      <c r="B7" t="s">
        <v>332</v>
      </c>
      <c r="C7" s="429"/>
      <c r="D7" s="302"/>
      <c r="E7" s="302"/>
      <c r="F7" s="302"/>
    </row>
    <row r="8" spans="1:6" ht="15.75" x14ac:dyDescent="0.25">
      <c r="A8" s="171"/>
      <c r="B8" s="169"/>
      <c r="C8" s="169"/>
      <c r="D8" s="175" t="s">
        <v>6</v>
      </c>
      <c r="E8" s="302"/>
      <c r="F8" s="106" t="s">
        <v>7</v>
      </c>
    </row>
    <row r="9" spans="1:6" x14ac:dyDescent="0.25">
      <c r="A9" s="312" t="s">
        <v>27</v>
      </c>
      <c r="B9" s="107" t="s">
        <v>88</v>
      </c>
      <c r="C9" s="107" t="s">
        <v>89</v>
      </c>
      <c r="D9" s="486" t="s">
        <v>26</v>
      </c>
      <c r="E9" s="315" t="s">
        <v>88</v>
      </c>
      <c r="F9" s="107" t="s">
        <v>89</v>
      </c>
    </row>
    <row r="10" spans="1:6" x14ac:dyDescent="0.25">
      <c r="A10" s="313" t="s">
        <v>837</v>
      </c>
      <c r="B10" s="314">
        <f>GETPIVOTDATA("Sum of Female",FTESexRolePivot!$A$3,"Type","WT","PostConv","Brigade Manager")</f>
        <v>0</v>
      </c>
      <c r="C10" s="314">
        <f>GETPIVOTDATA("Sum of Male",FTESexRolePivot!$A$3,"Type","WT","PostConv","Brigade Manager")</f>
        <v>5</v>
      </c>
      <c r="D10" s="754">
        <f>SUM(B10:C10)</f>
        <v>5</v>
      </c>
      <c r="E10" s="307">
        <f t="shared" ref="E10:E17" si="0">B10/(B10+C10)</f>
        <v>0</v>
      </c>
      <c r="F10" s="307">
        <f t="shared" ref="F10:F17" si="1">C10/(B10+C10)</f>
        <v>1</v>
      </c>
    </row>
    <row r="11" spans="1:6" x14ac:dyDescent="0.25">
      <c r="A11" s="112" t="s">
        <v>838</v>
      </c>
      <c r="B11" s="114">
        <f>GETPIVOTDATA("Sum of Female",FTESexRolePivot!$A$3,"Type","WT","PostConv","Area Manager")</f>
        <v>1</v>
      </c>
      <c r="C11" s="114">
        <f>GETPIVOTDATA("Sum of Male",FTESexRolePivot!$A$3,"Type","WT","PostConv","Area Manager")</f>
        <v>30</v>
      </c>
      <c r="D11" s="754">
        <f>SUM(B11:C11)</f>
        <v>31</v>
      </c>
      <c r="E11" s="115">
        <f t="shared" si="0"/>
        <v>3.2258064516129031E-2</v>
      </c>
      <c r="F11" s="115">
        <f t="shared" si="1"/>
        <v>0.967741935483871</v>
      </c>
    </row>
    <row r="12" spans="1:6" x14ac:dyDescent="0.25">
      <c r="A12" s="112" t="s">
        <v>839</v>
      </c>
      <c r="B12" s="114">
        <f>GETPIVOTDATA("Sum of Female",FTESexRolePivot!$A$3,"Type","WT","PostConv","Group Manager")</f>
        <v>2</v>
      </c>
      <c r="C12" s="114">
        <f>GETPIVOTDATA("Sum of Male",FTESexRolePivot!$A$3,"Type","WT","PostConv","Group Manager")</f>
        <v>69</v>
      </c>
      <c r="D12" s="754">
        <f t="shared" ref="D12:D16" si="2">SUM(B12:C12)</f>
        <v>71</v>
      </c>
      <c r="E12" s="115">
        <f t="shared" si="0"/>
        <v>2.8169014084507043E-2</v>
      </c>
      <c r="F12" s="115">
        <f t="shared" si="1"/>
        <v>0.971830985915493</v>
      </c>
    </row>
    <row r="13" spans="1:6" x14ac:dyDescent="0.25">
      <c r="A13" s="112" t="s">
        <v>840</v>
      </c>
      <c r="B13" s="114">
        <f>GETPIVOTDATA("Sum of Female",FTESexRolePivot!$A$3,"Type","WT","PostConv","Station Manager")</f>
        <v>9</v>
      </c>
      <c r="C13" s="114">
        <f>GETPIVOTDATA("Sum of Male",FTESexRolePivot!$A$3,"Type","WT","PostConv","Station Manager")</f>
        <v>147</v>
      </c>
      <c r="D13" s="754">
        <f t="shared" si="2"/>
        <v>156</v>
      </c>
      <c r="E13" s="115">
        <f t="shared" si="0"/>
        <v>5.7692307692307696E-2</v>
      </c>
      <c r="F13" s="115">
        <f t="shared" si="1"/>
        <v>0.94230769230769229</v>
      </c>
    </row>
    <row r="14" spans="1:6" x14ac:dyDescent="0.25">
      <c r="A14" s="112" t="s">
        <v>841</v>
      </c>
      <c r="B14" s="114">
        <f>GETPIVOTDATA("Sum of Female",FTESexRolePivot!$A$3,"Type","WT","PostConv","Watch Manager")</f>
        <v>31</v>
      </c>
      <c r="C14" s="114">
        <f>GETPIVOTDATA("Sum of Male",FTESexRolePivot!$A$3,"Type","WT","PostConv","Watch Manager")</f>
        <v>575.77</v>
      </c>
      <c r="D14" s="754">
        <f t="shared" si="2"/>
        <v>606.77</v>
      </c>
      <c r="E14" s="115">
        <f t="shared" si="0"/>
        <v>5.1090198922161614E-2</v>
      </c>
      <c r="F14" s="115">
        <f t="shared" si="1"/>
        <v>0.9489098010778384</v>
      </c>
    </row>
    <row r="15" spans="1:6" x14ac:dyDescent="0.25">
      <c r="A15" s="112" t="s">
        <v>842</v>
      </c>
      <c r="B15" s="114">
        <f>GETPIVOTDATA("Sum of Female",FTESexRolePivot!$A$3,"Type","WT","PostConv","Crew Manager")</f>
        <v>39</v>
      </c>
      <c r="C15" s="114">
        <f>GETPIVOTDATA("Sum of Male",FTESexRolePivot!$A$3,"Type","WT","PostConv","Crew Manager")</f>
        <v>601</v>
      </c>
      <c r="D15" s="754">
        <f t="shared" si="2"/>
        <v>640</v>
      </c>
      <c r="E15" s="115">
        <f t="shared" si="0"/>
        <v>6.0937499999999999E-2</v>
      </c>
      <c r="F15" s="115">
        <f t="shared" si="1"/>
        <v>0.93906250000000002</v>
      </c>
    </row>
    <row r="16" spans="1:6" x14ac:dyDescent="0.25">
      <c r="A16" s="112" t="s">
        <v>23</v>
      </c>
      <c r="B16" s="114">
        <f>GETPIVOTDATA("Sum of Female",FTESexRolePivot!$A$3,"Type","WT","PostConv","Firefighter")</f>
        <v>137.32999999999998</v>
      </c>
      <c r="C16" s="114">
        <f>GETPIVOTDATA("Sum of Male",FTESexRolePivot!$A$3,"Type","WT","PostConv","Firefighter")</f>
        <v>1771.98</v>
      </c>
      <c r="D16" s="754">
        <f t="shared" si="2"/>
        <v>1909.31</v>
      </c>
      <c r="E16" s="115">
        <f t="shared" si="0"/>
        <v>7.1926507481760424E-2</v>
      </c>
      <c r="F16" s="115">
        <f t="shared" si="1"/>
        <v>0.92807349251823956</v>
      </c>
    </row>
    <row r="17" spans="1:6" ht="15.75" thickBot="1" x14ac:dyDescent="0.3">
      <c r="A17" s="119" t="s">
        <v>462</v>
      </c>
      <c r="B17" s="755">
        <f>GETPIVOTDATA("Sum of Female",FTESexRolePivot!$A$3,"Type","WT")</f>
        <v>219.32999999999998</v>
      </c>
      <c r="C17" s="755">
        <f>GETPIVOTDATA("Sum of Male",FTESexRolePivot!$A$3,"Type","WT")</f>
        <v>3199.75</v>
      </c>
      <c r="D17" s="755">
        <f t="shared" ref="D17" si="3">SUM(D10:D16)</f>
        <v>3419.08</v>
      </c>
      <c r="E17" s="121">
        <f t="shared" si="0"/>
        <v>6.4148835359219433E-2</v>
      </c>
      <c r="F17" s="121">
        <f t="shared" si="1"/>
        <v>0.93585116464078055</v>
      </c>
    </row>
    <row r="18" spans="1:6" x14ac:dyDescent="0.25">
      <c r="A18" s="113"/>
      <c r="B18" s="756"/>
      <c r="C18" s="756"/>
      <c r="D18" s="757"/>
      <c r="E18" s="124"/>
      <c r="F18" s="124"/>
    </row>
    <row r="19" spans="1:6" x14ac:dyDescent="0.25">
      <c r="A19" s="312" t="s">
        <v>28</v>
      </c>
      <c r="B19" s="758"/>
      <c r="C19" s="758"/>
      <c r="D19" s="757"/>
      <c r="E19" s="308"/>
      <c r="F19" s="308"/>
    </row>
    <row r="20" spans="1:6" x14ac:dyDescent="0.25">
      <c r="A20" s="313" t="s">
        <v>841</v>
      </c>
      <c r="B20" s="759">
        <f>GETPIVOTDATA("Sum of Female",FTESexRolePivot!$A$3,"Type","RDS","PostConv","Watch Manager")</f>
        <v>9.75</v>
      </c>
      <c r="C20" s="759">
        <f>GETPIVOTDATA("Sum of Male",FTESexRolePivot!$A$3,"Type","RDS","PostConv","Watch Manager")</f>
        <v>212.54999999999998</v>
      </c>
      <c r="D20" s="760">
        <f>SUM(B20:C20)</f>
        <v>222.29999999999998</v>
      </c>
      <c r="E20" s="307">
        <f>B20/(B20+C20)</f>
        <v>4.3859649122807022E-2</v>
      </c>
      <c r="F20" s="307">
        <f>C20/(B20+C20)</f>
        <v>0.95614035087719296</v>
      </c>
    </row>
    <row r="21" spans="1:6" x14ac:dyDescent="0.25">
      <c r="A21" s="112" t="s">
        <v>842</v>
      </c>
      <c r="B21" s="761">
        <f>GETPIVOTDATA("Sum of Female",FTESexRolePivot!$A$3,"Type","RDS","PostConv","Crew Manager")</f>
        <v>23.25</v>
      </c>
      <c r="C21" s="761">
        <f>GETPIVOTDATA("Sum of Male",FTESexRolePivot!$A$3,"Type","RDS","PostConv","Crew Manager")</f>
        <v>428.88</v>
      </c>
      <c r="D21" s="762">
        <f t="shared" ref="D21:D22" si="4">SUM(B21:C21)</f>
        <v>452.13</v>
      </c>
      <c r="E21" s="115">
        <f>B21/(B21+C21)</f>
        <v>5.1423263220755092E-2</v>
      </c>
      <c r="F21" s="115">
        <f>C21/(B21+C21)</f>
        <v>0.94857673677924492</v>
      </c>
    </row>
    <row r="22" spans="1:6" x14ac:dyDescent="0.25">
      <c r="A22" s="112" t="s">
        <v>23</v>
      </c>
      <c r="B22" s="761">
        <f>GETPIVOTDATA("Sum of Female",FTESexRolePivot!$A$3,"Type","RDS","PostConv","Firefighter")</f>
        <v>128.5</v>
      </c>
      <c r="C22" s="761">
        <f>GETPIVOTDATA("Sum of Male",FTESexRolePivot!$A$3,"Type","RDS","PostConv","Firefighter")</f>
        <v>1486.84</v>
      </c>
      <c r="D22" s="763">
        <f t="shared" si="4"/>
        <v>1615.34</v>
      </c>
      <c r="E22" s="115">
        <f>B22/(B22+C22)</f>
        <v>7.9549816137779047E-2</v>
      </c>
      <c r="F22" s="115">
        <f>C22/(B22+C22)</f>
        <v>0.92045018386222099</v>
      </c>
    </row>
    <row r="23" spans="1:6" ht="15.75" thickBot="1" x14ac:dyDescent="0.3">
      <c r="A23" s="119" t="s">
        <v>90</v>
      </c>
      <c r="B23" s="755">
        <f>SUM(B20:B22)</f>
        <v>161.5</v>
      </c>
      <c r="C23" s="755">
        <f t="shared" ref="C23:D23" si="5">SUM(C20:C22)</f>
        <v>2128.27</v>
      </c>
      <c r="D23" s="755">
        <f t="shared" si="5"/>
        <v>2289.77</v>
      </c>
      <c r="E23" s="121">
        <f>B23/(B23+C23)</f>
        <v>7.0531101376994199E-2</v>
      </c>
      <c r="F23" s="121">
        <f>C23/(B23+C23)</f>
        <v>0.92946889862300586</v>
      </c>
    </row>
    <row r="24" spans="1:6" x14ac:dyDescent="0.25">
      <c r="A24" s="625"/>
      <c r="B24" s="764"/>
      <c r="C24" s="764"/>
      <c r="D24" s="764"/>
      <c r="E24" s="626"/>
      <c r="F24" s="626"/>
    </row>
    <row r="25" spans="1:6" x14ac:dyDescent="0.25">
      <c r="A25" s="108" t="s">
        <v>831</v>
      </c>
      <c r="B25" s="765"/>
      <c r="C25" s="765"/>
      <c r="D25" s="765"/>
      <c r="E25" s="629"/>
      <c r="F25" s="629"/>
    </row>
    <row r="26" spans="1:6" x14ac:dyDescent="0.25">
      <c r="A26" s="118" t="s">
        <v>842</v>
      </c>
      <c r="B26" s="984">
        <f>IFERROR( GETPIVOTDATA("Sum of Female",FTESexRolePivot!$A$3,"Type","RDS Fulltime","PostConv","Crew Manager"), "-")</f>
        <v>0</v>
      </c>
      <c r="C26" s="985">
        <f>IFERROR(GETPIVOTDATA("Sum of Male",FTESexRolePivot!$A$3,"Type","RDS Fulltime","PostConv","Crew Manager"), "-")</f>
        <v>2</v>
      </c>
      <c r="D26" s="764">
        <f>SUM(B26:C26)</f>
        <v>2</v>
      </c>
      <c r="E26" s="626"/>
      <c r="F26" s="626"/>
    </row>
    <row r="27" spans="1:6" x14ac:dyDescent="0.25">
      <c r="A27" s="112" t="s">
        <v>841</v>
      </c>
      <c r="B27" s="766">
        <f>IFERROR(GETPIVOTDATA("Sum of Female",FTESexRolePivot!$A$3,"Type","RDS Fulltime","PostConv","Watch Manager"), "-")</f>
        <v>8</v>
      </c>
      <c r="C27" s="889">
        <f>IFERROR(GETPIVOTDATA("Sum of Male",FTESexRolePivot!$A$3,"Type","RDS Fulltime","PostConv","Watch Manager"), "-")</f>
        <v>45</v>
      </c>
      <c r="D27" s="764">
        <f>SUM(B27:C27)</f>
        <v>53</v>
      </c>
      <c r="E27" s="115">
        <f>IFERROR(B27/(B27+C27), "-")</f>
        <v>0.15094339622641509</v>
      </c>
      <c r="F27" s="115">
        <f>IFERROR(C27/(C27+B27), "-")</f>
        <v>0.84905660377358494</v>
      </c>
    </row>
    <row r="28" spans="1:6" ht="15.75" thickBot="1" x14ac:dyDescent="0.3">
      <c r="A28" s="119" t="s">
        <v>1060</v>
      </c>
      <c r="B28" s="755">
        <f>B27</f>
        <v>8</v>
      </c>
      <c r="C28" s="755">
        <f t="shared" ref="C28" si="6">C27</f>
        <v>45</v>
      </c>
      <c r="D28" s="755">
        <f>D27+D26</f>
        <v>55</v>
      </c>
      <c r="E28" s="633">
        <f>IFERROR(B28/(B28+C28), "-")</f>
        <v>0.15094339622641509</v>
      </c>
      <c r="F28" s="633">
        <f>IFERROR(C28/(C28+B28), "-")</f>
        <v>0.84905660377358494</v>
      </c>
    </row>
    <row r="29" spans="1:6" x14ac:dyDescent="0.25">
      <c r="A29" s="625"/>
      <c r="B29" s="764"/>
      <c r="C29" s="764"/>
      <c r="D29" s="764"/>
      <c r="E29" s="753"/>
      <c r="F29" s="753"/>
    </row>
    <row r="30" spans="1:6" x14ac:dyDescent="0.25">
      <c r="A30" s="108" t="s">
        <v>91</v>
      </c>
      <c r="B30" s="758"/>
      <c r="C30" s="758"/>
      <c r="D30" s="762"/>
      <c r="E30" s="127"/>
      <c r="F30" s="308"/>
    </row>
    <row r="31" spans="1:6" x14ac:dyDescent="0.25">
      <c r="A31" s="112" t="s">
        <v>838</v>
      </c>
      <c r="B31" s="986">
        <f>IFERROR(GETPIVOTDATA("Sum of Female",FTESexRolePivot!$A$3,"Type","Control","PostConv","Area Manager"), "-")</f>
        <v>1</v>
      </c>
      <c r="C31" s="986">
        <f>IFERROR(GETPIVOTDATA("Sum of Male",FTESexRolePivot!$A$3,"Type","Control","PostConv","Area Manager"), "-")</f>
        <v>0</v>
      </c>
      <c r="D31" s="404">
        <f>SUM(B31:C31)</f>
        <v>1</v>
      </c>
      <c r="E31" s="115">
        <f>IFERROR(B31/(B31+C31),0)</f>
        <v>1</v>
      </c>
      <c r="F31" s="307">
        <f>IFERROR(C31/(B31+C31),0)</f>
        <v>0</v>
      </c>
    </row>
    <row r="32" spans="1:6" x14ac:dyDescent="0.25">
      <c r="A32" s="112" t="s">
        <v>839</v>
      </c>
      <c r="B32" s="114">
        <f>GETPIVOTDATA("Sum of Female",FTESexRolePivot!$A$3,"Type","Control","PostConv","Group Manager")</f>
        <v>4</v>
      </c>
      <c r="C32" s="114">
        <f>GETPIVOTDATA("Sum of Male",FTESexRolePivot!$A$3,"Type","Control","PostConv","Group Manager")</f>
        <v>0</v>
      </c>
      <c r="D32" s="646">
        <f t="shared" ref="D32:D36" si="7">SUM(B32:C32)</f>
        <v>4</v>
      </c>
      <c r="E32" s="115">
        <f t="shared" ref="E32:E37" si="8">B32/(B32+C32)</f>
        <v>1</v>
      </c>
      <c r="F32" s="115">
        <f t="shared" ref="F32:F37" si="9">C32/(B32+C32)</f>
        <v>0</v>
      </c>
    </row>
    <row r="33" spans="1:6" x14ac:dyDescent="0.25">
      <c r="A33" s="112" t="s">
        <v>840</v>
      </c>
      <c r="B33" s="114">
        <f>GETPIVOTDATA("Sum of Female",FTESexRolePivot!$A$3,"Type","Control","PostConv","Station Manager")</f>
        <v>8</v>
      </c>
      <c r="C33" s="114">
        <f>GETPIVOTDATA("Sum of Male",FTESexRolePivot!$A$3,"Type","Control","PostConv","Station Manager")</f>
        <v>1</v>
      </c>
      <c r="D33" s="646">
        <f t="shared" si="7"/>
        <v>9</v>
      </c>
      <c r="E33" s="115">
        <f t="shared" si="8"/>
        <v>0.88888888888888884</v>
      </c>
      <c r="F33" s="115">
        <f t="shared" si="9"/>
        <v>0.1111111111111111</v>
      </c>
    </row>
    <row r="34" spans="1:6" x14ac:dyDescent="0.25">
      <c r="A34" s="112" t="s">
        <v>841</v>
      </c>
      <c r="B34" s="114">
        <f>GETPIVOTDATA("Sum of Female",FTESexRolePivot!$A$3,"Type","Control","PostConv","Watch Manager")</f>
        <v>34.57</v>
      </c>
      <c r="C34" s="114">
        <f>GETPIVOTDATA("Sum of Male",FTESexRolePivot!$A$3,"Type","Control","PostConv","Watch Manager")</f>
        <v>5</v>
      </c>
      <c r="D34" s="646">
        <f t="shared" si="7"/>
        <v>39.57</v>
      </c>
      <c r="E34" s="115">
        <f t="shared" si="8"/>
        <v>0.87364164771291386</v>
      </c>
      <c r="F34" s="115">
        <f t="shared" si="9"/>
        <v>0.12635835228708617</v>
      </c>
    </row>
    <row r="35" spans="1:6" x14ac:dyDescent="0.25">
      <c r="A35" s="112" t="s">
        <v>842</v>
      </c>
      <c r="B35" s="114">
        <f>GETPIVOTDATA("Sum of Female",FTESexRolePivot!$A$3,"Type","Control","PostConv","Crew Manager")</f>
        <v>20.79</v>
      </c>
      <c r="C35" s="114">
        <f>GETPIVOTDATA("Sum of Male",FTESexRolePivot!$A$3,"Type","Control","PostConv","Crew Manager")</f>
        <v>5</v>
      </c>
      <c r="D35" s="646">
        <f t="shared" si="7"/>
        <v>25.79</v>
      </c>
      <c r="E35" s="115">
        <f t="shared" si="8"/>
        <v>0.80612640558355952</v>
      </c>
      <c r="F35" s="115">
        <f t="shared" si="9"/>
        <v>0.19387359441644048</v>
      </c>
    </row>
    <row r="36" spans="1:6" x14ac:dyDescent="0.25">
      <c r="A36" s="112" t="s">
        <v>76</v>
      </c>
      <c r="B36" s="114">
        <f>GETPIVOTDATA("Sum of Female",FTESexRolePivot!$A$3,"Type","Control","PostConv","Firefighter")</f>
        <v>68.850000000000009</v>
      </c>
      <c r="C36" s="114">
        <f>GETPIVOTDATA("Sum of Male",FTESexRolePivot!$A$3,"Type","Control","PostConv","Firefighter")</f>
        <v>18</v>
      </c>
      <c r="D36" s="646">
        <f t="shared" si="7"/>
        <v>86.850000000000009</v>
      </c>
      <c r="E36" s="115">
        <f t="shared" si="8"/>
        <v>0.79274611398963735</v>
      </c>
      <c r="F36" s="115">
        <f t="shared" si="9"/>
        <v>0.20725388601036268</v>
      </c>
    </row>
    <row r="37" spans="1:6" ht="15.75" thickBot="1" x14ac:dyDescent="0.3">
      <c r="A37" s="129" t="s">
        <v>92</v>
      </c>
      <c r="B37" s="755">
        <f>GETPIVOTDATA("Sum of Female",FTESexRolePivot!$A$3,"Type","Control")</f>
        <v>137.21</v>
      </c>
      <c r="C37" s="755">
        <f>GETPIVOTDATA("Sum of Male",FTESexRolePivot!$A$3,"Type","Control")</f>
        <v>29</v>
      </c>
      <c r="D37" s="645">
        <f>SUM(B37:C37)</f>
        <v>166.21</v>
      </c>
      <c r="E37" s="121">
        <f t="shared" si="8"/>
        <v>0.82552193008844232</v>
      </c>
      <c r="F37" s="121">
        <f t="shared" si="9"/>
        <v>0.17447806991155765</v>
      </c>
    </row>
    <row r="38" spans="1:6" x14ac:dyDescent="0.25">
      <c r="A38" s="113"/>
      <c r="B38" s="756"/>
      <c r="C38" s="761"/>
      <c r="D38" s="762"/>
      <c r="E38" s="124"/>
      <c r="F38" s="124"/>
    </row>
    <row r="39" spans="1:6" x14ac:dyDescent="0.25">
      <c r="A39" s="139" t="s">
        <v>86</v>
      </c>
      <c r="B39" s="767"/>
      <c r="C39" s="761"/>
      <c r="D39" s="762"/>
      <c r="E39" s="124"/>
      <c r="F39" s="124"/>
    </row>
    <row r="40" spans="1:6" x14ac:dyDescent="0.25">
      <c r="A40" s="313" t="s">
        <v>197</v>
      </c>
      <c r="B40" s="759">
        <f>GETPIVOTDATA("Sum of Female",FTESexRolePivot!$A$3,"Type","Support","PostConv","Director")</f>
        <v>2</v>
      </c>
      <c r="C40" s="759">
        <f>GETPIVOTDATA("Sum of Male",FTESexRolePivot!$A$3,"Type","Support","PostConv","Director")</f>
        <v>1</v>
      </c>
      <c r="D40" s="760">
        <f>SUM(B40:C40)</f>
        <v>3</v>
      </c>
      <c r="E40" s="307">
        <f>IFERROR(B40/(B40+C40),0)</f>
        <v>0.66666666666666663</v>
      </c>
      <c r="F40" s="307">
        <f>IFERROR(C40/(B40+C40),0)</f>
        <v>0.33333333333333331</v>
      </c>
    </row>
    <row r="41" spans="1:6" x14ac:dyDescent="0.25">
      <c r="A41" s="112" t="s">
        <v>77</v>
      </c>
      <c r="B41" s="761">
        <f>GETPIVOTDATA("Sum of Female",FTESexRolePivot!$A$3,"Type","Support","PostConv","Service Manager")</f>
        <v>40.08</v>
      </c>
      <c r="C41" s="761">
        <f>GETPIVOTDATA("Sum of Male",FTESexRolePivot!$A$3,"Type","Support","PostConv","Service Manager")</f>
        <v>45.6</v>
      </c>
      <c r="D41" s="762">
        <f t="shared" ref="D41:D46" si="10">SUM(B41:C41)</f>
        <v>85.68</v>
      </c>
      <c r="E41" s="115">
        <f t="shared" ref="E41:E46" si="11">B41/(B41+C41)</f>
        <v>0.46778711484593832</v>
      </c>
      <c r="F41" s="115">
        <f t="shared" ref="F41:F46" si="12">C41/(B41+C41)</f>
        <v>0.53221288515406162</v>
      </c>
    </row>
    <row r="42" spans="1:6" x14ac:dyDescent="0.25">
      <c r="A42" s="112" t="s">
        <v>83</v>
      </c>
      <c r="B42" s="761">
        <f>GETPIVOTDATA("Sum of Female",FTESexRolePivot!$A$3,"Type","Support","PostConv","Team Leader")</f>
        <v>24</v>
      </c>
      <c r="C42" s="761">
        <f>GETPIVOTDATA("Sum of Male",FTESexRolePivot!$A$3,"Type","Support","PostConv","Team Leader")</f>
        <v>11</v>
      </c>
      <c r="D42" s="762">
        <f t="shared" si="10"/>
        <v>35</v>
      </c>
      <c r="E42" s="115">
        <f t="shared" si="11"/>
        <v>0.68571428571428572</v>
      </c>
      <c r="F42" s="115">
        <f t="shared" si="12"/>
        <v>0.31428571428571428</v>
      </c>
    </row>
    <row r="43" spans="1:6" x14ac:dyDescent="0.25">
      <c r="A43" s="112" t="s">
        <v>79</v>
      </c>
      <c r="B43" s="761">
        <f>GETPIVOTDATA("Sum of Female",FTESexRolePivot!$A$3,"Type","Support","PostConv","Professional")</f>
        <v>47.1</v>
      </c>
      <c r="C43" s="761">
        <f>GETPIVOTDATA("Sum of Male",FTESexRolePivot!$A$3,"Type","Support","PostConv","Professional")</f>
        <v>41</v>
      </c>
      <c r="D43" s="762">
        <f t="shared" si="10"/>
        <v>88.1</v>
      </c>
      <c r="E43" s="115">
        <f t="shared" si="11"/>
        <v>0.53461975028376851</v>
      </c>
      <c r="F43" s="115">
        <f t="shared" si="12"/>
        <v>0.4653802497162316</v>
      </c>
    </row>
    <row r="44" spans="1:6" x14ac:dyDescent="0.25">
      <c r="A44" s="112" t="s">
        <v>93</v>
      </c>
      <c r="B44" s="761">
        <f>GETPIVOTDATA("Sum of Female",FTESexRolePivot!$A$3,"Type","Support","PostConv","Specialist Technical")</f>
        <v>204.51</v>
      </c>
      <c r="C44" s="761">
        <f>GETPIVOTDATA("Sum of Male",FTESexRolePivot!$A$3,"Type","Support","PostConv","Specialist Technical")</f>
        <v>233.86999999999998</v>
      </c>
      <c r="D44" s="762">
        <f t="shared" si="10"/>
        <v>438.38</v>
      </c>
      <c r="E44" s="115">
        <f t="shared" si="11"/>
        <v>0.4665130708517724</v>
      </c>
      <c r="F44" s="115">
        <f t="shared" si="12"/>
        <v>0.53348692914822748</v>
      </c>
    </row>
    <row r="45" spans="1:6" x14ac:dyDescent="0.25">
      <c r="A45" s="112" t="s">
        <v>81</v>
      </c>
      <c r="B45" s="756">
        <f>GETPIVOTDATA("Sum of Female",FTESexRolePivot!$A$3,"Type","Support","PostConv","Tech Support")</f>
        <v>15.529999999999998</v>
      </c>
      <c r="C45" s="756">
        <f>GETPIVOTDATA("Sum of Male",FTESexRolePivot!$A$3,"Type","Support","PostConv","Tech Support")</f>
        <v>40.35</v>
      </c>
      <c r="D45" s="762">
        <f t="shared" si="10"/>
        <v>55.879999999999995</v>
      </c>
      <c r="E45" s="115">
        <f t="shared" si="11"/>
        <v>0.27791696492483892</v>
      </c>
      <c r="F45" s="115">
        <f t="shared" si="12"/>
        <v>0.72208303507516114</v>
      </c>
    </row>
    <row r="46" spans="1:6" x14ac:dyDescent="0.25">
      <c r="A46" s="112" t="s">
        <v>94</v>
      </c>
      <c r="B46" s="756">
        <f>GETPIVOTDATA("Sum of Female",FTESexRolePivot!$A$3,"Type","Support","PostConv","Administration")</f>
        <v>110.35999999999999</v>
      </c>
      <c r="C46" s="756">
        <f>GETPIVOTDATA("Sum of Male",FTESexRolePivot!$A$3,"Type","Support","PostConv","Administration")</f>
        <v>13</v>
      </c>
      <c r="D46" s="762">
        <f t="shared" si="10"/>
        <v>123.35999999999999</v>
      </c>
      <c r="E46" s="115">
        <f t="shared" si="11"/>
        <v>0.89461738002594038</v>
      </c>
      <c r="F46" s="115">
        <f t="shared" si="12"/>
        <v>0.10538261997405968</v>
      </c>
    </row>
    <row r="47" spans="1:6" ht="15.75" thickBot="1" x14ac:dyDescent="0.3">
      <c r="A47" s="129" t="s">
        <v>95</v>
      </c>
      <c r="B47" s="755">
        <f>GETPIVOTDATA("Sum of Female",FTESexRolePivot!$A$3,"Type","Support")</f>
        <v>443.57999999999993</v>
      </c>
      <c r="C47" s="755">
        <f>GETPIVOTDATA("Sum of Male",FTESexRolePivot!$A$3,"Type","Support")</f>
        <v>385.82</v>
      </c>
      <c r="D47" s="755">
        <f t="shared" ref="D47" si="13">SUM(D40:D46)</f>
        <v>829.4</v>
      </c>
      <c r="E47" s="121">
        <f>B47/(B47+C47)</f>
        <v>0.5348203520617314</v>
      </c>
      <c r="F47" s="121">
        <f>C47/(B47+C47)</f>
        <v>0.46517964793826871</v>
      </c>
    </row>
    <row r="48" spans="1:6" ht="15.75" thickBot="1" x14ac:dyDescent="0.3">
      <c r="A48" s="126"/>
      <c r="B48" s="758"/>
      <c r="C48" s="761"/>
      <c r="D48" s="762"/>
      <c r="E48" s="121"/>
      <c r="F48" s="121"/>
    </row>
    <row r="49" spans="1:17" ht="15.75" thickBot="1" x14ac:dyDescent="0.3">
      <c r="A49" s="137" t="s">
        <v>97</v>
      </c>
      <c r="B49" s="643">
        <f t="shared" ref="B49:C49" si="14">B47+B37+B23+B17+B28</f>
        <v>969.61999999999989</v>
      </c>
      <c r="C49" s="643">
        <f t="shared" si="14"/>
        <v>5787.84</v>
      </c>
      <c r="D49" s="643">
        <f>D47+D37+D23+D17+D28</f>
        <v>6759.46</v>
      </c>
      <c r="E49" s="121">
        <f t="shared" ref="E49" si="15">B49/(B49+C49)</f>
        <v>0.1434888256830229</v>
      </c>
      <c r="F49" s="121">
        <f t="shared" ref="F49" si="16">C49/(B49+C49)</f>
        <v>0.8565111743169771</v>
      </c>
    </row>
    <row r="50" spans="1:17" x14ac:dyDescent="0.25">
      <c r="A50" s="25"/>
      <c r="B50" s="25"/>
      <c r="C50" s="25"/>
      <c r="D50" s="25"/>
      <c r="E50" s="25"/>
      <c r="F50" s="25"/>
    </row>
    <row r="51" spans="1:17" x14ac:dyDescent="0.25">
      <c r="A51" s="340" t="s">
        <v>8</v>
      </c>
      <c r="B51" s="344"/>
      <c r="C51" s="344"/>
      <c r="D51" s="344"/>
      <c r="E51" s="344"/>
      <c r="F51" s="344"/>
    </row>
    <row r="52" spans="1:17" ht="60" customHeight="1" x14ac:dyDescent="0.25">
      <c r="A52" s="1003" t="s">
        <v>844</v>
      </c>
      <c r="B52" s="1003"/>
      <c r="C52" s="1003"/>
      <c r="D52" s="1003"/>
      <c r="E52" s="1003"/>
      <c r="F52" s="1003"/>
      <c r="G52" s="1003"/>
    </row>
    <row r="53" spans="1:17" ht="45.75" customHeight="1" x14ac:dyDescent="0.25">
      <c r="A53" s="1010" t="s">
        <v>214</v>
      </c>
      <c r="B53" s="1010"/>
      <c r="C53" s="1010"/>
      <c r="D53" s="1010"/>
      <c r="E53" s="1010"/>
      <c r="F53" s="1010"/>
      <c r="G53" s="1010"/>
      <c r="H53" s="1010"/>
      <c r="I53" s="1010"/>
    </row>
    <row r="54" spans="1:17" x14ac:dyDescent="0.25">
      <c r="A54" s="459" t="s">
        <v>215</v>
      </c>
      <c r="H54" s="350"/>
    </row>
    <row r="55" spans="1:17" x14ac:dyDescent="0.25">
      <c r="A55" s="1027" t="s">
        <v>216</v>
      </c>
      <c r="B55" s="1027"/>
      <c r="C55" s="1027"/>
      <c r="D55" s="1027"/>
      <c r="E55" s="1027"/>
      <c r="F55" s="1027"/>
      <c r="H55" s="350"/>
    </row>
    <row r="56" spans="1:17" x14ac:dyDescent="0.25">
      <c r="A56" s="573" t="s">
        <v>729</v>
      </c>
      <c r="H56" s="350"/>
    </row>
    <row r="57" spans="1:17" ht="15" customHeight="1" x14ac:dyDescent="0.25">
      <c r="A57" s="466" t="s">
        <v>212</v>
      </c>
      <c r="H57" s="384"/>
    </row>
    <row r="58" spans="1:17" ht="15" customHeight="1" x14ac:dyDescent="0.25">
      <c r="A58" s="377" t="s">
        <v>213</v>
      </c>
      <c r="H58" s="459"/>
    </row>
    <row r="59" spans="1:17" ht="15.95" customHeight="1" x14ac:dyDescent="0.25">
      <c r="A59" s="996" t="s">
        <v>211</v>
      </c>
      <c r="B59" s="996"/>
      <c r="C59" s="493"/>
      <c r="D59" s="493"/>
      <c r="E59" s="493"/>
      <c r="F59" s="493"/>
      <c r="H59" s="466"/>
    </row>
    <row r="60" spans="1:17" x14ac:dyDescent="0.25">
      <c r="H60" s="377"/>
    </row>
    <row r="61" spans="1:17" ht="15" customHeight="1" x14ac:dyDescent="0.25">
      <c r="A61" s="603"/>
      <c r="B61" s="603"/>
      <c r="C61" s="603"/>
      <c r="D61" s="603"/>
      <c r="E61" s="603"/>
      <c r="F61" s="603"/>
      <c r="G61" s="603"/>
      <c r="H61" s="603"/>
      <c r="I61" s="603"/>
      <c r="J61" s="493"/>
      <c r="K61" s="493"/>
      <c r="L61" s="493"/>
      <c r="M61" s="493"/>
      <c r="N61" s="493"/>
      <c r="O61" s="493"/>
      <c r="P61" s="493"/>
      <c r="Q61" s="493"/>
    </row>
    <row r="62" spans="1:17" x14ac:dyDescent="0.25">
      <c r="A62" s="1010"/>
      <c r="B62" s="1010"/>
      <c r="C62" s="1010"/>
      <c r="D62" s="1010"/>
      <c r="E62" s="1010"/>
      <c r="F62" s="1010"/>
      <c r="G62" s="1010"/>
      <c r="H62" s="344"/>
    </row>
    <row r="63" spans="1:17" x14ac:dyDescent="0.25">
      <c r="A63" s="1026"/>
      <c r="B63" s="1026"/>
      <c r="C63" s="1026"/>
      <c r="D63" s="1026"/>
      <c r="E63" s="1026"/>
      <c r="F63" s="1026"/>
      <c r="G63" s="344"/>
    </row>
    <row r="64" spans="1:17" x14ac:dyDescent="0.25">
      <c r="G64" s="344"/>
    </row>
  </sheetData>
  <sheetProtection algorithmName="SHA-512" hashValue="kUfl9xZkkCVwtltr5KP7+u+qnm222skJgteDrbrKlM8aWxUQ3P3AYXoaFzAyEkBLtNkwyYUgNi2oXgdDY9bJ7w==" saltValue="qM4bACWULVhisUDS0ovWWw==" spinCount="100000" sheet="1" scenarios="1" formatCells="0" sort="0" autoFilter="0" pivotTables="0"/>
  <mergeCells count="7">
    <mergeCell ref="A4:F4"/>
    <mergeCell ref="A62:G62"/>
    <mergeCell ref="A63:F63"/>
    <mergeCell ref="A55:F55"/>
    <mergeCell ref="A53:I53"/>
    <mergeCell ref="A52:G52"/>
    <mergeCell ref="A59:B59"/>
  </mergeCells>
  <hyperlinks>
    <hyperlink ref="A2" location="'Table of Contents'!A1" display="Back to Table of Contents" xr:uid="{00000000-0004-0000-5D00-000000000000}"/>
  </hyperlinks>
  <pageMargins left="0.70866141732283472" right="0.70866141732283472" top="0.74803149606299213" bottom="0.74803149606299213" header="0.31496062992125984" footer="0.31496062992125984"/>
  <pageSetup paperSize="9" scale="79" orientation="portrait" r:id="rId1"/>
  <drawing r:id="rId2"/>
  <extLst>
    <ext xmlns:x14="http://schemas.microsoft.com/office/spreadsheetml/2009/9/main" uri="{A8765BA9-456A-4dab-B4F3-ACF838C121DE}">
      <x14:slicerList>
        <x14:slicer r:id="rId3"/>
      </x14:slicerList>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G17"/>
  <sheetViews>
    <sheetView workbookViewId="0">
      <selection activeCell="A14" sqref="A14:XFD14"/>
    </sheetView>
  </sheetViews>
  <sheetFormatPr defaultRowHeight="15" x14ac:dyDescent="0.25"/>
  <cols>
    <col min="1" max="1" width="12.42578125" bestFit="1" customWidth="1"/>
    <col min="2" max="2" width="27.140625" bestFit="1" customWidth="1"/>
    <col min="3" max="3" width="25.85546875" bestFit="1" customWidth="1"/>
    <col min="4" max="4" width="22.5703125" bestFit="1" customWidth="1"/>
    <col min="5" max="5" width="13.42578125" bestFit="1" customWidth="1"/>
    <col min="6" max="6" width="18.42578125" bestFit="1" customWidth="1"/>
    <col min="7" max="7" width="15.5703125" bestFit="1" customWidth="1"/>
    <col min="8" max="8" width="32" bestFit="1" customWidth="1"/>
    <col min="9" max="9" width="30.5703125" bestFit="1" customWidth="1"/>
    <col min="10" max="10" width="27.42578125" bestFit="1" customWidth="1"/>
    <col min="11" max="11" width="18.28515625" bestFit="1" customWidth="1"/>
    <col min="12" max="12" width="23.140625" bestFit="1" customWidth="1"/>
    <col min="13" max="13" width="20.42578125" bestFit="1" customWidth="1"/>
    <col min="14" max="14" width="25.85546875" bestFit="1" customWidth="1"/>
    <col min="15" max="25" width="5.42578125" bestFit="1" customWidth="1"/>
    <col min="26" max="26" width="22.5703125" bestFit="1" customWidth="1"/>
    <col min="27" max="37" width="5.42578125" bestFit="1" customWidth="1"/>
    <col min="38" max="38" width="13.42578125" bestFit="1" customWidth="1"/>
    <col min="39" max="49" width="5.42578125" bestFit="1" customWidth="1"/>
    <col min="50" max="50" width="18.42578125" bestFit="1" customWidth="1"/>
    <col min="51" max="61" width="5.42578125" bestFit="1" customWidth="1"/>
    <col min="62" max="62" width="15.5703125" bestFit="1" customWidth="1"/>
    <col min="63" max="73" width="5.42578125" bestFit="1" customWidth="1"/>
    <col min="74" max="74" width="32" bestFit="1" customWidth="1"/>
    <col min="75" max="75" width="30.5703125" bestFit="1" customWidth="1"/>
    <col min="76" max="76" width="27.42578125" bestFit="1" customWidth="1"/>
    <col min="77" max="77" width="18.28515625" bestFit="1" customWidth="1"/>
    <col min="78" max="78" width="23.140625" bestFit="1" customWidth="1"/>
    <col min="79" max="79" width="20.42578125" bestFit="1" customWidth="1"/>
    <col min="80" max="80" width="14.85546875" bestFit="1" customWidth="1"/>
    <col min="81" max="81" width="19.85546875" bestFit="1" customWidth="1"/>
    <col min="82" max="82" width="17.140625" bestFit="1" customWidth="1"/>
    <col min="83" max="83" width="27.28515625" bestFit="1" customWidth="1"/>
    <col min="84" max="84" width="24.140625" bestFit="1" customWidth="1"/>
    <col min="85" max="85" width="14.85546875" bestFit="1" customWidth="1"/>
    <col min="86" max="86" width="19.85546875" bestFit="1" customWidth="1"/>
    <col min="87" max="87" width="17.140625" bestFit="1" customWidth="1"/>
    <col min="88" max="88" width="27.28515625" bestFit="1" customWidth="1"/>
    <col min="89" max="89" width="24.140625" bestFit="1" customWidth="1"/>
    <col min="90" max="90" width="14.85546875" bestFit="1" customWidth="1"/>
    <col min="91" max="91" width="19.85546875" bestFit="1" customWidth="1"/>
    <col min="92" max="92" width="17.140625" bestFit="1" customWidth="1"/>
    <col min="93" max="93" width="27.28515625" bestFit="1" customWidth="1"/>
    <col min="94" max="94" width="24.140625" bestFit="1" customWidth="1"/>
    <col min="95" max="95" width="14.85546875" bestFit="1" customWidth="1"/>
    <col min="96" max="96" width="19.85546875" bestFit="1" customWidth="1"/>
    <col min="97" max="97" width="17.140625" bestFit="1" customWidth="1"/>
    <col min="98" max="98" width="27.28515625" bestFit="1" customWidth="1"/>
    <col min="99" max="99" width="24.140625" bestFit="1" customWidth="1"/>
    <col min="100" max="100" width="14.85546875" bestFit="1" customWidth="1"/>
    <col min="101" max="101" width="19.85546875" bestFit="1" customWidth="1"/>
    <col min="102" max="102" width="17.140625" bestFit="1" customWidth="1"/>
    <col min="103" max="103" width="27.28515625" bestFit="1" customWidth="1"/>
    <col min="104" max="104" width="24.140625" bestFit="1" customWidth="1"/>
    <col min="105" max="105" width="14.85546875" bestFit="1" customWidth="1"/>
    <col min="106" max="106" width="19.85546875" bestFit="1" customWidth="1"/>
    <col min="107" max="107" width="17.140625" bestFit="1" customWidth="1"/>
    <col min="108" max="108" width="27.28515625" bestFit="1" customWidth="1"/>
    <col min="109" max="109" width="24.140625" bestFit="1" customWidth="1"/>
    <col min="110" max="110" width="14.85546875" bestFit="1" customWidth="1"/>
    <col min="111" max="111" width="19.85546875" bestFit="1" customWidth="1"/>
    <col min="112" max="112" width="17.140625" bestFit="1" customWidth="1"/>
    <col min="113" max="113" width="27.28515625" bestFit="1" customWidth="1"/>
    <col min="114" max="114" width="24.140625" bestFit="1" customWidth="1"/>
    <col min="115" max="115" width="14.85546875" bestFit="1" customWidth="1"/>
    <col min="116" max="116" width="19.85546875" bestFit="1" customWidth="1"/>
    <col min="117" max="117" width="17.140625" bestFit="1" customWidth="1"/>
    <col min="118" max="118" width="27.28515625" bestFit="1" customWidth="1"/>
    <col min="119" max="119" width="24.140625" bestFit="1" customWidth="1"/>
    <col min="120" max="120" width="14.85546875" bestFit="1" customWidth="1"/>
    <col min="121" max="121" width="19.85546875" bestFit="1" customWidth="1"/>
    <col min="122" max="122" width="17.140625" bestFit="1" customWidth="1"/>
    <col min="123" max="123" width="27.28515625" bestFit="1" customWidth="1"/>
    <col min="124" max="124" width="24.140625" bestFit="1" customWidth="1"/>
    <col min="125" max="125" width="14.85546875" bestFit="1" customWidth="1"/>
    <col min="126" max="126" width="19.85546875" bestFit="1" customWidth="1"/>
    <col min="127" max="127" width="17.140625" bestFit="1" customWidth="1"/>
    <col min="128" max="128" width="27.28515625" bestFit="1" customWidth="1"/>
    <col min="129" max="129" width="24.140625" bestFit="1" customWidth="1"/>
    <col min="130" max="130" width="14.85546875" bestFit="1" customWidth="1"/>
    <col min="131" max="131" width="19.85546875" bestFit="1" customWidth="1"/>
    <col min="132" max="132" width="17.140625" bestFit="1" customWidth="1"/>
    <col min="133" max="133" width="27.28515625" bestFit="1" customWidth="1"/>
    <col min="134" max="134" width="24.140625" bestFit="1" customWidth="1"/>
    <col min="135" max="135" width="14.85546875" bestFit="1" customWidth="1"/>
    <col min="136" max="136" width="19.85546875" bestFit="1" customWidth="1"/>
    <col min="137" max="137" width="17.140625" bestFit="1" customWidth="1"/>
    <col min="138" max="138" width="27.28515625" bestFit="1" customWidth="1"/>
    <col min="139" max="139" width="24.140625" bestFit="1" customWidth="1"/>
    <col min="140" max="140" width="14.85546875" bestFit="1" customWidth="1"/>
    <col min="141" max="141" width="19.85546875" bestFit="1" customWidth="1"/>
    <col min="142" max="142" width="17.140625" bestFit="1" customWidth="1"/>
    <col min="143" max="143" width="27.28515625" bestFit="1" customWidth="1"/>
    <col min="144" max="144" width="24.140625" bestFit="1" customWidth="1"/>
    <col min="145" max="145" width="14.85546875" bestFit="1" customWidth="1"/>
    <col min="146" max="146" width="19.85546875" bestFit="1" customWidth="1"/>
    <col min="147" max="147" width="17.140625" bestFit="1" customWidth="1"/>
    <col min="148" max="148" width="27.28515625" bestFit="1" customWidth="1"/>
    <col min="149" max="149" width="24.140625" bestFit="1" customWidth="1"/>
    <col min="150" max="150" width="14.85546875" bestFit="1" customWidth="1"/>
    <col min="151" max="151" width="19.85546875" bestFit="1" customWidth="1"/>
    <col min="152" max="152" width="17.140625" bestFit="1" customWidth="1"/>
    <col min="153" max="153" width="27.28515625" bestFit="1" customWidth="1"/>
    <col min="154" max="154" width="24.140625" bestFit="1" customWidth="1"/>
    <col min="155" max="155" width="14.85546875" bestFit="1" customWidth="1"/>
    <col min="156" max="156" width="19.85546875" bestFit="1" customWidth="1"/>
    <col min="157" max="157" width="17.140625" bestFit="1" customWidth="1"/>
    <col min="158" max="158" width="27.28515625" bestFit="1" customWidth="1"/>
    <col min="159" max="159" width="24.140625" bestFit="1" customWidth="1"/>
    <col min="160" max="160" width="14.85546875" bestFit="1" customWidth="1"/>
    <col min="161" max="161" width="19.85546875" bestFit="1" customWidth="1"/>
    <col min="162" max="162" width="17.140625" bestFit="1" customWidth="1"/>
    <col min="163" max="163" width="27.28515625" bestFit="1" customWidth="1"/>
    <col min="164" max="164" width="24.140625" bestFit="1" customWidth="1"/>
    <col min="165" max="165" width="14.85546875" bestFit="1" customWidth="1"/>
    <col min="166" max="166" width="19.85546875" bestFit="1" customWidth="1"/>
    <col min="167" max="167" width="17.140625" bestFit="1" customWidth="1"/>
    <col min="168" max="168" width="27.28515625" bestFit="1" customWidth="1"/>
    <col min="169" max="169" width="24.140625" bestFit="1" customWidth="1"/>
    <col min="170" max="170" width="14.85546875" bestFit="1" customWidth="1"/>
    <col min="171" max="171" width="19.85546875" bestFit="1" customWidth="1"/>
    <col min="172" max="172" width="17.140625" bestFit="1" customWidth="1"/>
    <col min="173" max="173" width="27.28515625" bestFit="1" customWidth="1"/>
    <col min="174" max="174" width="24.140625" bestFit="1" customWidth="1"/>
    <col min="175" max="175" width="14.85546875" bestFit="1" customWidth="1"/>
    <col min="176" max="176" width="19.85546875" bestFit="1" customWidth="1"/>
    <col min="177" max="177" width="17.140625" bestFit="1" customWidth="1"/>
    <col min="178" max="178" width="27.28515625" bestFit="1" customWidth="1"/>
    <col min="179" max="179" width="24.140625" bestFit="1" customWidth="1"/>
    <col min="180" max="180" width="14.85546875" bestFit="1" customWidth="1"/>
    <col min="181" max="181" width="19.85546875" bestFit="1" customWidth="1"/>
    <col min="182" max="182" width="17.140625" bestFit="1" customWidth="1"/>
    <col min="183" max="183" width="27.28515625" bestFit="1" customWidth="1"/>
    <col min="184" max="184" width="24.140625" bestFit="1" customWidth="1"/>
    <col min="185" max="185" width="14.85546875" bestFit="1" customWidth="1"/>
    <col min="186" max="186" width="19.85546875" bestFit="1" customWidth="1"/>
    <col min="187" max="187" width="17.140625" bestFit="1" customWidth="1"/>
    <col min="188" max="188" width="27.28515625" bestFit="1" customWidth="1"/>
    <col min="189" max="189" width="24.140625" bestFit="1" customWidth="1"/>
    <col min="190" max="190" width="14.85546875" bestFit="1" customWidth="1"/>
    <col min="191" max="191" width="19.85546875" bestFit="1" customWidth="1"/>
    <col min="192" max="192" width="17.140625" bestFit="1" customWidth="1"/>
    <col min="193" max="193" width="27.28515625" bestFit="1" customWidth="1"/>
    <col min="194" max="194" width="24.140625" bestFit="1" customWidth="1"/>
    <col min="195" max="195" width="14.85546875" bestFit="1" customWidth="1"/>
    <col min="196" max="196" width="19.85546875" bestFit="1" customWidth="1"/>
    <col min="197" max="197" width="17.140625" bestFit="1" customWidth="1"/>
    <col min="198" max="198" width="27.28515625" bestFit="1" customWidth="1"/>
    <col min="199" max="199" width="24.140625" bestFit="1" customWidth="1"/>
    <col min="200" max="200" width="14.85546875" bestFit="1" customWidth="1"/>
    <col min="201" max="201" width="19.85546875" bestFit="1" customWidth="1"/>
    <col min="202" max="202" width="17.140625" bestFit="1" customWidth="1"/>
    <col min="203" max="203" width="27.28515625" bestFit="1" customWidth="1"/>
    <col min="204" max="204" width="24.140625" bestFit="1" customWidth="1"/>
    <col min="205" max="205" width="14.85546875" bestFit="1" customWidth="1"/>
    <col min="206" max="206" width="19.85546875" bestFit="1" customWidth="1"/>
    <col min="207" max="207" width="17.140625" bestFit="1" customWidth="1"/>
    <col min="208" max="208" width="27.28515625" bestFit="1" customWidth="1"/>
    <col min="209" max="209" width="24.140625" bestFit="1" customWidth="1"/>
    <col min="210" max="210" width="14.85546875" bestFit="1" customWidth="1"/>
    <col min="211" max="211" width="19.85546875" bestFit="1" customWidth="1"/>
    <col min="212" max="212" width="17.140625" bestFit="1" customWidth="1"/>
    <col min="213" max="213" width="27.28515625" bestFit="1" customWidth="1"/>
    <col min="214" max="214" width="24.140625" bestFit="1" customWidth="1"/>
    <col min="215" max="215" width="14.85546875" bestFit="1" customWidth="1"/>
    <col min="216" max="216" width="19.85546875" bestFit="1" customWidth="1"/>
    <col min="217" max="217" width="17.140625" bestFit="1" customWidth="1"/>
    <col min="218" max="218" width="27.28515625" bestFit="1" customWidth="1"/>
    <col min="219" max="219" width="24.140625" bestFit="1" customWidth="1"/>
    <col min="220" max="220" width="14.85546875" bestFit="1" customWidth="1"/>
    <col min="221" max="221" width="19.85546875" bestFit="1" customWidth="1"/>
    <col min="222" max="222" width="17.140625" bestFit="1" customWidth="1"/>
    <col min="223" max="223" width="27.28515625" bestFit="1" customWidth="1"/>
    <col min="224" max="224" width="24.140625" bestFit="1" customWidth="1"/>
    <col min="225" max="225" width="14.85546875" bestFit="1" customWidth="1"/>
    <col min="226" max="226" width="19.85546875" bestFit="1" customWidth="1"/>
    <col min="227" max="227" width="17.140625" bestFit="1" customWidth="1"/>
    <col min="228" max="228" width="27.28515625" bestFit="1" customWidth="1"/>
    <col min="229" max="229" width="24.140625" bestFit="1" customWidth="1"/>
    <col min="230" max="230" width="14.85546875" bestFit="1" customWidth="1"/>
    <col min="231" max="231" width="19.85546875" bestFit="1" customWidth="1"/>
    <col min="232" max="232" width="17.140625" bestFit="1" customWidth="1"/>
    <col min="233" max="233" width="27.28515625" bestFit="1" customWidth="1"/>
    <col min="234" max="234" width="24.140625" bestFit="1" customWidth="1"/>
    <col min="235" max="235" width="14.85546875" bestFit="1" customWidth="1"/>
    <col min="236" max="236" width="19.85546875" bestFit="1" customWidth="1"/>
    <col min="237" max="237" width="17.140625" bestFit="1" customWidth="1"/>
    <col min="238" max="238" width="27.28515625" bestFit="1" customWidth="1"/>
    <col min="239" max="239" width="24.140625" bestFit="1" customWidth="1"/>
    <col min="240" max="240" width="14.85546875" bestFit="1" customWidth="1"/>
    <col min="241" max="241" width="19.85546875" bestFit="1" customWidth="1"/>
    <col min="242" max="242" width="17.140625" bestFit="1" customWidth="1"/>
    <col min="243" max="243" width="27.28515625" bestFit="1" customWidth="1"/>
    <col min="244" max="244" width="24.140625" bestFit="1" customWidth="1"/>
    <col min="245" max="245" width="14.85546875" bestFit="1" customWidth="1"/>
    <col min="246" max="246" width="19.85546875" bestFit="1" customWidth="1"/>
    <col min="247" max="247" width="17.140625" bestFit="1" customWidth="1"/>
    <col min="248" max="248" width="27.28515625" bestFit="1" customWidth="1"/>
    <col min="249" max="249" width="24.140625" bestFit="1" customWidth="1"/>
    <col min="250" max="250" width="14.85546875" bestFit="1" customWidth="1"/>
    <col min="251" max="251" width="19.85546875" bestFit="1" customWidth="1"/>
    <col min="252" max="252" width="17.140625" bestFit="1" customWidth="1"/>
    <col min="253" max="253" width="27.28515625" bestFit="1" customWidth="1"/>
    <col min="254" max="254" width="24.140625" bestFit="1" customWidth="1"/>
    <col min="255" max="255" width="14.85546875" bestFit="1" customWidth="1"/>
    <col min="256" max="256" width="19.85546875" bestFit="1" customWidth="1"/>
    <col min="257" max="257" width="17.140625" bestFit="1" customWidth="1"/>
    <col min="258" max="258" width="27.28515625" bestFit="1" customWidth="1"/>
    <col min="259" max="259" width="24.140625" bestFit="1" customWidth="1"/>
    <col min="260" max="260" width="14.85546875" bestFit="1" customWidth="1"/>
    <col min="261" max="261" width="19.85546875" bestFit="1" customWidth="1"/>
    <col min="262" max="262" width="17.140625" bestFit="1" customWidth="1"/>
    <col min="263" max="263" width="27.28515625" bestFit="1" customWidth="1"/>
    <col min="264" max="264" width="24.140625" bestFit="1" customWidth="1"/>
    <col min="265" max="265" width="14.85546875" bestFit="1" customWidth="1"/>
    <col min="266" max="266" width="19.85546875" bestFit="1" customWidth="1"/>
    <col min="267" max="267" width="17.140625" bestFit="1" customWidth="1"/>
    <col min="268" max="268" width="27.28515625" bestFit="1" customWidth="1"/>
    <col min="269" max="269" width="24.140625" bestFit="1" customWidth="1"/>
    <col min="270" max="270" width="14.85546875" bestFit="1" customWidth="1"/>
    <col min="271" max="271" width="19.85546875" bestFit="1" customWidth="1"/>
    <col min="272" max="272" width="17.140625" bestFit="1" customWidth="1"/>
    <col min="273" max="273" width="27.28515625" bestFit="1" customWidth="1"/>
    <col min="274" max="274" width="24.140625" bestFit="1" customWidth="1"/>
    <col min="275" max="275" width="14.85546875" bestFit="1" customWidth="1"/>
    <col min="276" max="276" width="19.85546875" bestFit="1" customWidth="1"/>
    <col min="277" max="277" width="17.140625" bestFit="1" customWidth="1"/>
    <col min="278" max="278" width="27.28515625" bestFit="1" customWidth="1"/>
    <col min="279" max="279" width="24.140625" bestFit="1" customWidth="1"/>
    <col min="280" max="280" width="14.85546875" bestFit="1" customWidth="1"/>
    <col min="281" max="281" width="19.85546875" bestFit="1" customWidth="1"/>
    <col min="282" max="282" width="17.140625" bestFit="1" customWidth="1"/>
    <col min="283" max="283" width="27.28515625" bestFit="1" customWidth="1"/>
    <col min="284" max="284" width="24.140625" bestFit="1" customWidth="1"/>
    <col min="285" max="285" width="14.85546875" bestFit="1" customWidth="1"/>
    <col min="286" max="286" width="19.85546875" bestFit="1" customWidth="1"/>
    <col min="287" max="287" width="17.140625" bestFit="1" customWidth="1"/>
    <col min="288" max="288" width="27.28515625" bestFit="1" customWidth="1"/>
    <col min="289" max="289" width="24.140625" bestFit="1" customWidth="1"/>
    <col min="290" max="290" width="14.85546875" bestFit="1" customWidth="1"/>
    <col min="291" max="291" width="19.85546875" bestFit="1" customWidth="1"/>
    <col min="292" max="292" width="17.140625" bestFit="1" customWidth="1"/>
    <col min="293" max="293" width="27.28515625" bestFit="1" customWidth="1"/>
    <col min="294" max="294" width="24.140625" bestFit="1" customWidth="1"/>
    <col min="295" max="295" width="14.85546875" bestFit="1" customWidth="1"/>
    <col min="296" max="296" width="19.85546875" bestFit="1" customWidth="1"/>
    <col min="297" max="297" width="17.140625" bestFit="1" customWidth="1"/>
    <col min="298" max="298" width="27.28515625" bestFit="1" customWidth="1"/>
    <col min="299" max="299" width="24.140625" bestFit="1" customWidth="1"/>
    <col min="300" max="300" width="14.85546875" bestFit="1" customWidth="1"/>
    <col min="301" max="301" width="19.85546875" bestFit="1" customWidth="1"/>
    <col min="302" max="302" width="17.140625" bestFit="1" customWidth="1"/>
    <col min="303" max="303" width="27.28515625" bestFit="1" customWidth="1"/>
    <col min="304" max="304" width="24.140625" bestFit="1" customWidth="1"/>
    <col min="305" max="305" width="14.85546875" bestFit="1" customWidth="1"/>
    <col min="306" max="306" width="19.85546875" bestFit="1" customWidth="1"/>
    <col min="307" max="307" width="17.140625" bestFit="1" customWidth="1"/>
    <col min="308" max="308" width="27.28515625" bestFit="1" customWidth="1"/>
    <col min="309" max="309" width="24.140625" bestFit="1" customWidth="1"/>
    <col min="310" max="310" width="14.85546875" bestFit="1" customWidth="1"/>
    <col min="311" max="311" width="19.85546875" bestFit="1" customWidth="1"/>
    <col min="312" max="312" width="17.140625" bestFit="1" customWidth="1"/>
    <col min="313" max="313" width="27.28515625" bestFit="1" customWidth="1"/>
    <col min="314" max="314" width="24.140625" bestFit="1" customWidth="1"/>
    <col min="315" max="315" width="14.85546875" bestFit="1" customWidth="1"/>
    <col min="316" max="316" width="19.85546875" bestFit="1" customWidth="1"/>
    <col min="317" max="317" width="17.140625" bestFit="1" customWidth="1"/>
    <col min="318" max="318" width="27.28515625" bestFit="1" customWidth="1"/>
    <col min="319" max="319" width="24.140625" bestFit="1" customWidth="1"/>
    <col min="320" max="320" width="14.85546875" bestFit="1" customWidth="1"/>
    <col min="321" max="321" width="19.85546875" bestFit="1" customWidth="1"/>
    <col min="322" max="322" width="21.85546875" bestFit="1" customWidth="1"/>
    <col min="323" max="323" width="32.140625" bestFit="1" customWidth="1"/>
    <col min="324" max="324" width="28.85546875" bestFit="1" customWidth="1"/>
    <col min="325" max="325" width="19.7109375" bestFit="1" customWidth="1"/>
    <col min="326" max="326" width="24.5703125" bestFit="1" customWidth="1"/>
    <col min="327" max="327" width="24.140625" bestFit="1" customWidth="1"/>
    <col min="328" max="328" width="14.85546875" bestFit="1" customWidth="1"/>
    <col min="329" max="329" width="19.85546875" bestFit="1" customWidth="1"/>
    <col min="330" max="330" width="20.5703125" bestFit="1" customWidth="1"/>
    <col min="331" max="331" width="27.5703125" bestFit="1" customWidth="1"/>
    <col min="332" max="332" width="18.42578125" bestFit="1" customWidth="1"/>
    <col min="333" max="333" width="23.42578125" bestFit="1" customWidth="1"/>
    <col min="334" max="334" width="17.140625" bestFit="1" customWidth="1"/>
    <col min="335" max="335" width="24.140625" bestFit="1" customWidth="1"/>
    <col min="336" max="336" width="14.85546875" bestFit="1" customWidth="1"/>
    <col min="337" max="337" width="19.85546875" bestFit="1" customWidth="1"/>
    <col min="338" max="338" width="20.5703125" bestFit="1" customWidth="1"/>
    <col min="339" max="339" width="27.5703125" bestFit="1" customWidth="1"/>
    <col min="340" max="340" width="18.42578125" bestFit="1" customWidth="1"/>
    <col min="341" max="341" width="23.42578125" bestFit="1" customWidth="1"/>
    <col min="342" max="342" width="17.140625" bestFit="1" customWidth="1"/>
    <col min="343" max="343" width="24.140625" bestFit="1" customWidth="1"/>
    <col min="344" max="344" width="14.85546875" bestFit="1" customWidth="1"/>
    <col min="345" max="345" width="19.85546875" bestFit="1" customWidth="1"/>
    <col min="346" max="346" width="20.5703125" bestFit="1" customWidth="1"/>
    <col min="347" max="347" width="27.5703125" bestFit="1" customWidth="1"/>
    <col min="348" max="348" width="18.42578125" bestFit="1" customWidth="1"/>
    <col min="349" max="349" width="23.42578125" bestFit="1" customWidth="1"/>
    <col min="350" max="350" width="17.140625" bestFit="1" customWidth="1"/>
    <col min="351" max="351" width="24.140625" bestFit="1" customWidth="1"/>
    <col min="352" max="352" width="14.85546875" bestFit="1" customWidth="1"/>
    <col min="353" max="353" width="19.85546875" bestFit="1" customWidth="1"/>
    <col min="354" max="354" width="20.5703125" bestFit="1" customWidth="1"/>
    <col min="355" max="355" width="27.5703125" bestFit="1" customWidth="1"/>
    <col min="356" max="356" width="18.42578125" bestFit="1" customWidth="1"/>
    <col min="357" max="357" width="23.42578125" bestFit="1" customWidth="1"/>
    <col min="358" max="358" width="17.140625" bestFit="1" customWidth="1"/>
    <col min="359" max="359" width="24.140625" bestFit="1" customWidth="1"/>
    <col min="360" max="360" width="14.85546875" bestFit="1" customWidth="1"/>
    <col min="361" max="361" width="19.85546875" bestFit="1" customWidth="1"/>
    <col min="362" max="362" width="20.5703125" bestFit="1" customWidth="1"/>
    <col min="363" max="363" width="27.5703125" bestFit="1" customWidth="1"/>
    <col min="364" max="364" width="18.42578125" bestFit="1" customWidth="1"/>
    <col min="365" max="365" width="23.42578125" bestFit="1" customWidth="1"/>
    <col min="366" max="366" width="17.140625" bestFit="1" customWidth="1"/>
    <col min="367" max="367" width="24.140625" bestFit="1" customWidth="1"/>
    <col min="368" max="368" width="14.85546875" bestFit="1" customWidth="1"/>
    <col min="369" max="369" width="19.85546875" bestFit="1" customWidth="1"/>
    <col min="370" max="370" width="17.140625" bestFit="1" customWidth="1"/>
    <col min="371" max="371" width="24.140625" bestFit="1" customWidth="1"/>
    <col min="372" max="372" width="14.85546875" bestFit="1" customWidth="1"/>
    <col min="373" max="373" width="19.85546875" bestFit="1" customWidth="1"/>
    <col min="374" max="374" width="20.5703125" bestFit="1" customWidth="1"/>
    <col min="375" max="375" width="27.5703125" bestFit="1" customWidth="1"/>
    <col min="376" max="376" width="18.42578125" bestFit="1" customWidth="1"/>
    <col min="377" max="377" width="23.42578125" bestFit="1" customWidth="1"/>
    <col min="378" max="378" width="17.140625" bestFit="1" customWidth="1"/>
    <col min="379" max="379" width="24.140625" bestFit="1" customWidth="1"/>
    <col min="380" max="380" width="14.85546875" bestFit="1" customWidth="1"/>
    <col min="381" max="381" width="19.85546875" bestFit="1" customWidth="1"/>
    <col min="382" max="382" width="20.5703125" bestFit="1" customWidth="1"/>
    <col min="383" max="383" width="27.5703125" bestFit="1" customWidth="1"/>
    <col min="384" max="384" width="18.42578125" bestFit="1" customWidth="1"/>
    <col min="385" max="385" width="23.42578125" bestFit="1" customWidth="1"/>
    <col min="386" max="386" width="17.140625" bestFit="1" customWidth="1"/>
    <col min="387" max="387" width="24.140625" bestFit="1" customWidth="1"/>
    <col min="388" max="388" width="14.85546875" bestFit="1" customWidth="1"/>
    <col min="389" max="389" width="19.85546875" bestFit="1" customWidth="1"/>
    <col min="390" max="390" width="20.5703125" bestFit="1" customWidth="1"/>
    <col min="391" max="391" width="27.5703125" bestFit="1" customWidth="1"/>
    <col min="392" max="392" width="18.42578125" bestFit="1" customWidth="1"/>
    <col min="393" max="393" width="23.42578125" bestFit="1" customWidth="1"/>
    <col min="394" max="394" width="17.140625" bestFit="1" customWidth="1"/>
    <col min="395" max="395" width="24.140625" bestFit="1" customWidth="1"/>
    <col min="396" max="396" width="14.85546875" bestFit="1" customWidth="1"/>
    <col min="397" max="397" width="19.85546875" bestFit="1" customWidth="1"/>
    <col min="398" max="398" width="20.5703125" bestFit="1" customWidth="1"/>
    <col min="399" max="399" width="27.5703125" bestFit="1" customWidth="1"/>
    <col min="400" max="400" width="18.42578125" bestFit="1" customWidth="1"/>
    <col min="401" max="401" width="23.42578125" bestFit="1" customWidth="1"/>
    <col min="402" max="402" width="17.140625" bestFit="1" customWidth="1"/>
    <col min="403" max="403" width="24.140625" bestFit="1" customWidth="1"/>
    <col min="404" max="404" width="14.85546875" bestFit="1" customWidth="1"/>
    <col min="405" max="405" width="19.85546875" bestFit="1" customWidth="1"/>
    <col min="406" max="406" width="20.5703125" bestFit="1" customWidth="1"/>
    <col min="407" max="407" width="27.5703125" bestFit="1" customWidth="1"/>
    <col min="408" max="408" width="18.42578125" bestFit="1" customWidth="1"/>
    <col min="409" max="409" width="23.42578125" bestFit="1" customWidth="1"/>
    <col min="410" max="410" width="17.140625" bestFit="1" customWidth="1"/>
    <col min="411" max="411" width="24.140625" bestFit="1" customWidth="1"/>
    <col min="412" max="412" width="14.85546875" bestFit="1" customWidth="1"/>
    <col min="413" max="413" width="19.85546875" bestFit="1" customWidth="1"/>
    <col min="414" max="414" width="20.5703125" bestFit="1" customWidth="1"/>
    <col min="415" max="415" width="27.5703125" bestFit="1" customWidth="1"/>
    <col min="416" max="416" width="18.42578125" bestFit="1" customWidth="1"/>
    <col min="417" max="417" width="23.42578125" bestFit="1" customWidth="1"/>
    <col min="418" max="418" width="17.140625" bestFit="1" customWidth="1"/>
    <col min="419" max="419" width="24.140625" bestFit="1" customWidth="1"/>
    <col min="420" max="420" width="14.85546875" bestFit="1" customWidth="1"/>
    <col min="421" max="421" width="19.85546875" bestFit="1" customWidth="1"/>
    <col min="422" max="422" width="20.5703125" bestFit="1" customWidth="1"/>
    <col min="423" max="423" width="27.5703125" bestFit="1" customWidth="1"/>
    <col min="424" max="424" width="18.42578125" bestFit="1" customWidth="1"/>
    <col min="425" max="425" width="23.42578125" bestFit="1" customWidth="1"/>
    <col min="426" max="426" width="17.140625" bestFit="1" customWidth="1"/>
    <col min="427" max="427" width="24.140625" bestFit="1" customWidth="1"/>
    <col min="428" max="428" width="14.85546875" bestFit="1" customWidth="1"/>
    <col min="429" max="429" width="19.85546875" bestFit="1" customWidth="1"/>
    <col min="430" max="430" width="20.5703125" bestFit="1" customWidth="1"/>
    <col min="431" max="431" width="27.5703125" bestFit="1" customWidth="1"/>
    <col min="432" max="432" width="18.42578125" bestFit="1" customWidth="1"/>
    <col min="433" max="433" width="23.42578125" bestFit="1" customWidth="1"/>
    <col min="434" max="434" width="17.140625" bestFit="1" customWidth="1"/>
    <col min="435" max="435" width="24.140625" bestFit="1" customWidth="1"/>
    <col min="436" max="436" width="14.85546875" bestFit="1" customWidth="1"/>
    <col min="437" max="437" width="19.85546875" bestFit="1" customWidth="1"/>
    <col min="438" max="438" width="20.5703125" bestFit="1" customWidth="1"/>
    <col min="439" max="439" width="27.5703125" bestFit="1" customWidth="1"/>
    <col min="440" max="440" width="18.42578125" bestFit="1" customWidth="1"/>
    <col min="441" max="441" width="23.42578125" bestFit="1" customWidth="1"/>
    <col min="442" max="442" width="17.140625" bestFit="1" customWidth="1"/>
    <col min="443" max="443" width="24.140625" bestFit="1" customWidth="1"/>
    <col min="444" max="444" width="14.85546875" bestFit="1" customWidth="1"/>
    <col min="445" max="445" width="19.85546875" bestFit="1" customWidth="1"/>
    <col min="446" max="446" width="20.5703125" bestFit="1" customWidth="1"/>
    <col min="447" max="447" width="27.5703125" bestFit="1" customWidth="1"/>
    <col min="448" max="448" width="18.42578125" bestFit="1" customWidth="1"/>
    <col min="449" max="449" width="23.42578125" bestFit="1" customWidth="1"/>
    <col min="450" max="450" width="17.140625" bestFit="1" customWidth="1"/>
    <col min="451" max="451" width="24.140625" bestFit="1" customWidth="1"/>
    <col min="452" max="452" width="14.85546875" bestFit="1" customWidth="1"/>
    <col min="453" max="453" width="19.85546875" bestFit="1" customWidth="1"/>
    <col min="454" max="454" width="20.5703125" bestFit="1" customWidth="1"/>
    <col min="455" max="455" width="27.5703125" bestFit="1" customWidth="1"/>
    <col min="456" max="456" width="18.42578125" bestFit="1" customWidth="1"/>
    <col min="457" max="457" width="23.42578125" bestFit="1" customWidth="1"/>
    <col min="458" max="458" width="17.140625" bestFit="1" customWidth="1"/>
    <col min="459" max="459" width="24.140625" bestFit="1" customWidth="1"/>
    <col min="460" max="460" width="14.85546875" bestFit="1" customWidth="1"/>
    <col min="461" max="461" width="19.85546875" bestFit="1" customWidth="1"/>
    <col min="462" max="462" width="20.5703125" bestFit="1" customWidth="1"/>
    <col min="463" max="463" width="27.5703125" bestFit="1" customWidth="1"/>
    <col min="464" max="464" width="18.42578125" bestFit="1" customWidth="1"/>
    <col min="465" max="465" width="23.42578125" bestFit="1" customWidth="1"/>
    <col min="466" max="466" width="17.140625" bestFit="1" customWidth="1"/>
    <col min="467" max="467" width="24.140625" bestFit="1" customWidth="1"/>
    <col min="468" max="468" width="14.85546875" bestFit="1" customWidth="1"/>
    <col min="469" max="469" width="19.85546875" bestFit="1" customWidth="1"/>
    <col min="470" max="470" width="17.140625" bestFit="1" customWidth="1"/>
    <col min="471" max="471" width="24.140625" bestFit="1" customWidth="1"/>
    <col min="472" max="472" width="14.85546875" bestFit="1" customWidth="1"/>
    <col min="473" max="473" width="19.85546875" bestFit="1" customWidth="1"/>
    <col min="474" max="474" width="20.5703125" bestFit="1" customWidth="1"/>
    <col min="475" max="475" width="27.5703125" bestFit="1" customWidth="1"/>
    <col min="476" max="476" width="18.42578125" bestFit="1" customWidth="1"/>
    <col min="477" max="477" width="23.42578125" bestFit="1" customWidth="1"/>
    <col min="478" max="478" width="17.140625" bestFit="1" customWidth="1"/>
    <col min="479" max="479" width="24.140625" bestFit="1" customWidth="1"/>
    <col min="480" max="480" width="14.85546875" bestFit="1" customWidth="1"/>
    <col min="481" max="481" width="19.85546875" bestFit="1" customWidth="1"/>
    <col min="482" max="482" width="20.5703125" bestFit="1" customWidth="1"/>
    <col min="483" max="483" width="27.5703125" bestFit="1" customWidth="1"/>
    <col min="484" max="484" width="18.42578125" bestFit="1" customWidth="1"/>
    <col min="485" max="485" width="23.42578125" bestFit="1" customWidth="1"/>
    <col min="486" max="486" width="17.140625" bestFit="1" customWidth="1"/>
    <col min="487" max="487" width="24.140625" bestFit="1" customWidth="1"/>
    <col min="488" max="488" width="14.85546875" bestFit="1" customWidth="1"/>
    <col min="489" max="489" width="19.85546875" bestFit="1" customWidth="1"/>
    <col min="490" max="490" width="20.5703125" bestFit="1" customWidth="1"/>
    <col min="491" max="491" width="27.5703125" bestFit="1" customWidth="1"/>
    <col min="492" max="492" width="18.42578125" bestFit="1" customWidth="1"/>
    <col min="493" max="493" width="23.42578125" bestFit="1" customWidth="1"/>
    <col min="494" max="494" width="17.140625" bestFit="1" customWidth="1"/>
    <col min="495" max="495" width="24.140625" bestFit="1" customWidth="1"/>
    <col min="496" max="496" width="14.85546875" bestFit="1" customWidth="1"/>
    <col min="497" max="497" width="19.85546875" bestFit="1" customWidth="1"/>
    <col min="498" max="498" width="20.5703125" bestFit="1" customWidth="1"/>
    <col min="499" max="499" width="27.5703125" bestFit="1" customWidth="1"/>
    <col min="500" max="500" width="18.42578125" bestFit="1" customWidth="1"/>
    <col min="501" max="501" width="23.42578125" bestFit="1" customWidth="1"/>
    <col min="502" max="502" width="17.140625" bestFit="1" customWidth="1"/>
    <col min="503" max="503" width="24.140625" bestFit="1" customWidth="1"/>
    <col min="504" max="504" width="14.85546875" bestFit="1" customWidth="1"/>
    <col min="505" max="505" width="19.85546875" bestFit="1" customWidth="1"/>
    <col min="506" max="506" width="20.5703125" bestFit="1" customWidth="1"/>
    <col min="507" max="507" width="27.5703125" bestFit="1" customWidth="1"/>
    <col min="508" max="508" width="18.42578125" bestFit="1" customWidth="1"/>
    <col min="509" max="509" width="23.42578125" bestFit="1" customWidth="1"/>
    <col min="510" max="510" width="17.140625" bestFit="1" customWidth="1"/>
    <col min="511" max="511" width="24.140625" bestFit="1" customWidth="1"/>
    <col min="512" max="512" width="14.85546875" bestFit="1" customWidth="1"/>
    <col min="513" max="513" width="19.85546875" bestFit="1" customWidth="1"/>
    <col min="514" max="514" width="20.5703125" bestFit="1" customWidth="1"/>
    <col min="515" max="515" width="27.5703125" bestFit="1" customWidth="1"/>
    <col min="516" max="516" width="18.42578125" bestFit="1" customWidth="1"/>
    <col min="517" max="517" width="23.42578125" bestFit="1" customWidth="1"/>
    <col min="518" max="518" width="17.140625" bestFit="1" customWidth="1"/>
    <col min="519" max="519" width="24.140625" bestFit="1" customWidth="1"/>
    <col min="520" max="520" width="14.85546875" bestFit="1" customWidth="1"/>
    <col min="521" max="521" width="19.85546875" bestFit="1" customWidth="1"/>
    <col min="522" max="522" width="20.5703125" bestFit="1" customWidth="1"/>
    <col min="523" max="523" width="27.5703125" bestFit="1" customWidth="1"/>
    <col min="524" max="524" width="18.42578125" bestFit="1" customWidth="1"/>
    <col min="525" max="525" width="23.42578125" bestFit="1" customWidth="1"/>
    <col min="526" max="526" width="17.140625" bestFit="1" customWidth="1"/>
    <col min="527" max="527" width="24.140625" bestFit="1" customWidth="1"/>
    <col min="528" max="528" width="14.85546875" bestFit="1" customWidth="1"/>
    <col min="529" max="529" width="19.85546875" bestFit="1" customWidth="1"/>
    <col min="530" max="530" width="21.5703125" bestFit="1" customWidth="1"/>
    <col min="531" max="531" width="28.5703125" bestFit="1" customWidth="1"/>
    <col min="532" max="532" width="19.42578125" bestFit="1" customWidth="1"/>
    <col min="533" max="533" width="24.42578125" bestFit="1" customWidth="1"/>
    <col min="534" max="534" width="17.140625" bestFit="1" customWidth="1"/>
    <col min="535" max="535" width="24.140625" bestFit="1" customWidth="1"/>
    <col min="536" max="536" width="14.85546875" bestFit="1" customWidth="1"/>
    <col min="537" max="537" width="19.85546875" bestFit="1" customWidth="1"/>
    <col min="538" max="538" width="21.5703125" bestFit="1" customWidth="1"/>
    <col min="539" max="539" width="28.5703125" bestFit="1" customWidth="1"/>
    <col min="540" max="540" width="19.42578125" bestFit="1" customWidth="1"/>
    <col min="541" max="541" width="24.42578125" bestFit="1" customWidth="1"/>
    <col min="542" max="542" width="17.140625" bestFit="1" customWidth="1"/>
    <col min="543" max="543" width="24.140625" bestFit="1" customWidth="1"/>
    <col min="544" max="544" width="14.85546875" bestFit="1" customWidth="1"/>
    <col min="545" max="545" width="19.85546875" bestFit="1" customWidth="1"/>
    <col min="546" max="546" width="21.5703125" bestFit="1" customWidth="1"/>
    <col min="547" max="547" width="28.5703125" bestFit="1" customWidth="1"/>
    <col min="548" max="548" width="19.42578125" bestFit="1" customWidth="1"/>
    <col min="549" max="549" width="24.42578125" bestFit="1" customWidth="1"/>
    <col min="550" max="550" width="17.140625" bestFit="1" customWidth="1"/>
    <col min="551" max="551" width="24.140625" bestFit="1" customWidth="1"/>
    <col min="552" max="552" width="14.85546875" bestFit="1" customWidth="1"/>
    <col min="553" max="553" width="19.85546875" bestFit="1" customWidth="1"/>
    <col min="554" max="554" width="17.140625" bestFit="1" customWidth="1"/>
    <col min="555" max="555" width="24.140625" bestFit="1" customWidth="1"/>
    <col min="556" max="556" width="14.85546875" bestFit="1" customWidth="1"/>
    <col min="557" max="557" width="19.85546875" bestFit="1" customWidth="1"/>
    <col min="558" max="558" width="17.140625" bestFit="1" customWidth="1"/>
    <col min="559" max="559" width="24.140625" bestFit="1" customWidth="1"/>
    <col min="560" max="560" width="14.85546875" bestFit="1" customWidth="1"/>
    <col min="561" max="561" width="19.85546875" bestFit="1" customWidth="1"/>
    <col min="562" max="562" width="17.140625" bestFit="1" customWidth="1"/>
    <col min="563" max="563" width="24.140625" bestFit="1" customWidth="1"/>
    <col min="564" max="564" width="14.85546875" bestFit="1" customWidth="1"/>
    <col min="565" max="565" width="19.85546875" bestFit="1" customWidth="1"/>
    <col min="566" max="566" width="17.140625" bestFit="1" customWidth="1"/>
    <col min="567" max="567" width="24.140625" bestFit="1" customWidth="1"/>
    <col min="568" max="568" width="14.85546875" bestFit="1" customWidth="1"/>
    <col min="569" max="569" width="19.85546875" bestFit="1" customWidth="1"/>
    <col min="570" max="570" width="17.140625" bestFit="1" customWidth="1"/>
    <col min="571" max="571" width="24.140625" bestFit="1" customWidth="1"/>
    <col min="572" max="572" width="14.85546875" bestFit="1" customWidth="1"/>
    <col min="573" max="573" width="19.85546875" bestFit="1" customWidth="1"/>
    <col min="574" max="574" width="17.140625" bestFit="1" customWidth="1"/>
    <col min="575" max="575" width="24.140625" bestFit="1" customWidth="1"/>
    <col min="576" max="576" width="14.85546875" bestFit="1" customWidth="1"/>
    <col min="577" max="577" width="19.85546875" bestFit="1" customWidth="1"/>
    <col min="578" max="578" width="17.140625" bestFit="1" customWidth="1"/>
    <col min="579" max="579" width="24.140625" bestFit="1" customWidth="1"/>
    <col min="580" max="580" width="14.85546875" bestFit="1" customWidth="1"/>
    <col min="581" max="581" width="19.85546875" bestFit="1" customWidth="1"/>
    <col min="582" max="582" width="17.140625" bestFit="1" customWidth="1"/>
    <col min="583" max="583" width="24.140625" bestFit="1" customWidth="1"/>
    <col min="584" max="584" width="14.85546875" bestFit="1" customWidth="1"/>
    <col min="585" max="585" width="19.85546875" bestFit="1" customWidth="1"/>
    <col min="586" max="586" width="17.140625" bestFit="1" customWidth="1"/>
    <col min="587" max="587" width="24.140625" bestFit="1" customWidth="1"/>
    <col min="588" max="588" width="14.85546875" bestFit="1" customWidth="1"/>
    <col min="589" max="589" width="19.85546875" bestFit="1" customWidth="1"/>
    <col min="590" max="590" width="23.5703125" bestFit="1" customWidth="1"/>
    <col min="591" max="591" width="30.5703125" bestFit="1" customWidth="1"/>
    <col min="592" max="592" width="21.42578125" bestFit="1" customWidth="1"/>
    <col min="593" max="593" width="26.42578125" bestFit="1" customWidth="1"/>
    <col min="594" max="594" width="21.85546875" bestFit="1" customWidth="1"/>
    <col min="595" max="595" width="28.85546875" bestFit="1" customWidth="1"/>
    <col min="596" max="596" width="19.7109375" bestFit="1" customWidth="1"/>
    <col min="597" max="597" width="24.5703125" bestFit="1" customWidth="1"/>
    <col min="598" max="598" width="23.42578125" bestFit="1" customWidth="1"/>
    <col min="599" max="599" width="17.140625" bestFit="1" customWidth="1"/>
    <col min="600" max="600" width="14.85546875" bestFit="1" customWidth="1"/>
    <col min="601" max="601" width="19.85546875" bestFit="1" customWidth="1"/>
    <col min="602" max="602" width="20.5703125" bestFit="1" customWidth="1"/>
    <col min="603" max="603" width="18.42578125" bestFit="1" customWidth="1"/>
    <col min="604" max="604" width="23.42578125" bestFit="1" customWidth="1"/>
    <col min="605" max="605" width="20.5703125" bestFit="1" customWidth="1"/>
    <col min="606" max="606" width="18.42578125" bestFit="1" customWidth="1"/>
    <col min="607" max="607" width="23.42578125" bestFit="1" customWidth="1"/>
    <col min="608" max="608" width="17.140625" bestFit="1" customWidth="1"/>
    <col min="609" max="609" width="14.85546875" bestFit="1" customWidth="1"/>
    <col min="610" max="610" width="19.85546875" bestFit="1" customWidth="1"/>
    <col min="611" max="611" width="20.5703125" bestFit="1" customWidth="1"/>
    <col min="612" max="612" width="18.42578125" bestFit="1" customWidth="1"/>
    <col min="613" max="613" width="23.42578125" bestFit="1" customWidth="1"/>
    <col min="614" max="614" width="21.5703125" bestFit="1" customWidth="1"/>
    <col min="615" max="615" width="19.42578125" bestFit="1" customWidth="1"/>
    <col min="616" max="616" width="24.42578125" bestFit="1" customWidth="1"/>
    <col min="617" max="617" width="17.140625" bestFit="1" customWidth="1"/>
    <col min="618" max="618" width="14.85546875" bestFit="1" customWidth="1"/>
    <col min="619" max="619" width="19.85546875" bestFit="1" customWidth="1"/>
    <col min="620" max="620" width="20.5703125" bestFit="1" customWidth="1"/>
    <col min="621" max="621" width="18.42578125" bestFit="1" customWidth="1"/>
    <col min="622" max="622" width="23.42578125" bestFit="1" customWidth="1"/>
    <col min="623" max="623" width="21.5703125" bestFit="1" customWidth="1"/>
    <col min="624" max="624" width="19.42578125" bestFit="1" customWidth="1"/>
    <col min="625" max="625" width="24.42578125" bestFit="1" customWidth="1"/>
    <col min="626" max="626" width="17.140625" bestFit="1" customWidth="1"/>
    <col min="627" max="627" width="14.85546875" bestFit="1" customWidth="1"/>
    <col min="628" max="628" width="19.85546875" bestFit="1" customWidth="1"/>
    <col min="629" max="629" width="20.5703125" bestFit="1" customWidth="1"/>
    <col min="630" max="630" width="18.42578125" bestFit="1" customWidth="1"/>
    <col min="631" max="631" width="23.42578125" bestFit="1" customWidth="1"/>
    <col min="632" max="632" width="21.5703125" bestFit="1" customWidth="1"/>
    <col min="633" max="633" width="19.42578125" bestFit="1" customWidth="1"/>
    <col min="634" max="634" width="24.42578125" bestFit="1" customWidth="1"/>
    <col min="635" max="635" width="17.140625" bestFit="1" customWidth="1"/>
    <col min="636" max="636" width="14.85546875" bestFit="1" customWidth="1"/>
    <col min="637" max="637" width="19.85546875" bestFit="1" customWidth="1"/>
    <col min="638" max="638" width="18.5703125" bestFit="1" customWidth="1"/>
    <col min="639" max="639" width="16.42578125" bestFit="1" customWidth="1"/>
    <col min="640" max="640" width="21.42578125" bestFit="1" customWidth="1"/>
    <col min="641" max="641" width="17.140625" bestFit="1" customWidth="1"/>
    <col min="642" max="642" width="14.85546875" bestFit="1" customWidth="1"/>
    <col min="643" max="643" width="19.85546875" bestFit="1" customWidth="1"/>
    <col min="644" max="644" width="18.5703125" bestFit="1" customWidth="1"/>
    <col min="645" max="645" width="16.42578125" bestFit="1" customWidth="1"/>
    <col min="646" max="646" width="21.42578125" bestFit="1" customWidth="1"/>
    <col min="647" max="647" width="17.140625" bestFit="1" customWidth="1"/>
    <col min="648" max="648" width="14.85546875" bestFit="1" customWidth="1"/>
    <col min="649" max="649" width="19.85546875" bestFit="1" customWidth="1"/>
    <col min="650" max="650" width="18.5703125" bestFit="1" customWidth="1"/>
    <col min="651" max="651" width="16.42578125" bestFit="1" customWidth="1"/>
    <col min="652" max="652" width="21.42578125" bestFit="1" customWidth="1"/>
    <col min="653" max="653" width="17.140625" bestFit="1" customWidth="1"/>
    <col min="654" max="654" width="14.85546875" bestFit="1" customWidth="1"/>
    <col min="655" max="655" width="19.85546875" bestFit="1" customWidth="1"/>
    <col min="656" max="656" width="18.5703125" bestFit="1" customWidth="1"/>
    <col min="657" max="657" width="16.42578125" bestFit="1" customWidth="1"/>
    <col min="658" max="658" width="21.42578125" bestFit="1" customWidth="1"/>
    <col min="659" max="659" width="17.140625" bestFit="1" customWidth="1"/>
    <col min="660" max="660" width="14.85546875" bestFit="1" customWidth="1"/>
    <col min="661" max="661" width="19.85546875" bestFit="1" customWidth="1"/>
    <col min="662" max="662" width="18.5703125" bestFit="1" customWidth="1"/>
    <col min="663" max="663" width="16.42578125" bestFit="1" customWidth="1"/>
    <col min="664" max="664" width="21.42578125" bestFit="1" customWidth="1"/>
    <col min="665" max="665" width="17.140625" bestFit="1" customWidth="1"/>
    <col min="666" max="666" width="14.85546875" bestFit="1" customWidth="1"/>
    <col min="667" max="667" width="19.85546875" bestFit="1" customWidth="1"/>
    <col min="668" max="668" width="18.5703125" bestFit="1" customWidth="1"/>
    <col min="669" max="669" width="16.42578125" bestFit="1" customWidth="1"/>
    <col min="670" max="670" width="21.42578125" bestFit="1" customWidth="1"/>
    <col min="671" max="671" width="17.140625" bestFit="1" customWidth="1"/>
    <col min="672" max="672" width="14.85546875" bestFit="1" customWidth="1"/>
    <col min="673" max="673" width="19.85546875" bestFit="1" customWidth="1"/>
    <col min="674" max="674" width="18.5703125" bestFit="1" customWidth="1"/>
    <col min="675" max="675" width="16.42578125" bestFit="1" customWidth="1"/>
    <col min="676" max="676" width="21.42578125" bestFit="1" customWidth="1"/>
    <col min="677" max="677" width="17.140625" bestFit="1" customWidth="1"/>
    <col min="678" max="678" width="14.85546875" bestFit="1" customWidth="1"/>
    <col min="679" max="679" width="19.85546875" bestFit="1" customWidth="1"/>
    <col min="680" max="680" width="19.5703125" bestFit="1" customWidth="1"/>
    <col min="681" max="681" width="17.42578125" bestFit="1" customWidth="1"/>
    <col min="682" max="682" width="22.42578125" bestFit="1" customWidth="1"/>
    <col min="683" max="683" width="17.140625" bestFit="1" customWidth="1"/>
    <col min="684" max="684" width="14.85546875" bestFit="1" customWidth="1"/>
    <col min="685" max="685" width="19.85546875" bestFit="1" customWidth="1"/>
    <col min="686" max="686" width="19.5703125" bestFit="1" customWidth="1"/>
    <col min="687" max="687" width="17.42578125" bestFit="1" customWidth="1"/>
    <col min="688" max="688" width="22.42578125" bestFit="1" customWidth="1"/>
    <col min="689" max="689" width="17.140625" bestFit="1" customWidth="1"/>
    <col min="690" max="690" width="14.85546875" bestFit="1" customWidth="1"/>
    <col min="691" max="691" width="19.85546875" bestFit="1" customWidth="1"/>
    <col min="692" max="692" width="23.5703125" bestFit="1" customWidth="1"/>
    <col min="693" max="693" width="21.42578125" bestFit="1" customWidth="1"/>
    <col min="694" max="694" width="26.42578125" bestFit="1" customWidth="1"/>
    <col min="695" max="695" width="23.5703125" bestFit="1" customWidth="1"/>
    <col min="696" max="696" width="21.42578125" bestFit="1" customWidth="1"/>
    <col min="697" max="697" width="26.42578125" bestFit="1" customWidth="1"/>
    <col min="698" max="698" width="21.85546875" bestFit="1" customWidth="1"/>
    <col min="699" max="699" width="19.7109375" bestFit="1" customWidth="1"/>
    <col min="700" max="700" width="24.5703125" bestFit="1" customWidth="1"/>
  </cols>
  <sheetData>
    <row r="1" spans="1:7" x14ac:dyDescent="0.25">
      <c r="A1" s="394" t="s">
        <v>1</v>
      </c>
      <c r="B1" t="s">
        <v>1108</v>
      </c>
    </row>
    <row r="3" spans="1:7" x14ac:dyDescent="0.25">
      <c r="A3" s="394" t="s">
        <v>231</v>
      </c>
      <c r="B3" t="s">
        <v>977</v>
      </c>
      <c r="C3" t="s">
        <v>978</v>
      </c>
      <c r="D3" t="s">
        <v>979</v>
      </c>
      <c r="E3" t="s">
        <v>246</v>
      </c>
      <c r="F3" t="s">
        <v>980</v>
      </c>
      <c r="G3" t="s">
        <v>316</v>
      </c>
    </row>
    <row r="4" spans="1:7" x14ac:dyDescent="0.25">
      <c r="A4" s="395" t="s">
        <v>101</v>
      </c>
      <c r="B4">
        <v>43</v>
      </c>
      <c r="C4">
        <v>135</v>
      </c>
      <c r="E4">
        <v>5</v>
      </c>
      <c r="F4">
        <v>13</v>
      </c>
      <c r="G4">
        <v>5</v>
      </c>
    </row>
    <row r="5" spans="1:7" x14ac:dyDescent="0.25">
      <c r="A5" s="395" t="s">
        <v>102</v>
      </c>
      <c r="B5">
        <v>239</v>
      </c>
      <c r="C5">
        <v>264</v>
      </c>
      <c r="E5">
        <v>23</v>
      </c>
      <c r="F5">
        <v>45</v>
      </c>
      <c r="G5">
        <v>15</v>
      </c>
    </row>
    <row r="6" spans="1:7" x14ac:dyDescent="0.25">
      <c r="A6" s="395" t="s">
        <v>103</v>
      </c>
      <c r="B6">
        <v>493</v>
      </c>
      <c r="C6">
        <v>391</v>
      </c>
      <c r="D6">
        <v>3</v>
      </c>
      <c r="E6">
        <v>25</v>
      </c>
      <c r="F6">
        <v>73</v>
      </c>
      <c r="G6">
        <v>16</v>
      </c>
    </row>
    <row r="7" spans="1:7" x14ac:dyDescent="0.25">
      <c r="A7" s="395" t="s">
        <v>104</v>
      </c>
      <c r="B7">
        <v>520</v>
      </c>
      <c r="C7">
        <v>425</v>
      </c>
      <c r="D7">
        <v>5</v>
      </c>
      <c r="E7">
        <v>32</v>
      </c>
      <c r="F7">
        <v>92</v>
      </c>
      <c r="G7">
        <v>27</v>
      </c>
    </row>
    <row r="8" spans="1:7" x14ac:dyDescent="0.25">
      <c r="A8" s="395" t="s">
        <v>105</v>
      </c>
      <c r="B8">
        <v>649</v>
      </c>
      <c r="C8">
        <v>373</v>
      </c>
      <c r="D8">
        <v>10</v>
      </c>
      <c r="E8">
        <v>22</v>
      </c>
      <c r="F8">
        <v>88</v>
      </c>
      <c r="G8">
        <v>29</v>
      </c>
    </row>
    <row r="9" spans="1:7" x14ac:dyDescent="0.25">
      <c r="A9" s="395" t="s">
        <v>106</v>
      </c>
      <c r="B9">
        <v>691</v>
      </c>
      <c r="C9">
        <v>314</v>
      </c>
      <c r="D9">
        <v>3</v>
      </c>
      <c r="E9">
        <v>14</v>
      </c>
      <c r="F9">
        <v>104</v>
      </c>
      <c r="G9">
        <v>27</v>
      </c>
    </row>
    <row r="10" spans="1:7" x14ac:dyDescent="0.25">
      <c r="A10" s="395" t="s">
        <v>107</v>
      </c>
      <c r="B10">
        <v>579</v>
      </c>
      <c r="C10">
        <v>319</v>
      </c>
      <c r="D10">
        <v>8</v>
      </c>
      <c r="E10">
        <v>25</v>
      </c>
      <c r="F10">
        <v>145</v>
      </c>
      <c r="G10">
        <v>56</v>
      </c>
    </row>
    <row r="11" spans="1:7" x14ac:dyDescent="0.25">
      <c r="A11" s="395" t="s">
        <v>108</v>
      </c>
      <c r="B11">
        <v>182</v>
      </c>
      <c r="C11">
        <v>316</v>
      </c>
      <c r="D11">
        <v>18</v>
      </c>
      <c r="E11">
        <v>18</v>
      </c>
      <c r="F11">
        <v>164</v>
      </c>
      <c r="G11">
        <v>56</v>
      </c>
    </row>
    <row r="12" spans="1:7" x14ac:dyDescent="0.25">
      <c r="A12" s="395" t="s">
        <v>109</v>
      </c>
      <c r="B12">
        <v>24</v>
      </c>
      <c r="C12">
        <v>127</v>
      </c>
      <c r="D12">
        <v>8</v>
      </c>
      <c r="E12">
        <v>7</v>
      </c>
      <c r="F12">
        <v>108</v>
      </c>
      <c r="G12">
        <v>23</v>
      </c>
    </row>
    <row r="13" spans="1:7" x14ac:dyDescent="0.25">
      <c r="A13" s="395" t="s">
        <v>110</v>
      </c>
      <c r="B13">
        <v>2</v>
      </c>
      <c r="C13">
        <v>29</v>
      </c>
      <c r="F13">
        <v>45</v>
      </c>
      <c r="G13">
        <v>11</v>
      </c>
    </row>
    <row r="14" spans="1:7" x14ac:dyDescent="0.25">
      <c r="A14" s="395" t="s">
        <v>111</v>
      </c>
      <c r="C14">
        <v>6</v>
      </c>
      <c r="F14">
        <v>6</v>
      </c>
      <c r="G14">
        <v>4</v>
      </c>
    </row>
    <row r="15" spans="1:7" x14ac:dyDescent="0.25">
      <c r="A15" s="395" t="s">
        <v>1034</v>
      </c>
      <c r="F15">
        <v>1</v>
      </c>
    </row>
    <row r="16" spans="1:7" x14ac:dyDescent="0.25">
      <c r="A16" s="395" t="s">
        <v>305</v>
      </c>
      <c r="C16">
        <v>9</v>
      </c>
      <c r="F16">
        <v>3</v>
      </c>
    </row>
    <row r="17" spans="1:7" x14ac:dyDescent="0.25">
      <c r="A17" s="395" t="s">
        <v>236</v>
      </c>
      <c r="B17">
        <v>3422</v>
      </c>
      <c r="C17">
        <v>2708</v>
      </c>
      <c r="D17">
        <v>55</v>
      </c>
      <c r="E17">
        <v>171</v>
      </c>
      <c r="F17">
        <v>887</v>
      </c>
      <c r="G17">
        <v>269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H133"/>
  <sheetViews>
    <sheetView topLeftCell="A16" workbookViewId="0">
      <selection activeCell="C25" sqref="C25"/>
    </sheetView>
  </sheetViews>
  <sheetFormatPr defaultRowHeight="15" x14ac:dyDescent="0.25"/>
  <cols>
    <col min="1" max="1" width="7.42578125" bestFit="1" customWidth="1"/>
    <col min="2" max="2" width="12.140625" bestFit="1" customWidth="1"/>
    <col min="3" max="3" width="23" bestFit="1" customWidth="1"/>
    <col min="4" max="4" width="21.5703125" bestFit="1" customWidth="1"/>
    <col min="5" max="5" width="18.42578125" bestFit="1" customWidth="1"/>
    <col min="6" max="6" width="9.42578125" bestFit="1" customWidth="1"/>
    <col min="7" max="7" width="14.140625" bestFit="1" customWidth="1"/>
    <col min="8" max="8" width="11.42578125" bestFit="1" customWidth="1"/>
    <col min="9" max="9" width="12.5703125" bestFit="1" customWidth="1"/>
  </cols>
  <sheetData>
    <row r="1" spans="1:8" x14ac:dyDescent="0.25">
      <c r="A1" t="s">
        <v>1</v>
      </c>
      <c r="B1" t="s">
        <v>198</v>
      </c>
      <c r="C1" t="s">
        <v>27</v>
      </c>
      <c r="D1" t="s">
        <v>28</v>
      </c>
      <c r="E1" t="s">
        <v>831</v>
      </c>
      <c r="F1" t="s">
        <v>2</v>
      </c>
      <c r="G1" t="s">
        <v>86</v>
      </c>
      <c r="H1" t="s">
        <v>29</v>
      </c>
    </row>
    <row r="2" spans="1:8" x14ac:dyDescent="0.25">
      <c r="A2" t="s">
        <v>190</v>
      </c>
      <c r="B2" t="s">
        <v>102</v>
      </c>
      <c r="C2">
        <v>145</v>
      </c>
      <c r="D2">
        <v>283</v>
      </c>
      <c r="F2">
        <v>14</v>
      </c>
      <c r="G2">
        <v>45</v>
      </c>
      <c r="H2">
        <v>20</v>
      </c>
    </row>
    <row r="3" spans="1:8" x14ac:dyDescent="0.25">
      <c r="A3" t="s">
        <v>190</v>
      </c>
      <c r="B3" t="s">
        <v>105</v>
      </c>
      <c r="C3">
        <v>752</v>
      </c>
      <c r="D3">
        <v>456</v>
      </c>
      <c r="F3">
        <v>29</v>
      </c>
      <c r="G3">
        <v>102</v>
      </c>
      <c r="H3">
        <v>48</v>
      </c>
    </row>
    <row r="4" spans="1:8" x14ac:dyDescent="0.25">
      <c r="A4" t="s">
        <v>257</v>
      </c>
      <c r="B4" t="s">
        <v>109</v>
      </c>
      <c r="C4">
        <v>3</v>
      </c>
      <c r="D4">
        <v>73</v>
      </c>
      <c r="F4">
        <v>4</v>
      </c>
      <c r="G4">
        <v>91</v>
      </c>
      <c r="H4">
        <v>17</v>
      </c>
    </row>
    <row r="5" spans="1:8" x14ac:dyDescent="0.25">
      <c r="A5" t="s">
        <v>240</v>
      </c>
      <c r="B5" t="s">
        <v>109</v>
      </c>
      <c r="C5">
        <v>7</v>
      </c>
      <c r="D5">
        <v>84</v>
      </c>
      <c r="F5">
        <v>3</v>
      </c>
      <c r="G5">
        <v>93</v>
      </c>
      <c r="H5">
        <v>20</v>
      </c>
    </row>
    <row r="6" spans="1:8" x14ac:dyDescent="0.25">
      <c r="A6" t="s">
        <v>240</v>
      </c>
      <c r="B6" t="s">
        <v>305</v>
      </c>
      <c r="D6">
        <v>3</v>
      </c>
      <c r="H6">
        <v>2</v>
      </c>
    </row>
    <row r="7" spans="1:8" x14ac:dyDescent="0.25">
      <c r="A7" t="s">
        <v>760</v>
      </c>
      <c r="B7" t="s">
        <v>105</v>
      </c>
      <c r="C7">
        <v>701</v>
      </c>
      <c r="D7">
        <v>357</v>
      </c>
      <c r="E7">
        <v>4</v>
      </c>
      <c r="F7">
        <v>19</v>
      </c>
      <c r="G7">
        <v>87</v>
      </c>
      <c r="H7">
        <v>28</v>
      </c>
    </row>
    <row r="8" spans="1:8" x14ac:dyDescent="0.25">
      <c r="A8" t="s">
        <v>917</v>
      </c>
      <c r="B8" t="s">
        <v>107</v>
      </c>
      <c r="C8">
        <v>748</v>
      </c>
      <c r="D8">
        <v>457</v>
      </c>
      <c r="E8">
        <v>19</v>
      </c>
      <c r="F8">
        <v>27</v>
      </c>
      <c r="G8">
        <v>151</v>
      </c>
      <c r="H8">
        <v>65</v>
      </c>
    </row>
    <row r="9" spans="1:8" x14ac:dyDescent="0.25">
      <c r="A9" t="s">
        <v>917</v>
      </c>
      <c r="B9" t="s">
        <v>108</v>
      </c>
      <c r="C9">
        <v>185</v>
      </c>
      <c r="D9">
        <v>330</v>
      </c>
      <c r="E9">
        <v>11</v>
      </c>
      <c r="F9">
        <v>28</v>
      </c>
      <c r="G9">
        <v>137</v>
      </c>
      <c r="H9">
        <v>45</v>
      </c>
    </row>
    <row r="10" spans="1:8" x14ac:dyDescent="0.25">
      <c r="A10" t="s">
        <v>1010</v>
      </c>
      <c r="B10" t="s">
        <v>102</v>
      </c>
      <c r="C10">
        <v>248</v>
      </c>
      <c r="D10">
        <v>277</v>
      </c>
      <c r="E10">
        <v>2</v>
      </c>
      <c r="F10">
        <v>17</v>
      </c>
      <c r="G10">
        <v>52</v>
      </c>
      <c r="H10">
        <v>17</v>
      </c>
    </row>
    <row r="11" spans="1:8" x14ac:dyDescent="0.25">
      <c r="A11" t="s">
        <v>1010</v>
      </c>
      <c r="B11" t="s">
        <v>1034</v>
      </c>
      <c r="G11">
        <v>1</v>
      </c>
    </row>
    <row r="12" spans="1:8" x14ac:dyDescent="0.25">
      <c r="A12" t="s">
        <v>1061</v>
      </c>
      <c r="B12" t="s">
        <v>106</v>
      </c>
      <c r="C12">
        <v>676</v>
      </c>
      <c r="D12">
        <v>315</v>
      </c>
      <c r="E12">
        <v>4</v>
      </c>
      <c r="F12">
        <v>17</v>
      </c>
      <c r="G12">
        <v>99</v>
      </c>
      <c r="H12">
        <v>22</v>
      </c>
    </row>
    <row r="13" spans="1:8" x14ac:dyDescent="0.25">
      <c r="A13" t="s">
        <v>1061</v>
      </c>
      <c r="B13" t="s">
        <v>1034</v>
      </c>
      <c r="G13">
        <v>2</v>
      </c>
    </row>
    <row r="14" spans="1:8" x14ac:dyDescent="0.25">
      <c r="A14" t="s">
        <v>192</v>
      </c>
      <c r="B14" t="s">
        <v>1155</v>
      </c>
      <c r="G14">
        <v>15</v>
      </c>
      <c r="H14">
        <v>2</v>
      </c>
    </row>
    <row r="15" spans="1:8" x14ac:dyDescent="0.25">
      <c r="A15" t="s">
        <v>191</v>
      </c>
      <c r="B15" t="s">
        <v>105</v>
      </c>
      <c r="C15">
        <v>822</v>
      </c>
      <c r="D15">
        <v>510</v>
      </c>
      <c r="F15">
        <v>35</v>
      </c>
      <c r="G15">
        <v>118</v>
      </c>
      <c r="H15">
        <v>65</v>
      </c>
    </row>
    <row r="16" spans="1:8" x14ac:dyDescent="0.25">
      <c r="A16" t="s">
        <v>190</v>
      </c>
      <c r="B16" t="s">
        <v>104</v>
      </c>
      <c r="C16">
        <v>667</v>
      </c>
      <c r="D16">
        <v>352</v>
      </c>
      <c r="F16">
        <v>23</v>
      </c>
      <c r="G16">
        <v>73</v>
      </c>
      <c r="H16">
        <v>30</v>
      </c>
    </row>
    <row r="17" spans="1:8" x14ac:dyDescent="0.25">
      <c r="A17" t="s">
        <v>190</v>
      </c>
      <c r="B17" t="s">
        <v>108</v>
      </c>
      <c r="C17">
        <v>51</v>
      </c>
      <c r="D17">
        <v>181</v>
      </c>
      <c r="F17">
        <v>34</v>
      </c>
      <c r="G17">
        <v>124</v>
      </c>
      <c r="H17">
        <v>36</v>
      </c>
    </row>
    <row r="18" spans="1:8" x14ac:dyDescent="0.25">
      <c r="A18" t="s">
        <v>257</v>
      </c>
      <c r="B18" t="s">
        <v>102</v>
      </c>
      <c r="C18">
        <v>144</v>
      </c>
      <c r="D18">
        <v>295</v>
      </c>
      <c r="F18">
        <v>16</v>
      </c>
      <c r="G18">
        <v>41</v>
      </c>
      <c r="H18">
        <v>20</v>
      </c>
    </row>
    <row r="19" spans="1:8" x14ac:dyDescent="0.25">
      <c r="A19" t="s">
        <v>240</v>
      </c>
      <c r="B19" t="s">
        <v>107</v>
      </c>
      <c r="C19">
        <v>775</v>
      </c>
      <c r="D19">
        <v>499</v>
      </c>
      <c r="F19">
        <v>33</v>
      </c>
      <c r="G19">
        <v>140</v>
      </c>
      <c r="H19">
        <v>80</v>
      </c>
    </row>
    <row r="20" spans="1:8" x14ac:dyDescent="0.25">
      <c r="A20" t="s">
        <v>760</v>
      </c>
      <c r="B20" t="s">
        <v>102</v>
      </c>
      <c r="C20">
        <v>246</v>
      </c>
      <c r="D20">
        <v>313</v>
      </c>
      <c r="E20">
        <v>3</v>
      </c>
      <c r="F20">
        <v>21</v>
      </c>
      <c r="G20">
        <v>51</v>
      </c>
      <c r="H20">
        <v>15</v>
      </c>
    </row>
    <row r="21" spans="1:8" x14ac:dyDescent="0.25">
      <c r="A21" t="s">
        <v>917</v>
      </c>
      <c r="B21" t="s">
        <v>106</v>
      </c>
      <c r="C21">
        <v>727</v>
      </c>
      <c r="D21">
        <v>383</v>
      </c>
      <c r="E21">
        <v>3</v>
      </c>
      <c r="F21">
        <v>20</v>
      </c>
      <c r="G21">
        <v>114</v>
      </c>
      <c r="H21">
        <v>44</v>
      </c>
    </row>
    <row r="22" spans="1:8" x14ac:dyDescent="0.25">
      <c r="A22" t="s">
        <v>1010</v>
      </c>
      <c r="B22" t="s">
        <v>109</v>
      </c>
      <c r="C22">
        <v>22</v>
      </c>
      <c r="D22">
        <v>115</v>
      </c>
      <c r="E22">
        <v>3</v>
      </c>
      <c r="F22">
        <v>4</v>
      </c>
      <c r="G22">
        <v>111</v>
      </c>
      <c r="H22">
        <v>23</v>
      </c>
    </row>
    <row r="23" spans="1:8" x14ac:dyDescent="0.25">
      <c r="A23" t="s">
        <v>1061</v>
      </c>
      <c r="B23" t="s">
        <v>101</v>
      </c>
      <c r="C23">
        <v>60</v>
      </c>
      <c r="D23">
        <v>125</v>
      </c>
      <c r="F23">
        <v>1</v>
      </c>
      <c r="G23">
        <v>23</v>
      </c>
      <c r="H23">
        <v>4</v>
      </c>
    </row>
    <row r="24" spans="1:8" x14ac:dyDescent="0.25">
      <c r="A24" t="s">
        <v>1061</v>
      </c>
      <c r="B24" t="s">
        <v>107</v>
      </c>
      <c r="C24">
        <v>598</v>
      </c>
      <c r="D24">
        <v>362</v>
      </c>
      <c r="E24">
        <v>12</v>
      </c>
      <c r="F24">
        <v>24</v>
      </c>
      <c r="G24">
        <v>150</v>
      </c>
      <c r="H24">
        <v>60</v>
      </c>
    </row>
    <row r="25" spans="1:8" x14ac:dyDescent="0.25">
      <c r="A25" t="s">
        <v>1061</v>
      </c>
      <c r="B25" t="s">
        <v>110</v>
      </c>
      <c r="C25">
        <v>1</v>
      </c>
      <c r="D25">
        <v>23</v>
      </c>
      <c r="G25">
        <v>40</v>
      </c>
      <c r="H25">
        <v>8</v>
      </c>
    </row>
    <row r="26" spans="1:8" x14ac:dyDescent="0.25">
      <c r="A26" t="s">
        <v>1108</v>
      </c>
      <c r="B26" t="s">
        <v>305</v>
      </c>
      <c r="D26">
        <v>9</v>
      </c>
      <c r="G26">
        <v>3</v>
      </c>
    </row>
    <row r="27" spans="1:8" x14ac:dyDescent="0.25">
      <c r="A27" t="s">
        <v>191</v>
      </c>
      <c r="B27" t="s">
        <v>104</v>
      </c>
      <c r="C27">
        <v>668</v>
      </c>
      <c r="D27">
        <v>350</v>
      </c>
      <c r="F27">
        <v>27</v>
      </c>
      <c r="G27">
        <v>94</v>
      </c>
      <c r="H27">
        <v>30</v>
      </c>
    </row>
    <row r="28" spans="1:8" x14ac:dyDescent="0.25">
      <c r="A28" t="s">
        <v>191</v>
      </c>
      <c r="B28" t="s">
        <v>108</v>
      </c>
      <c r="C28">
        <v>50</v>
      </c>
      <c r="D28">
        <v>202</v>
      </c>
      <c r="F28">
        <v>31</v>
      </c>
      <c r="G28">
        <v>132</v>
      </c>
      <c r="H28">
        <v>33</v>
      </c>
    </row>
    <row r="29" spans="1:8" x14ac:dyDescent="0.25">
      <c r="A29" t="s">
        <v>191</v>
      </c>
      <c r="B29" t="s">
        <v>305</v>
      </c>
      <c r="D29">
        <v>7</v>
      </c>
      <c r="H29">
        <v>21</v>
      </c>
    </row>
    <row r="30" spans="1:8" x14ac:dyDescent="0.25">
      <c r="A30" t="s">
        <v>190</v>
      </c>
      <c r="B30" t="s">
        <v>103</v>
      </c>
      <c r="C30">
        <v>438</v>
      </c>
      <c r="D30">
        <v>335</v>
      </c>
      <c r="F30">
        <v>15</v>
      </c>
      <c r="G30">
        <v>64</v>
      </c>
      <c r="H30">
        <v>27</v>
      </c>
    </row>
    <row r="31" spans="1:8" x14ac:dyDescent="0.25">
      <c r="A31" t="s">
        <v>190</v>
      </c>
      <c r="B31" t="s">
        <v>106</v>
      </c>
      <c r="C31">
        <v>978</v>
      </c>
      <c r="D31">
        <v>576</v>
      </c>
      <c r="F31">
        <v>39</v>
      </c>
      <c r="G31">
        <v>144</v>
      </c>
      <c r="H31">
        <v>76</v>
      </c>
    </row>
    <row r="32" spans="1:8" x14ac:dyDescent="0.25">
      <c r="A32" t="s">
        <v>190</v>
      </c>
      <c r="B32" t="s">
        <v>111</v>
      </c>
      <c r="G32">
        <v>6</v>
      </c>
    </row>
    <row r="33" spans="1:8" x14ac:dyDescent="0.25">
      <c r="A33" t="s">
        <v>257</v>
      </c>
      <c r="B33" t="s">
        <v>101</v>
      </c>
      <c r="C33">
        <v>51</v>
      </c>
      <c r="D33">
        <v>174</v>
      </c>
      <c r="F33">
        <v>1</v>
      </c>
      <c r="G33">
        <v>17</v>
      </c>
      <c r="H33">
        <v>10</v>
      </c>
    </row>
    <row r="34" spans="1:8" x14ac:dyDescent="0.25">
      <c r="A34" t="s">
        <v>257</v>
      </c>
      <c r="B34" t="s">
        <v>105</v>
      </c>
      <c r="C34">
        <v>689</v>
      </c>
      <c r="D34">
        <v>392</v>
      </c>
      <c r="F34">
        <v>20</v>
      </c>
      <c r="G34">
        <v>111</v>
      </c>
      <c r="H34">
        <v>35</v>
      </c>
    </row>
    <row r="35" spans="1:8" x14ac:dyDescent="0.25">
      <c r="A35" t="s">
        <v>240</v>
      </c>
      <c r="B35" t="s">
        <v>101</v>
      </c>
      <c r="C35">
        <v>24</v>
      </c>
      <c r="D35">
        <v>135</v>
      </c>
      <c r="F35">
        <v>5</v>
      </c>
      <c r="G35">
        <v>14</v>
      </c>
      <c r="H35">
        <v>10</v>
      </c>
    </row>
    <row r="36" spans="1:8" x14ac:dyDescent="0.25">
      <c r="A36" t="s">
        <v>240</v>
      </c>
      <c r="B36" t="s">
        <v>105</v>
      </c>
      <c r="C36">
        <v>661</v>
      </c>
      <c r="D36">
        <v>359</v>
      </c>
      <c r="F36">
        <v>21</v>
      </c>
      <c r="G36">
        <v>103</v>
      </c>
      <c r="H36">
        <v>36</v>
      </c>
    </row>
    <row r="37" spans="1:8" x14ac:dyDescent="0.25">
      <c r="A37" t="s">
        <v>240</v>
      </c>
      <c r="B37" t="s">
        <v>110</v>
      </c>
      <c r="C37">
        <v>1</v>
      </c>
      <c r="D37">
        <v>12</v>
      </c>
      <c r="G37">
        <v>32</v>
      </c>
      <c r="H37">
        <v>5</v>
      </c>
    </row>
    <row r="38" spans="1:8" x14ac:dyDescent="0.25">
      <c r="A38" t="s">
        <v>240</v>
      </c>
      <c r="B38" t="s">
        <v>111</v>
      </c>
      <c r="D38">
        <v>1</v>
      </c>
      <c r="G38">
        <v>8</v>
      </c>
    </row>
    <row r="39" spans="1:8" x14ac:dyDescent="0.25">
      <c r="A39" t="s">
        <v>760</v>
      </c>
      <c r="B39" t="s">
        <v>110</v>
      </c>
      <c r="C39">
        <v>1</v>
      </c>
      <c r="D39">
        <v>26</v>
      </c>
      <c r="F39">
        <v>1</v>
      </c>
      <c r="G39">
        <v>36</v>
      </c>
      <c r="H39">
        <v>8</v>
      </c>
    </row>
    <row r="40" spans="1:8" x14ac:dyDescent="0.25">
      <c r="A40" t="s">
        <v>917</v>
      </c>
      <c r="B40" t="s">
        <v>101</v>
      </c>
      <c r="C40">
        <v>37</v>
      </c>
      <c r="D40">
        <v>134</v>
      </c>
      <c r="F40">
        <v>6</v>
      </c>
      <c r="G40">
        <v>20</v>
      </c>
      <c r="H40">
        <v>13</v>
      </c>
    </row>
    <row r="41" spans="1:8" x14ac:dyDescent="0.25">
      <c r="A41" t="s">
        <v>917</v>
      </c>
      <c r="B41" t="s">
        <v>111</v>
      </c>
      <c r="D41">
        <v>1</v>
      </c>
      <c r="G41">
        <v>2</v>
      </c>
      <c r="H41">
        <v>1</v>
      </c>
    </row>
    <row r="42" spans="1:8" x14ac:dyDescent="0.25">
      <c r="A42" t="s">
        <v>1010</v>
      </c>
      <c r="B42" t="s">
        <v>104</v>
      </c>
      <c r="C42">
        <v>517</v>
      </c>
      <c r="D42">
        <v>408</v>
      </c>
      <c r="E42">
        <v>7</v>
      </c>
      <c r="F42">
        <v>32</v>
      </c>
      <c r="G42">
        <v>85</v>
      </c>
      <c r="H42">
        <v>32</v>
      </c>
    </row>
    <row r="43" spans="1:8" x14ac:dyDescent="0.25">
      <c r="A43" t="s">
        <v>1061</v>
      </c>
      <c r="B43" t="s">
        <v>111</v>
      </c>
      <c r="C43">
        <v>1</v>
      </c>
      <c r="D43">
        <v>5</v>
      </c>
      <c r="G43">
        <v>4</v>
      </c>
      <c r="H43">
        <v>4</v>
      </c>
    </row>
    <row r="44" spans="1:8" x14ac:dyDescent="0.25">
      <c r="A44" t="s">
        <v>1108</v>
      </c>
      <c r="B44" t="s">
        <v>102</v>
      </c>
      <c r="C44">
        <v>239</v>
      </c>
      <c r="D44">
        <v>264</v>
      </c>
      <c r="F44">
        <v>23</v>
      </c>
      <c r="G44">
        <v>45</v>
      </c>
      <c r="H44">
        <v>15</v>
      </c>
    </row>
    <row r="45" spans="1:8" x14ac:dyDescent="0.25">
      <c r="A45" t="s">
        <v>1108</v>
      </c>
      <c r="B45" t="s">
        <v>104</v>
      </c>
      <c r="C45">
        <v>520</v>
      </c>
      <c r="D45">
        <v>425</v>
      </c>
      <c r="E45">
        <v>5</v>
      </c>
      <c r="F45">
        <v>32</v>
      </c>
      <c r="G45">
        <v>92</v>
      </c>
      <c r="H45">
        <v>27</v>
      </c>
    </row>
    <row r="46" spans="1:8" x14ac:dyDescent="0.25">
      <c r="A46" t="s">
        <v>192</v>
      </c>
      <c r="B46" t="s">
        <v>972</v>
      </c>
      <c r="C46">
        <v>302</v>
      </c>
      <c r="D46">
        <v>438</v>
      </c>
      <c r="F46">
        <v>12</v>
      </c>
      <c r="G46">
        <v>69</v>
      </c>
      <c r="H46">
        <v>32</v>
      </c>
    </row>
    <row r="47" spans="1:8" x14ac:dyDescent="0.25">
      <c r="A47" t="s">
        <v>192</v>
      </c>
      <c r="B47" t="s">
        <v>106</v>
      </c>
      <c r="C47">
        <v>1024</v>
      </c>
      <c r="D47">
        <v>635</v>
      </c>
      <c r="F47">
        <v>42</v>
      </c>
      <c r="G47">
        <v>153</v>
      </c>
      <c r="H47">
        <v>89</v>
      </c>
    </row>
    <row r="48" spans="1:8" x14ac:dyDescent="0.25">
      <c r="A48" t="s">
        <v>192</v>
      </c>
      <c r="B48" t="s">
        <v>974</v>
      </c>
      <c r="C48">
        <v>47</v>
      </c>
      <c r="D48">
        <v>253</v>
      </c>
      <c r="F48">
        <v>37</v>
      </c>
      <c r="G48">
        <v>248</v>
      </c>
      <c r="H48">
        <v>38</v>
      </c>
    </row>
    <row r="49" spans="1:8" x14ac:dyDescent="0.25">
      <c r="A49" t="s">
        <v>191</v>
      </c>
      <c r="B49" t="s">
        <v>111</v>
      </c>
      <c r="G49">
        <v>6</v>
      </c>
    </row>
    <row r="50" spans="1:8" x14ac:dyDescent="0.25">
      <c r="A50" t="s">
        <v>190</v>
      </c>
      <c r="B50" t="s">
        <v>109</v>
      </c>
      <c r="C50">
        <v>2</v>
      </c>
      <c r="D50">
        <v>62</v>
      </c>
      <c r="F50">
        <v>2</v>
      </c>
      <c r="G50">
        <v>99</v>
      </c>
      <c r="H50">
        <v>14</v>
      </c>
    </row>
    <row r="51" spans="1:8" x14ac:dyDescent="0.25">
      <c r="A51" t="s">
        <v>190</v>
      </c>
      <c r="B51" t="s">
        <v>975</v>
      </c>
      <c r="H51">
        <v>12</v>
      </c>
    </row>
    <row r="52" spans="1:8" x14ac:dyDescent="0.25">
      <c r="A52" t="s">
        <v>257</v>
      </c>
      <c r="B52" t="s">
        <v>106</v>
      </c>
      <c r="C52">
        <v>968</v>
      </c>
      <c r="D52">
        <v>555</v>
      </c>
      <c r="F52">
        <v>29</v>
      </c>
      <c r="G52">
        <v>144</v>
      </c>
      <c r="H52">
        <v>70</v>
      </c>
    </row>
    <row r="53" spans="1:8" x14ac:dyDescent="0.25">
      <c r="A53" t="s">
        <v>257</v>
      </c>
      <c r="B53" t="s">
        <v>111</v>
      </c>
      <c r="G53">
        <v>5</v>
      </c>
      <c r="H53">
        <v>1</v>
      </c>
    </row>
    <row r="54" spans="1:8" x14ac:dyDescent="0.25">
      <c r="A54" t="s">
        <v>240</v>
      </c>
      <c r="B54" t="s">
        <v>103</v>
      </c>
      <c r="C54">
        <v>320</v>
      </c>
      <c r="D54">
        <v>366</v>
      </c>
      <c r="F54">
        <v>26</v>
      </c>
      <c r="G54">
        <v>71</v>
      </c>
      <c r="H54">
        <v>32</v>
      </c>
    </row>
    <row r="55" spans="1:8" x14ac:dyDescent="0.25">
      <c r="A55" t="s">
        <v>239</v>
      </c>
      <c r="B55" t="s">
        <v>110</v>
      </c>
      <c r="C55">
        <v>1</v>
      </c>
      <c r="D55">
        <v>20</v>
      </c>
      <c r="G55">
        <v>26</v>
      </c>
      <c r="H55">
        <v>6</v>
      </c>
    </row>
    <row r="56" spans="1:8" x14ac:dyDescent="0.25">
      <c r="A56" t="s">
        <v>239</v>
      </c>
      <c r="B56" t="s">
        <v>111</v>
      </c>
      <c r="G56">
        <v>2</v>
      </c>
    </row>
    <row r="57" spans="1:8" x14ac:dyDescent="0.25">
      <c r="A57" t="s">
        <v>239</v>
      </c>
      <c r="B57" t="s">
        <v>305</v>
      </c>
      <c r="D57">
        <v>4</v>
      </c>
      <c r="G57">
        <v>2</v>
      </c>
    </row>
    <row r="58" spans="1:8" x14ac:dyDescent="0.25">
      <c r="A58" t="s">
        <v>760</v>
      </c>
      <c r="B58" t="s">
        <v>108</v>
      </c>
      <c r="C58">
        <v>188</v>
      </c>
      <c r="D58">
        <v>298</v>
      </c>
      <c r="E58">
        <v>7</v>
      </c>
      <c r="F58">
        <v>27</v>
      </c>
      <c r="G58">
        <v>128</v>
      </c>
      <c r="H58">
        <v>40</v>
      </c>
    </row>
    <row r="59" spans="1:8" x14ac:dyDescent="0.25">
      <c r="A59" t="s">
        <v>760</v>
      </c>
      <c r="B59" t="s">
        <v>109</v>
      </c>
      <c r="C59">
        <v>12</v>
      </c>
      <c r="D59">
        <v>96</v>
      </c>
      <c r="F59">
        <v>6</v>
      </c>
      <c r="G59">
        <v>92</v>
      </c>
      <c r="H59">
        <v>23</v>
      </c>
    </row>
    <row r="60" spans="1:8" x14ac:dyDescent="0.25">
      <c r="A60" t="s">
        <v>760</v>
      </c>
      <c r="B60" t="s">
        <v>305</v>
      </c>
      <c r="D60">
        <v>8</v>
      </c>
      <c r="G60">
        <v>5</v>
      </c>
    </row>
    <row r="61" spans="1:8" x14ac:dyDescent="0.25">
      <c r="A61" t="s">
        <v>917</v>
      </c>
      <c r="B61" t="s">
        <v>102</v>
      </c>
      <c r="C61">
        <v>243</v>
      </c>
      <c r="D61">
        <v>308</v>
      </c>
      <c r="E61">
        <v>3</v>
      </c>
      <c r="F61">
        <v>20</v>
      </c>
      <c r="G61">
        <v>47</v>
      </c>
      <c r="H61">
        <v>16</v>
      </c>
    </row>
    <row r="62" spans="1:8" x14ac:dyDescent="0.25">
      <c r="A62" t="s">
        <v>917</v>
      </c>
      <c r="B62" t="s">
        <v>103</v>
      </c>
      <c r="C62">
        <v>388</v>
      </c>
      <c r="D62">
        <v>371</v>
      </c>
      <c r="E62">
        <v>4</v>
      </c>
      <c r="F62">
        <v>35</v>
      </c>
      <c r="G62">
        <v>67</v>
      </c>
      <c r="H62">
        <v>20</v>
      </c>
    </row>
    <row r="63" spans="1:8" x14ac:dyDescent="0.25">
      <c r="A63" t="s">
        <v>917</v>
      </c>
      <c r="B63" t="s">
        <v>109</v>
      </c>
      <c r="C63">
        <v>20</v>
      </c>
      <c r="D63">
        <v>90</v>
      </c>
      <c r="E63">
        <v>1</v>
      </c>
      <c r="F63">
        <v>4</v>
      </c>
      <c r="G63">
        <v>96</v>
      </c>
      <c r="H63">
        <v>23</v>
      </c>
    </row>
    <row r="64" spans="1:8" x14ac:dyDescent="0.25">
      <c r="A64" t="s">
        <v>917</v>
      </c>
      <c r="B64" t="s">
        <v>305</v>
      </c>
      <c r="D64">
        <v>1</v>
      </c>
      <c r="G64">
        <v>4</v>
      </c>
    </row>
    <row r="65" spans="1:8" x14ac:dyDescent="0.25">
      <c r="A65" t="s">
        <v>1010</v>
      </c>
      <c r="B65" t="s">
        <v>106</v>
      </c>
      <c r="C65">
        <v>682</v>
      </c>
      <c r="D65">
        <v>332</v>
      </c>
      <c r="E65">
        <v>3</v>
      </c>
      <c r="F65">
        <v>15</v>
      </c>
      <c r="G65">
        <v>116</v>
      </c>
      <c r="H65">
        <v>30</v>
      </c>
    </row>
    <row r="66" spans="1:8" x14ac:dyDescent="0.25">
      <c r="A66" t="s">
        <v>1061</v>
      </c>
      <c r="B66" t="s">
        <v>305</v>
      </c>
      <c r="D66">
        <v>3</v>
      </c>
    </row>
    <row r="67" spans="1:8" x14ac:dyDescent="0.25">
      <c r="A67" t="s">
        <v>191</v>
      </c>
      <c r="B67" t="s">
        <v>101</v>
      </c>
      <c r="C67">
        <v>47</v>
      </c>
      <c r="D67">
        <v>159</v>
      </c>
      <c r="F67">
        <v>9</v>
      </c>
      <c r="G67">
        <v>17</v>
      </c>
      <c r="H67">
        <v>20</v>
      </c>
    </row>
    <row r="68" spans="1:8" x14ac:dyDescent="0.25">
      <c r="A68" t="s">
        <v>191</v>
      </c>
      <c r="B68" t="s">
        <v>102</v>
      </c>
      <c r="C68">
        <v>179</v>
      </c>
      <c r="D68">
        <v>287</v>
      </c>
      <c r="F68">
        <v>17</v>
      </c>
      <c r="G68">
        <v>41</v>
      </c>
      <c r="H68">
        <v>23</v>
      </c>
    </row>
    <row r="69" spans="1:8" x14ac:dyDescent="0.25">
      <c r="A69" t="s">
        <v>191</v>
      </c>
      <c r="B69" t="s">
        <v>110</v>
      </c>
      <c r="D69">
        <v>2</v>
      </c>
      <c r="G69">
        <v>17</v>
      </c>
      <c r="H69">
        <v>1</v>
      </c>
    </row>
    <row r="70" spans="1:8" x14ac:dyDescent="0.25">
      <c r="A70" t="s">
        <v>190</v>
      </c>
      <c r="B70" t="s">
        <v>110</v>
      </c>
      <c r="D70">
        <v>5</v>
      </c>
      <c r="G70">
        <v>12</v>
      </c>
      <c r="H70">
        <v>2</v>
      </c>
    </row>
    <row r="71" spans="1:8" x14ac:dyDescent="0.25">
      <c r="A71" t="s">
        <v>257</v>
      </c>
      <c r="B71" t="s">
        <v>110</v>
      </c>
      <c r="D71">
        <v>3</v>
      </c>
      <c r="G71">
        <v>16</v>
      </c>
      <c r="H71">
        <v>1</v>
      </c>
    </row>
    <row r="72" spans="1:8" x14ac:dyDescent="0.25">
      <c r="A72" t="s">
        <v>240</v>
      </c>
      <c r="B72" t="s">
        <v>104</v>
      </c>
      <c r="C72">
        <v>605</v>
      </c>
      <c r="D72">
        <v>375</v>
      </c>
      <c r="F72">
        <v>22</v>
      </c>
      <c r="G72">
        <v>70</v>
      </c>
      <c r="H72">
        <v>35</v>
      </c>
    </row>
    <row r="73" spans="1:8" x14ac:dyDescent="0.25">
      <c r="A73" t="s">
        <v>240</v>
      </c>
      <c r="B73" t="s">
        <v>106</v>
      </c>
      <c r="C73">
        <v>880</v>
      </c>
      <c r="D73">
        <v>494</v>
      </c>
      <c r="F73">
        <v>27</v>
      </c>
      <c r="G73">
        <v>139</v>
      </c>
      <c r="H73">
        <v>62</v>
      </c>
    </row>
    <row r="74" spans="1:8" x14ac:dyDescent="0.25">
      <c r="A74" t="s">
        <v>239</v>
      </c>
      <c r="B74" t="s">
        <v>107</v>
      </c>
      <c r="C74">
        <v>749</v>
      </c>
      <c r="D74">
        <v>508</v>
      </c>
      <c r="E74">
        <v>6</v>
      </c>
      <c r="F74">
        <v>28</v>
      </c>
      <c r="G74">
        <v>132</v>
      </c>
      <c r="H74">
        <v>73</v>
      </c>
    </row>
    <row r="75" spans="1:8" x14ac:dyDescent="0.25">
      <c r="A75" t="s">
        <v>239</v>
      </c>
      <c r="B75" t="s">
        <v>108</v>
      </c>
      <c r="C75">
        <v>168</v>
      </c>
      <c r="D75">
        <v>264</v>
      </c>
      <c r="E75">
        <v>4</v>
      </c>
      <c r="F75">
        <v>30</v>
      </c>
      <c r="G75">
        <v>126</v>
      </c>
      <c r="H75">
        <v>39</v>
      </c>
    </row>
    <row r="76" spans="1:8" x14ac:dyDescent="0.25">
      <c r="A76" t="s">
        <v>239</v>
      </c>
      <c r="B76" t="s">
        <v>109</v>
      </c>
      <c r="C76">
        <v>9</v>
      </c>
      <c r="D76">
        <v>95</v>
      </c>
      <c r="F76">
        <v>5</v>
      </c>
      <c r="G76">
        <v>89</v>
      </c>
      <c r="H76">
        <v>20</v>
      </c>
    </row>
    <row r="77" spans="1:8" x14ac:dyDescent="0.25">
      <c r="A77" t="s">
        <v>760</v>
      </c>
      <c r="B77" t="s">
        <v>106</v>
      </c>
      <c r="C77">
        <v>775</v>
      </c>
      <c r="D77">
        <v>421</v>
      </c>
      <c r="E77">
        <v>3</v>
      </c>
      <c r="F77">
        <v>22</v>
      </c>
      <c r="G77">
        <v>114</v>
      </c>
      <c r="H77">
        <v>53</v>
      </c>
    </row>
    <row r="78" spans="1:8" x14ac:dyDescent="0.25">
      <c r="A78" t="s">
        <v>917</v>
      </c>
      <c r="B78" t="s">
        <v>104</v>
      </c>
      <c r="C78">
        <v>529</v>
      </c>
      <c r="D78">
        <v>402</v>
      </c>
      <c r="E78">
        <v>8</v>
      </c>
      <c r="F78">
        <v>19</v>
      </c>
      <c r="G78">
        <v>80</v>
      </c>
      <c r="H78">
        <v>36</v>
      </c>
    </row>
    <row r="79" spans="1:8" x14ac:dyDescent="0.25">
      <c r="A79" t="s">
        <v>1010</v>
      </c>
      <c r="B79" t="s">
        <v>111</v>
      </c>
      <c r="C79">
        <v>1</v>
      </c>
      <c r="D79">
        <v>4</v>
      </c>
      <c r="G79">
        <v>3</v>
      </c>
      <c r="H79">
        <v>1</v>
      </c>
    </row>
    <row r="80" spans="1:8" x14ac:dyDescent="0.25">
      <c r="A80" t="s">
        <v>1061</v>
      </c>
      <c r="B80" t="s">
        <v>103</v>
      </c>
      <c r="C80">
        <v>498</v>
      </c>
      <c r="D80">
        <v>383</v>
      </c>
      <c r="E80">
        <v>6</v>
      </c>
      <c r="F80">
        <v>26</v>
      </c>
      <c r="G80">
        <v>69</v>
      </c>
      <c r="H80">
        <v>17</v>
      </c>
    </row>
    <row r="81" spans="1:8" x14ac:dyDescent="0.25">
      <c r="A81" t="s">
        <v>1061</v>
      </c>
      <c r="B81" t="s">
        <v>105</v>
      </c>
      <c r="C81">
        <v>675</v>
      </c>
      <c r="D81">
        <v>390</v>
      </c>
      <c r="E81">
        <v>8</v>
      </c>
      <c r="F81">
        <v>24</v>
      </c>
      <c r="G81">
        <v>90</v>
      </c>
      <c r="H81">
        <v>32</v>
      </c>
    </row>
    <row r="82" spans="1:8" x14ac:dyDescent="0.25">
      <c r="A82" t="s">
        <v>1108</v>
      </c>
      <c r="B82" t="s">
        <v>103</v>
      </c>
      <c r="C82">
        <v>493</v>
      </c>
      <c r="D82">
        <v>391</v>
      </c>
      <c r="E82">
        <v>3</v>
      </c>
      <c r="F82">
        <v>25</v>
      </c>
      <c r="G82">
        <v>73</v>
      </c>
      <c r="H82">
        <v>16</v>
      </c>
    </row>
    <row r="83" spans="1:8" x14ac:dyDescent="0.25">
      <c r="A83" t="s">
        <v>1108</v>
      </c>
      <c r="B83" t="s">
        <v>109</v>
      </c>
      <c r="C83">
        <v>24</v>
      </c>
      <c r="D83">
        <v>127</v>
      </c>
      <c r="E83">
        <v>8</v>
      </c>
      <c r="F83">
        <v>7</v>
      </c>
      <c r="G83">
        <v>108</v>
      </c>
      <c r="H83">
        <v>23</v>
      </c>
    </row>
    <row r="84" spans="1:8" x14ac:dyDescent="0.25">
      <c r="A84" t="s">
        <v>1108</v>
      </c>
      <c r="B84" t="s">
        <v>1034</v>
      </c>
      <c r="G84">
        <v>1</v>
      </c>
    </row>
    <row r="85" spans="1:8" x14ac:dyDescent="0.25">
      <c r="A85" t="s">
        <v>192</v>
      </c>
      <c r="B85" t="s">
        <v>973</v>
      </c>
      <c r="C85">
        <v>1254</v>
      </c>
      <c r="D85">
        <v>691</v>
      </c>
      <c r="F85">
        <v>46</v>
      </c>
      <c r="G85">
        <v>174</v>
      </c>
      <c r="H85">
        <v>58</v>
      </c>
    </row>
    <row r="86" spans="1:8" x14ac:dyDescent="0.25">
      <c r="A86" t="s">
        <v>192</v>
      </c>
      <c r="B86" t="s">
        <v>107</v>
      </c>
      <c r="C86">
        <v>486</v>
      </c>
      <c r="D86">
        <v>370</v>
      </c>
      <c r="F86">
        <v>52</v>
      </c>
      <c r="G86">
        <v>160</v>
      </c>
      <c r="H86">
        <v>48</v>
      </c>
    </row>
    <row r="87" spans="1:8" x14ac:dyDescent="0.25">
      <c r="A87" t="s">
        <v>190</v>
      </c>
      <c r="B87" t="s">
        <v>305</v>
      </c>
      <c r="C87">
        <v>1</v>
      </c>
      <c r="D87">
        <v>8</v>
      </c>
      <c r="H87">
        <v>6</v>
      </c>
    </row>
    <row r="88" spans="1:8" x14ac:dyDescent="0.25">
      <c r="A88" t="s">
        <v>239</v>
      </c>
      <c r="B88" t="s">
        <v>103</v>
      </c>
      <c r="C88">
        <v>339</v>
      </c>
      <c r="D88">
        <v>373</v>
      </c>
      <c r="E88">
        <v>1</v>
      </c>
      <c r="F88">
        <v>36</v>
      </c>
      <c r="G88">
        <v>61</v>
      </c>
      <c r="H88">
        <v>28</v>
      </c>
    </row>
    <row r="89" spans="1:8" x14ac:dyDescent="0.25">
      <c r="A89" t="s">
        <v>760</v>
      </c>
      <c r="B89" t="s">
        <v>101</v>
      </c>
      <c r="C89">
        <v>46</v>
      </c>
      <c r="D89">
        <v>152</v>
      </c>
      <c r="F89">
        <v>7</v>
      </c>
      <c r="G89">
        <v>18</v>
      </c>
      <c r="H89">
        <v>18</v>
      </c>
    </row>
    <row r="90" spans="1:8" x14ac:dyDescent="0.25">
      <c r="A90" t="s">
        <v>760</v>
      </c>
      <c r="B90" t="s">
        <v>104</v>
      </c>
      <c r="C90">
        <v>567</v>
      </c>
      <c r="D90">
        <v>405</v>
      </c>
      <c r="E90">
        <v>5</v>
      </c>
      <c r="F90">
        <v>20</v>
      </c>
      <c r="G90">
        <v>72</v>
      </c>
      <c r="H90">
        <v>32</v>
      </c>
    </row>
    <row r="91" spans="1:8" x14ac:dyDescent="0.25">
      <c r="A91" t="s">
        <v>760</v>
      </c>
      <c r="B91" t="s">
        <v>111</v>
      </c>
      <c r="G91">
        <v>2</v>
      </c>
    </row>
    <row r="92" spans="1:8" x14ac:dyDescent="0.25">
      <c r="A92" t="s">
        <v>917</v>
      </c>
      <c r="B92" t="s">
        <v>105</v>
      </c>
      <c r="C92">
        <v>703</v>
      </c>
      <c r="D92">
        <v>367</v>
      </c>
      <c r="E92">
        <v>5</v>
      </c>
      <c r="F92">
        <v>22</v>
      </c>
      <c r="G92">
        <v>79</v>
      </c>
      <c r="H92">
        <v>29</v>
      </c>
    </row>
    <row r="93" spans="1:8" x14ac:dyDescent="0.25">
      <c r="A93" t="s">
        <v>1010</v>
      </c>
      <c r="B93" t="s">
        <v>305</v>
      </c>
      <c r="D93">
        <v>3</v>
      </c>
    </row>
    <row r="94" spans="1:8" x14ac:dyDescent="0.25">
      <c r="A94" t="s">
        <v>1061</v>
      </c>
      <c r="B94" t="s">
        <v>108</v>
      </c>
      <c r="C94">
        <v>163</v>
      </c>
      <c r="D94">
        <v>323</v>
      </c>
      <c r="E94">
        <v>14</v>
      </c>
      <c r="F94">
        <v>22</v>
      </c>
      <c r="G94">
        <v>161</v>
      </c>
      <c r="H94">
        <v>58</v>
      </c>
    </row>
    <row r="95" spans="1:8" x14ac:dyDescent="0.25">
      <c r="A95" t="s">
        <v>1061</v>
      </c>
      <c r="B95" t="s">
        <v>109</v>
      </c>
      <c r="C95">
        <v>18</v>
      </c>
      <c r="D95">
        <v>121</v>
      </c>
      <c r="E95">
        <v>6</v>
      </c>
      <c r="F95">
        <v>3</v>
      </c>
      <c r="G95">
        <v>117</v>
      </c>
      <c r="H95">
        <v>21</v>
      </c>
    </row>
    <row r="96" spans="1:8" x14ac:dyDescent="0.25">
      <c r="A96" t="s">
        <v>191</v>
      </c>
      <c r="B96" t="s">
        <v>109</v>
      </c>
      <c r="C96">
        <v>1</v>
      </c>
      <c r="D96">
        <v>71</v>
      </c>
      <c r="F96">
        <v>4</v>
      </c>
      <c r="G96">
        <v>93</v>
      </c>
      <c r="H96">
        <v>9</v>
      </c>
    </row>
    <row r="97" spans="1:8" x14ac:dyDescent="0.25">
      <c r="A97" t="s">
        <v>190</v>
      </c>
      <c r="B97" t="s">
        <v>107</v>
      </c>
      <c r="C97">
        <v>618</v>
      </c>
      <c r="D97">
        <v>432</v>
      </c>
      <c r="F97">
        <v>42</v>
      </c>
      <c r="G97">
        <v>139</v>
      </c>
      <c r="H97">
        <v>56</v>
      </c>
    </row>
    <row r="98" spans="1:8" x14ac:dyDescent="0.25">
      <c r="A98" t="s">
        <v>257</v>
      </c>
      <c r="B98" t="s">
        <v>107</v>
      </c>
      <c r="C98">
        <v>658</v>
      </c>
      <c r="D98">
        <v>460</v>
      </c>
      <c r="F98">
        <v>36</v>
      </c>
      <c r="G98">
        <v>135</v>
      </c>
      <c r="H98">
        <v>65</v>
      </c>
    </row>
    <row r="99" spans="1:8" x14ac:dyDescent="0.25">
      <c r="A99" t="s">
        <v>257</v>
      </c>
      <c r="B99" t="s">
        <v>305</v>
      </c>
      <c r="D99">
        <v>16</v>
      </c>
      <c r="G99">
        <v>1</v>
      </c>
      <c r="H99">
        <v>1</v>
      </c>
    </row>
    <row r="100" spans="1:8" x14ac:dyDescent="0.25">
      <c r="A100" t="s">
        <v>239</v>
      </c>
      <c r="B100" t="s">
        <v>101</v>
      </c>
      <c r="C100">
        <v>47</v>
      </c>
      <c r="D100">
        <v>140</v>
      </c>
      <c r="F100">
        <v>12</v>
      </c>
      <c r="G100">
        <v>18</v>
      </c>
      <c r="H100">
        <v>13</v>
      </c>
    </row>
    <row r="101" spans="1:8" x14ac:dyDescent="0.25">
      <c r="A101" t="s">
        <v>239</v>
      </c>
      <c r="B101" t="s">
        <v>105</v>
      </c>
      <c r="C101">
        <v>687</v>
      </c>
      <c r="D101">
        <v>374</v>
      </c>
      <c r="E101">
        <v>2</v>
      </c>
      <c r="F101">
        <v>20</v>
      </c>
      <c r="G101">
        <v>91</v>
      </c>
      <c r="H101">
        <v>33</v>
      </c>
    </row>
    <row r="102" spans="1:8" x14ac:dyDescent="0.25">
      <c r="A102" t="s">
        <v>760</v>
      </c>
      <c r="B102" t="s">
        <v>103</v>
      </c>
      <c r="C102">
        <v>360</v>
      </c>
      <c r="D102">
        <v>366</v>
      </c>
      <c r="E102">
        <v>4</v>
      </c>
      <c r="F102">
        <v>38</v>
      </c>
      <c r="G102">
        <v>61</v>
      </c>
      <c r="H102">
        <v>26</v>
      </c>
    </row>
    <row r="103" spans="1:8" x14ac:dyDescent="0.25">
      <c r="A103" t="s">
        <v>1010</v>
      </c>
      <c r="B103" t="s">
        <v>101</v>
      </c>
      <c r="C103">
        <v>35</v>
      </c>
      <c r="D103">
        <v>123</v>
      </c>
      <c r="F103">
        <v>4</v>
      </c>
      <c r="G103">
        <v>27</v>
      </c>
      <c r="H103">
        <v>5</v>
      </c>
    </row>
    <row r="104" spans="1:8" x14ac:dyDescent="0.25">
      <c r="A104" t="s">
        <v>1010</v>
      </c>
      <c r="B104" t="s">
        <v>107</v>
      </c>
      <c r="C104">
        <v>720</v>
      </c>
      <c r="D104">
        <v>405</v>
      </c>
      <c r="E104">
        <v>14</v>
      </c>
      <c r="F104">
        <v>28</v>
      </c>
      <c r="G104">
        <v>158</v>
      </c>
      <c r="H104">
        <v>67</v>
      </c>
    </row>
    <row r="105" spans="1:8" x14ac:dyDescent="0.25">
      <c r="A105" t="s">
        <v>1010</v>
      </c>
      <c r="B105" t="s">
        <v>110</v>
      </c>
      <c r="D105">
        <v>23</v>
      </c>
      <c r="F105">
        <v>1</v>
      </c>
      <c r="G105">
        <v>33</v>
      </c>
      <c r="H105">
        <v>9</v>
      </c>
    </row>
    <row r="106" spans="1:8" x14ac:dyDescent="0.25">
      <c r="A106" t="s">
        <v>1061</v>
      </c>
      <c r="B106" t="s">
        <v>102</v>
      </c>
      <c r="C106">
        <v>260</v>
      </c>
      <c r="D106">
        <v>268</v>
      </c>
      <c r="E106">
        <v>1</v>
      </c>
      <c r="F106">
        <v>24</v>
      </c>
      <c r="G106">
        <v>50</v>
      </c>
      <c r="H106">
        <v>11</v>
      </c>
    </row>
    <row r="107" spans="1:8" x14ac:dyDescent="0.25">
      <c r="A107" t="s">
        <v>1061</v>
      </c>
      <c r="B107" t="s">
        <v>104</v>
      </c>
      <c r="C107">
        <v>540</v>
      </c>
      <c r="D107">
        <v>417</v>
      </c>
      <c r="E107">
        <v>4</v>
      </c>
      <c r="F107">
        <v>31</v>
      </c>
      <c r="G107">
        <v>96</v>
      </c>
      <c r="H107">
        <v>29</v>
      </c>
    </row>
    <row r="108" spans="1:8" x14ac:dyDescent="0.25">
      <c r="A108" t="s">
        <v>1108</v>
      </c>
      <c r="B108" t="s">
        <v>101</v>
      </c>
      <c r="C108">
        <v>43</v>
      </c>
      <c r="D108">
        <v>135</v>
      </c>
      <c r="F108">
        <v>5</v>
      </c>
      <c r="G108">
        <v>13</v>
      </c>
      <c r="H108">
        <v>5</v>
      </c>
    </row>
    <row r="109" spans="1:8" x14ac:dyDescent="0.25">
      <c r="A109" t="s">
        <v>1108</v>
      </c>
      <c r="B109" t="s">
        <v>105</v>
      </c>
      <c r="C109">
        <v>649</v>
      </c>
      <c r="D109">
        <v>373</v>
      </c>
      <c r="E109">
        <v>10</v>
      </c>
      <c r="F109">
        <v>22</v>
      </c>
      <c r="G109">
        <v>88</v>
      </c>
      <c r="H109">
        <v>29</v>
      </c>
    </row>
    <row r="110" spans="1:8" x14ac:dyDescent="0.25">
      <c r="A110" t="s">
        <v>1108</v>
      </c>
      <c r="B110" t="s">
        <v>108</v>
      </c>
      <c r="C110">
        <v>182</v>
      </c>
      <c r="D110">
        <v>316</v>
      </c>
      <c r="E110">
        <v>18</v>
      </c>
      <c r="F110">
        <v>18</v>
      </c>
      <c r="G110">
        <v>164</v>
      </c>
      <c r="H110">
        <v>56</v>
      </c>
    </row>
    <row r="111" spans="1:8" x14ac:dyDescent="0.25">
      <c r="A111" t="s">
        <v>1108</v>
      </c>
      <c r="B111" t="s">
        <v>111</v>
      </c>
      <c r="D111">
        <v>6</v>
      </c>
      <c r="G111">
        <v>6</v>
      </c>
      <c r="H111">
        <v>4</v>
      </c>
    </row>
    <row r="112" spans="1:8" x14ac:dyDescent="0.25">
      <c r="A112" t="s">
        <v>192</v>
      </c>
      <c r="B112" t="s">
        <v>105</v>
      </c>
      <c r="C112">
        <v>888</v>
      </c>
      <c r="D112">
        <v>540</v>
      </c>
      <c r="F112">
        <v>34</v>
      </c>
      <c r="G112">
        <v>142</v>
      </c>
      <c r="H112">
        <v>63</v>
      </c>
    </row>
    <row r="113" spans="1:8" x14ac:dyDescent="0.25">
      <c r="A113" t="s">
        <v>192</v>
      </c>
      <c r="B113" t="s">
        <v>305</v>
      </c>
      <c r="D113">
        <v>13</v>
      </c>
      <c r="H113">
        <v>29</v>
      </c>
    </row>
    <row r="114" spans="1:8" x14ac:dyDescent="0.25">
      <c r="A114" t="s">
        <v>191</v>
      </c>
      <c r="B114" t="s">
        <v>103</v>
      </c>
      <c r="C114">
        <v>529</v>
      </c>
      <c r="D114">
        <v>337</v>
      </c>
      <c r="F114">
        <v>18</v>
      </c>
      <c r="G114">
        <v>52</v>
      </c>
      <c r="H114">
        <v>34</v>
      </c>
    </row>
    <row r="115" spans="1:8" x14ac:dyDescent="0.25">
      <c r="A115" t="s">
        <v>191</v>
      </c>
      <c r="B115" t="s">
        <v>106</v>
      </c>
      <c r="C115">
        <v>1006</v>
      </c>
      <c r="D115">
        <v>627</v>
      </c>
      <c r="F115">
        <v>41</v>
      </c>
      <c r="G115">
        <v>149</v>
      </c>
      <c r="H115">
        <v>89</v>
      </c>
    </row>
    <row r="116" spans="1:8" x14ac:dyDescent="0.25">
      <c r="A116" t="s">
        <v>191</v>
      </c>
      <c r="B116" t="s">
        <v>107</v>
      </c>
      <c r="C116">
        <v>554</v>
      </c>
      <c r="D116">
        <v>398</v>
      </c>
      <c r="F116">
        <v>48</v>
      </c>
      <c r="G116">
        <v>148</v>
      </c>
      <c r="H116">
        <v>53</v>
      </c>
    </row>
    <row r="117" spans="1:8" x14ac:dyDescent="0.25">
      <c r="A117" t="s">
        <v>190</v>
      </c>
      <c r="B117" t="s">
        <v>101</v>
      </c>
      <c r="C117">
        <v>38</v>
      </c>
      <c r="D117">
        <v>180</v>
      </c>
      <c r="F117">
        <v>5</v>
      </c>
      <c r="G117">
        <v>20</v>
      </c>
      <c r="H117">
        <v>15</v>
      </c>
    </row>
    <row r="118" spans="1:8" x14ac:dyDescent="0.25">
      <c r="A118" t="s">
        <v>257</v>
      </c>
      <c r="B118" t="s">
        <v>103</v>
      </c>
      <c r="C118">
        <v>398</v>
      </c>
      <c r="D118">
        <v>337</v>
      </c>
      <c r="F118">
        <v>13</v>
      </c>
      <c r="G118">
        <v>71</v>
      </c>
      <c r="H118">
        <v>26</v>
      </c>
    </row>
    <row r="119" spans="1:8" x14ac:dyDescent="0.25">
      <c r="A119" t="s">
        <v>257</v>
      </c>
      <c r="B119" t="s">
        <v>104</v>
      </c>
      <c r="C119">
        <v>661</v>
      </c>
      <c r="D119">
        <v>387</v>
      </c>
      <c r="F119">
        <v>21</v>
      </c>
      <c r="G119">
        <v>73</v>
      </c>
      <c r="H119">
        <v>35</v>
      </c>
    </row>
    <row r="120" spans="1:8" x14ac:dyDescent="0.25">
      <c r="A120" t="s">
        <v>257</v>
      </c>
      <c r="B120" t="s">
        <v>108</v>
      </c>
      <c r="C120">
        <v>73</v>
      </c>
      <c r="D120">
        <v>178</v>
      </c>
      <c r="F120">
        <v>25</v>
      </c>
      <c r="G120">
        <v>133</v>
      </c>
      <c r="H120">
        <v>35</v>
      </c>
    </row>
    <row r="121" spans="1:8" x14ac:dyDescent="0.25">
      <c r="A121" t="s">
        <v>240</v>
      </c>
      <c r="B121" t="s">
        <v>102</v>
      </c>
      <c r="C121">
        <v>149</v>
      </c>
      <c r="D121">
        <v>298</v>
      </c>
      <c r="F121">
        <v>23</v>
      </c>
      <c r="G121">
        <v>35</v>
      </c>
      <c r="H121">
        <v>19</v>
      </c>
    </row>
    <row r="122" spans="1:8" x14ac:dyDescent="0.25">
      <c r="A122" t="s">
        <v>240</v>
      </c>
      <c r="B122" t="s">
        <v>108</v>
      </c>
      <c r="C122">
        <v>124</v>
      </c>
      <c r="D122">
        <v>237</v>
      </c>
      <c r="F122">
        <v>29</v>
      </c>
      <c r="G122">
        <v>141</v>
      </c>
      <c r="H122">
        <v>31</v>
      </c>
    </row>
    <row r="123" spans="1:8" x14ac:dyDescent="0.25">
      <c r="A123" t="s">
        <v>239</v>
      </c>
      <c r="B123" t="s">
        <v>102</v>
      </c>
      <c r="C123">
        <v>214</v>
      </c>
      <c r="D123">
        <v>308</v>
      </c>
      <c r="E123">
        <v>1</v>
      </c>
      <c r="F123">
        <v>25</v>
      </c>
      <c r="G123">
        <v>40</v>
      </c>
      <c r="H123">
        <v>19</v>
      </c>
    </row>
    <row r="124" spans="1:8" x14ac:dyDescent="0.25">
      <c r="A124" t="s">
        <v>239</v>
      </c>
      <c r="B124" t="s">
        <v>104</v>
      </c>
      <c r="C124">
        <v>595</v>
      </c>
      <c r="D124">
        <v>383</v>
      </c>
      <c r="E124">
        <v>2</v>
      </c>
      <c r="F124">
        <v>24</v>
      </c>
      <c r="G124">
        <v>71</v>
      </c>
      <c r="H124">
        <v>29</v>
      </c>
    </row>
    <row r="125" spans="1:8" x14ac:dyDescent="0.25">
      <c r="A125" t="s">
        <v>239</v>
      </c>
      <c r="B125" t="s">
        <v>106</v>
      </c>
      <c r="C125">
        <v>828</v>
      </c>
      <c r="D125">
        <v>466</v>
      </c>
      <c r="E125">
        <v>2</v>
      </c>
      <c r="F125">
        <v>27</v>
      </c>
      <c r="G125">
        <v>134</v>
      </c>
      <c r="H125">
        <v>57</v>
      </c>
    </row>
    <row r="126" spans="1:8" x14ac:dyDescent="0.25">
      <c r="A126" t="s">
        <v>760</v>
      </c>
      <c r="B126" t="s">
        <v>107</v>
      </c>
      <c r="C126">
        <v>740</v>
      </c>
      <c r="D126">
        <v>495</v>
      </c>
      <c r="E126">
        <v>10</v>
      </c>
      <c r="F126">
        <v>27</v>
      </c>
      <c r="G126">
        <v>151</v>
      </c>
      <c r="H126">
        <v>72</v>
      </c>
    </row>
    <row r="127" spans="1:8" x14ac:dyDescent="0.25">
      <c r="A127" t="s">
        <v>917</v>
      </c>
      <c r="B127" t="s">
        <v>110</v>
      </c>
      <c r="C127">
        <v>1</v>
      </c>
      <c r="D127">
        <v>28</v>
      </c>
      <c r="F127">
        <v>1</v>
      </c>
      <c r="G127">
        <v>38</v>
      </c>
      <c r="H127">
        <v>11</v>
      </c>
    </row>
    <row r="128" spans="1:8" x14ac:dyDescent="0.25">
      <c r="A128" t="s">
        <v>1010</v>
      </c>
      <c r="B128" t="s">
        <v>103</v>
      </c>
      <c r="C128">
        <v>404</v>
      </c>
      <c r="D128">
        <v>360</v>
      </c>
      <c r="E128">
        <v>4</v>
      </c>
      <c r="F128">
        <v>26</v>
      </c>
      <c r="G128">
        <v>75</v>
      </c>
      <c r="H128">
        <v>15</v>
      </c>
    </row>
    <row r="129" spans="1:8" x14ac:dyDescent="0.25">
      <c r="A129" t="s">
        <v>1010</v>
      </c>
      <c r="B129" t="s">
        <v>105</v>
      </c>
      <c r="C129">
        <v>714</v>
      </c>
      <c r="D129">
        <v>382</v>
      </c>
      <c r="E129">
        <v>5</v>
      </c>
      <c r="F129">
        <v>23</v>
      </c>
      <c r="G129">
        <v>95</v>
      </c>
      <c r="H129">
        <v>29</v>
      </c>
    </row>
    <row r="130" spans="1:8" x14ac:dyDescent="0.25">
      <c r="A130" t="s">
        <v>1010</v>
      </c>
      <c r="B130" t="s">
        <v>108</v>
      </c>
      <c r="C130">
        <v>187</v>
      </c>
      <c r="D130">
        <v>326</v>
      </c>
      <c r="E130">
        <v>15</v>
      </c>
      <c r="F130">
        <v>24</v>
      </c>
      <c r="G130">
        <v>164</v>
      </c>
      <c r="H130">
        <v>49</v>
      </c>
    </row>
    <row r="131" spans="1:8" x14ac:dyDescent="0.25">
      <c r="A131" t="s">
        <v>1108</v>
      </c>
      <c r="B131" t="s">
        <v>106</v>
      </c>
      <c r="C131">
        <v>691</v>
      </c>
      <c r="D131">
        <v>314</v>
      </c>
      <c r="E131">
        <v>3</v>
      </c>
      <c r="F131">
        <v>14</v>
      </c>
      <c r="G131">
        <v>104</v>
      </c>
      <c r="H131">
        <v>27</v>
      </c>
    </row>
    <row r="132" spans="1:8" x14ac:dyDescent="0.25">
      <c r="A132" t="s">
        <v>1108</v>
      </c>
      <c r="B132" t="s">
        <v>107</v>
      </c>
      <c r="C132">
        <v>579</v>
      </c>
      <c r="D132">
        <v>319</v>
      </c>
      <c r="E132">
        <v>8</v>
      </c>
      <c r="F132">
        <v>25</v>
      </c>
      <c r="G132">
        <v>145</v>
      </c>
      <c r="H132">
        <v>56</v>
      </c>
    </row>
    <row r="133" spans="1:8" x14ac:dyDescent="0.25">
      <c r="A133" t="s">
        <v>1108</v>
      </c>
      <c r="B133" t="s">
        <v>110</v>
      </c>
      <c r="C133">
        <v>2</v>
      </c>
      <c r="D133">
        <v>29</v>
      </c>
      <c r="G133">
        <v>45</v>
      </c>
      <c r="H133">
        <v>11</v>
      </c>
    </row>
  </sheetData>
  <pageMargins left="0.7" right="0.7" top="0.75" bottom="0.75" header="0.3" footer="0.3"/>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8">
    <tabColor theme="9" tint="0.39997558519241921"/>
    <pageSetUpPr fitToPage="1"/>
  </sheetPr>
  <dimension ref="A1:I54"/>
  <sheetViews>
    <sheetView showGridLines="0" workbookViewId="0">
      <pane ySplit="2" topLeftCell="A3" activePane="bottomLeft" state="frozen"/>
      <selection pane="bottomLeft" sqref="A1:C1"/>
    </sheetView>
  </sheetViews>
  <sheetFormatPr defaultRowHeight="15" x14ac:dyDescent="0.25"/>
  <cols>
    <col min="1" max="1" width="18.7109375" customWidth="1"/>
    <col min="2" max="3" width="13" customWidth="1"/>
    <col min="4" max="4" width="13.85546875" customWidth="1"/>
    <col min="5" max="9" width="13" customWidth="1"/>
  </cols>
  <sheetData>
    <row r="1" spans="1:9" ht="15.75" x14ac:dyDescent="0.25">
      <c r="A1" s="993" t="s">
        <v>450</v>
      </c>
      <c r="B1" s="993"/>
      <c r="C1" s="993"/>
      <c r="D1" s="449"/>
      <c r="E1" s="147"/>
      <c r="F1" s="147"/>
      <c r="G1" s="147"/>
      <c r="H1" s="25"/>
      <c r="I1" s="25"/>
    </row>
    <row r="2" spans="1:9" x14ac:dyDescent="0.25">
      <c r="A2" s="507" t="s">
        <v>511</v>
      </c>
      <c r="E2" s="147"/>
      <c r="F2" s="147"/>
      <c r="G2" s="147"/>
      <c r="H2" s="25"/>
      <c r="I2" s="25"/>
    </row>
    <row r="3" spans="1:9" x14ac:dyDescent="0.25">
      <c r="A3" s="25"/>
      <c r="B3" s="25"/>
      <c r="C3" s="25"/>
      <c r="D3" s="25"/>
      <c r="E3" s="147"/>
      <c r="F3" s="147"/>
      <c r="G3" s="147"/>
      <c r="H3" s="25"/>
      <c r="I3" s="25"/>
    </row>
    <row r="4" spans="1:9" ht="18.75" customHeight="1" x14ac:dyDescent="0.25">
      <c r="A4" s="1004" t="s">
        <v>464</v>
      </c>
      <c r="B4" s="1004"/>
      <c r="C4" s="1004"/>
      <c r="D4" s="1004"/>
      <c r="E4" s="1004"/>
      <c r="F4" s="1004"/>
      <c r="G4" s="1004"/>
      <c r="H4" s="1004"/>
      <c r="I4" s="1004"/>
    </row>
    <row r="5" spans="1:9" ht="15" customHeight="1" x14ac:dyDescent="0.25">
      <c r="A5" t="s">
        <v>328</v>
      </c>
      <c r="B5" t="s">
        <v>682</v>
      </c>
      <c r="C5" s="232"/>
      <c r="D5" s="232"/>
      <c r="E5" s="232"/>
      <c r="F5" s="232"/>
      <c r="G5" s="232"/>
      <c r="H5" s="232"/>
      <c r="I5" s="232"/>
    </row>
    <row r="6" spans="1:9" ht="15" customHeight="1" x14ac:dyDescent="0.25">
      <c r="A6" t="s">
        <v>329</v>
      </c>
      <c r="B6" t="s">
        <v>331</v>
      </c>
      <c r="C6" s="232"/>
      <c r="D6" s="232"/>
      <c r="E6" s="232"/>
      <c r="F6" s="232"/>
      <c r="G6" s="232"/>
      <c r="H6" s="232"/>
      <c r="I6" s="232"/>
    </row>
    <row r="7" spans="1:9" ht="15" customHeight="1" x14ac:dyDescent="0.25">
      <c r="A7" t="s">
        <v>330</v>
      </c>
      <c r="B7" t="s">
        <v>332</v>
      </c>
      <c r="C7" s="232"/>
      <c r="D7" s="232"/>
      <c r="E7" s="232"/>
      <c r="F7" s="232"/>
      <c r="G7" s="232"/>
      <c r="H7" s="232"/>
      <c r="I7" s="232"/>
    </row>
    <row r="8" spans="1:9" ht="15" customHeight="1" x14ac:dyDescent="0.25">
      <c r="C8" s="232"/>
      <c r="D8" s="232"/>
      <c r="E8" s="232"/>
      <c r="F8" s="232"/>
      <c r="G8" s="232"/>
      <c r="H8" s="232"/>
      <c r="I8" s="232"/>
    </row>
    <row r="9" spans="1:9" ht="15" customHeight="1" x14ac:dyDescent="0.25">
      <c r="A9" s="691" t="s">
        <v>1</v>
      </c>
      <c r="B9" s="691" t="str">
        <f>agepivot!B1</f>
        <v>2023-24</v>
      </c>
      <c r="C9" s="232"/>
      <c r="D9" s="232"/>
      <c r="E9" s="232"/>
      <c r="F9" s="232"/>
      <c r="G9" s="232"/>
      <c r="H9" s="232"/>
      <c r="I9" s="232"/>
    </row>
    <row r="10" spans="1:9" ht="39" x14ac:dyDescent="0.25">
      <c r="A10" s="16" t="s">
        <v>198</v>
      </c>
      <c r="B10" s="3" t="s">
        <v>85</v>
      </c>
      <c r="C10" s="154" t="s">
        <v>28</v>
      </c>
      <c r="D10" s="154" t="s">
        <v>831</v>
      </c>
      <c r="E10" s="3" t="s">
        <v>2</v>
      </c>
      <c r="F10" s="3" t="s">
        <v>86</v>
      </c>
      <c r="G10" s="154" t="s">
        <v>29</v>
      </c>
      <c r="H10" s="3" t="s">
        <v>100</v>
      </c>
      <c r="I10" s="3" t="s">
        <v>98</v>
      </c>
    </row>
    <row r="11" spans="1:9" x14ac:dyDescent="0.25">
      <c r="A11" s="696" t="s">
        <v>519</v>
      </c>
      <c r="B11" s="614">
        <f>IF(B9="2013-14",GETPIVOTDATA("Sum of Wholetime Operational",agepivot!$A$3,"Age Range","Under 20"), GETPIVOTDATA("Sum of Wholetime Operational",agepivot!$A$3,"Age Range","Under 20"))</f>
        <v>0</v>
      </c>
      <c r="C11" s="614">
        <f>IF(B9="2013-14", GETPIVOTDATA("Sum of Retained Duty System",agepivot!$A$3,"Age Range","Under 20"), GETPIVOTDATA("Sum of Retained Duty System",agepivot!$A$3,"Age Range","Under 20"))</f>
        <v>9</v>
      </c>
      <c r="D11" s="614">
        <f>IF(B9="2013-14", GETPIVOTDATA("Sum of Retained Full-time",agepivot!$A$3,"Age Range","Under 20"), GETPIVOTDATA("Sum of Retained Full-time",agepivot!$A$3,"Age Range","Under 20"))</f>
        <v>0</v>
      </c>
      <c r="E11" s="614">
        <f>IF(B9="2013-14", GETPIVOTDATA("Sum of Control",agepivot!$A$3,"Age Range","Under 20"), GETPIVOTDATA("Sum of Control",agepivot!$A$3,"Age Range","Under 20"))</f>
        <v>0</v>
      </c>
      <c r="F11" s="614">
        <f>IF(B9="2013-14", GETPIVOTDATA("Sum of Support Staff",agepivot!$A$3,"Age Range","Under 20"), GETPIVOTDATA("Sum of Support Staff",agepivot!$A$3,"Age Range","Under 20"))</f>
        <v>3</v>
      </c>
      <c r="G11" s="614">
        <f>IF(B9="2013-14", GETPIVOTDATA("Sum of Volunteer",agepivot!$A$3,"Age Range","Under 20"), GETPIVOTDATA("Sum of Volunteer",agepivot!$A$3,"Age Range","Under 20"))</f>
        <v>0</v>
      </c>
      <c r="H11" s="615">
        <f>SUM(B11:G11)</f>
        <v>12</v>
      </c>
      <c r="I11" s="615">
        <f>H11-G11</f>
        <v>12</v>
      </c>
    </row>
    <row r="12" spans="1:9" x14ac:dyDescent="0.25">
      <c r="A12" s="697" t="str">
        <f>IF(agepivot!$B$1="2013-14", "20-29", "20-24")</f>
        <v>20-24</v>
      </c>
      <c r="B12" s="614">
        <f>IF(B9="2013-14", GETPIVOTDATA("Sum of Wholetime Operational",agepivot!$A$3,"Age Range","20-29"), GETPIVOTDATA("Sum of Wholetime Operational",agepivot!$A$3,"Age Range","20-24"))</f>
        <v>43</v>
      </c>
      <c r="C12" s="614">
        <f>IF(B9="2013-14", GETPIVOTDATA("Sum of Retained Duty System",agepivot!$A$3,"Age Range","20-29"), GETPIVOTDATA("Sum of Retained Duty System",agepivot!$A$3,"Age Range","20-24"))</f>
        <v>135</v>
      </c>
      <c r="D12" s="614">
        <f>IF(B9="2013-14", GETPIVOTDATA("Sum of Retained Full-time",agepivot!$A$3,"Age Range","20-29"), GETPIVOTDATA("Sum of Retained Full-time",agepivot!$A$3,"Age Range","20-24"))</f>
        <v>0</v>
      </c>
      <c r="E12" s="614">
        <f>IF(B9="2013-14", GETPIVOTDATA("Sum of Control",agepivot!$A$3,"Age Range","20-29"), GETPIVOTDATA("Sum of Control",agepivot!$A$3,"Age Range","20-24"))</f>
        <v>5</v>
      </c>
      <c r="F12" s="614">
        <f>IF(B9="2013-14", GETPIVOTDATA("Sum of Support Staff",agepivot!$A$3,"Age Range","20-29"), GETPIVOTDATA("Sum of Support Staff",agepivot!$A$3,"Age Range","20-24"))</f>
        <v>13</v>
      </c>
      <c r="G12" s="614">
        <f>IF(B9="2013-14", GETPIVOTDATA("Sum of Volunteer",agepivot!$A$3,"Age Range","20-29"), GETPIVOTDATA("Sum of Volunteer",agepivot!$A$3,"Age Range","20-24"))</f>
        <v>5</v>
      </c>
      <c r="H12" s="615">
        <f t="shared" ref="H12:H22" si="0">SUM(B12:G12)</f>
        <v>201</v>
      </c>
      <c r="I12" s="615">
        <f t="shared" ref="I12:I24" si="1">H12-G12</f>
        <v>196</v>
      </c>
    </row>
    <row r="13" spans="1:9" x14ac:dyDescent="0.25">
      <c r="A13" s="697" t="str">
        <f>IF(agepivot!$B$1="2013-14", "30-39", "25-29")</f>
        <v>25-29</v>
      </c>
      <c r="B13" s="614">
        <f>IF(B9="2013-14", GETPIVOTDATA("Sum of Wholetime Operational",agepivot!$A$3,"Age Range","30-39"), GETPIVOTDATA("Sum of Wholetime Operational",agepivot!$A$3,"Age Range","25-29"))</f>
        <v>239</v>
      </c>
      <c r="C13" s="614">
        <f>IF(B9="2013-14", GETPIVOTDATA("Sum of Retained Duty System",agepivot!$A$3,"Age Range","30-39"), GETPIVOTDATA("Sum of Retained Duty System",agepivot!$A$3,"Age Range","25-29"))</f>
        <v>264</v>
      </c>
      <c r="D13" s="614">
        <f>IF(B9="2013-14", GETPIVOTDATA("Sum of Retained Full-time",agepivot!$A$3,"Age Range","30-39"), GETPIVOTDATA("Sum of Retained Full-time",agepivot!$A$3,"Age Range","25-29"))</f>
        <v>0</v>
      </c>
      <c r="E13" s="614">
        <f>IF(B9="2013-14", GETPIVOTDATA("Sum of Control",agepivot!$A$3,"Age Range","30-39"), GETPIVOTDATA("Sum of Control",agepivot!$A$3,"Age Range","25-29"))</f>
        <v>23</v>
      </c>
      <c r="F13" s="614">
        <f>IF(B9="2013-14", GETPIVOTDATA("Sum of Support Staff",agepivot!$A$3,"Age Range","30-39"), GETPIVOTDATA("Sum of Support Staff",agepivot!$A$3,"Age Range","25-29"))</f>
        <v>45</v>
      </c>
      <c r="G13" s="614">
        <f>IF(B9="2013-14", GETPIVOTDATA("Sum of Volunteer",agepivot!$A$3,"Age Range","30-39"), GETPIVOTDATA("Sum of Volunteer",agepivot!$A$3,"Age Range","25-29"))</f>
        <v>15</v>
      </c>
      <c r="H13" s="615">
        <f>SUM(B13:G13)</f>
        <v>586</v>
      </c>
      <c r="I13" s="615">
        <f t="shared" si="1"/>
        <v>571</v>
      </c>
    </row>
    <row r="14" spans="1:9" x14ac:dyDescent="0.25">
      <c r="A14" s="697" t="str">
        <f>IF(agepivot!$B$1="2013-14", "40-44", "30-34")</f>
        <v>30-34</v>
      </c>
      <c r="B14" s="614">
        <f>IF(B9="2013-14", GETPIVOTDATA("Sum of Wholetime Operational",agepivot!$A$3,"Age Range","40-44"), GETPIVOTDATA("Sum of Wholetime Operational",agepivot!$A$3,"Age Range","30-34"))</f>
        <v>493</v>
      </c>
      <c r="C14" s="614">
        <f>IF(B9="2013-14", GETPIVOTDATA("Sum of Retained Duty System",agepivot!$A$3,"Age Range","40-44"), GETPIVOTDATA("Sum of Retained Duty System",agepivot!$A$3,"Age Range","30-34"))</f>
        <v>391</v>
      </c>
      <c r="D14" s="614">
        <f>IF(B9="2013-14", GETPIVOTDATA("Sum of Retained Full-time",agepivot!$A$3,"Age Range","40-44"), GETPIVOTDATA("Sum of Retained Full-time",agepivot!$A$3,"Age Range","30-34"))</f>
        <v>3</v>
      </c>
      <c r="E14" s="614">
        <f>IF(B9="2013-14", GETPIVOTDATA("Sum of Control",agepivot!$A$3,"Age Range","40-44"), GETPIVOTDATA("Sum of Control",agepivot!$A$3,"Age Range","30-34"))</f>
        <v>25</v>
      </c>
      <c r="F14" s="614">
        <f>IF(B9="2013-14", GETPIVOTDATA("Sum of Support Staff",agepivot!$A$3,"Age Range","40-44"), GETPIVOTDATA("Sum of Support Staff",agepivot!$A$3,"Age Range","30-34"))</f>
        <v>73</v>
      </c>
      <c r="G14" s="614">
        <f>IF(B9="2013-14", GETPIVOTDATA("Sum of Volunteer",agepivot!$A$3,"Age Range","40-44"), GETPIVOTDATA("Sum of Volunteer",agepivot!$A$3,"Age Range","30-34"))</f>
        <v>16</v>
      </c>
      <c r="H14" s="615">
        <f t="shared" si="0"/>
        <v>1001</v>
      </c>
      <c r="I14" s="615">
        <f t="shared" si="1"/>
        <v>985</v>
      </c>
    </row>
    <row r="15" spans="1:9" x14ac:dyDescent="0.25">
      <c r="A15" s="697" t="str">
        <f>IF(agepivot!$B$1="2013-14", "45-49", "35-39")</f>
        <v>35-39</v>
      </c>
      <c r="B15" s="614">
        <f>IF(B9="2013-14", GETPIVOTDATA("Sum of Wholetime Operational",agepivot!$A$3,"Age Range","45-49"), GETPIVOTDATA("Sum of Wholetime Operational",agepivot!$A$3,"Age Range","35-39"))</f>
        <v>520</v>
      </c>
      <c r="C15" s="614">
        <f>IF(B9="2013-14", GETPIVOTDATA("Sum of Retained Duty System",agepivot!$A$3,"Age Range","45-49"), GETPIVOTDATA("Sum of Retained Duty System",agepivot!$A$3,"Age Range","35-39"))</f>
        <v>425</v>
      </c>
      <c r="D15" s="614">
        <f>IF(B9="2013-14", GETPIVOTDATA("Sum of Retained Full-time",agepivot!$A$3,"Age Range","45-49"), GETPIVOTDATA("Sum of Retained Full-time",agepivot!$A$3,"Age Range","35-39"))</f>
        <v>5</v>
      </c>
      <c r="E15" s="614">
        <f>IF(B9="2013-14", GETPIVOTDATA("Sum of Control",agepivot!$A$3,"Age Range","45-49"), GETPIVOTDATA("Sum of Control",agepivot!$A$3,"Age Range","35-39"))</f>
        <v>32</v>
      </c>
      <c r="F15" s="614">
        <f>IF(B9="2013-14", GETPIVOTDATA("Sum of Support Staff",agepivot!$A$3,"Age Range","45-49"), GETPIVOTDATA("Sum of Support Staff",agepivot!$A$3,"Age Range","35-39"))</f>
        <v>92</v>
      </c>
      <c r="G15" s="614">
        <f>IF(B9="2013-14", GETPIVOTDATA("Sum of Volunteer",agepivot!$A$3,"Age Range","45-49"), GETPIVOTDATA("Sum of Volunteer",agepivot!$A$3,"Age Range","35-39"))</f>
        <v>27</v>
      </c>
      <c r="H15" s="615">
        <f t="shared" si="0"/>
        <v>1101</v>
      </c>
      <c r="I15" s="615">
        <f t="shared" si="1"/>
        <v>1074</v>
      </c>
    </row>
    <row r="16" spans="1:9" x14ac:dyDescent="0.25">
      <c r="A16" s="697" t="str">
        <f>IF(agepivot!$B$1="2013-14", "50-54", "40-44")</f>
        <v>40-44</v>
      </c>
      <c r="B16" s="614">
        <f>IF(B9="2013-14", GETPIVOTDATA("Sum of Wholetime Operational",agepivot!$A$3,"Age Range","50-54"), GETPIVOTDATA("Sum of Wholetime Operational",agepivot!$A$3,"Age Range","40-44"))</f>
        <v>649</v>
      </c>
      <c r="C16" s="614">
        <f>IF(B9="2013-14", GETPIVOTDATA("Sum of Retained Duty System",agepivot!$A$3,"Age Range","50-54"), GETPIVOTDATA("Sum of Retained Duty System",agepivot!$A$3,"Age Range","40-44"))</f>
        <v>373</v>
      </c>
      <c r="D16" s="614">
        <f>IF(B9="2013-14", GETPIVOTDATA("Sum of Retained Full-time",agepivot!$A$3,"Age Range","50-54"), GETPIVOTDATA("Sum of Retained Full-time",agepivot!$A$3,"Age Range","40-44"))</f>
        <v>10</v>
      </c>
      <c r="E16" s="614">
        <f>IF(B9="2013-14", GETPIVOTDATA("Sum of Control",agepivot!$A$3,"Age Range","50-54"), GETPIVOTDATA("Sum of Control",agepivot!$A$3,"Age Range","40-44"))</f>
        <v>22</v>
      </c>
      <c r="F16" s="614">
        <f>IF(B9="2013-14", GETPIVOTDATA("Sum of Support Staff",agepivot!$A$3,"Age Range","50-54"), GETPIVOTDATA("Sum of Support Staff",agepivot!$A$3,"Age Range","40-44"))</f>
        <v>88</v>
      </c>
      <c r="G16" s="614">
        <f>IF(B9="2013-14", GETPIVOTDATA("Sum of Volunteer",agepivot!$A$3,"Age Range","50-54"), GETPIVOTDATA("Sum of Volunteer",agepivot!$A$3,"Age Range","40-44"))</f>
        <v>29</v>
      </c>
      <c r="H16" s="615">
        <f t="shared" si="0"/>
        <v>1171</v>
      </c>
      <c r="I16" s="615">
        <f t="shared" si="1"/>
        <v>1142</v>
      </c>
    </row>
    <row r="17" spans="1:9" x14ac:dyDescent="0.25">
      <c r="A17" s="697" t="str">
        <f>IF(agepivot!$B$1="2013-14", "55-65", "45-49")</f>
        <v>45-49</v>
      </c>
      <c r="B17" s="614">
        <f>IF(B9="2013-14", GETPIVOTDATA("Sum of Wholetime Operational",agepivot!$A$3,"Age Range","55-65"), GETPIVOTDATA("Sum of Wholetime Operational",agepivot!$A$3,"Age Range","45-49"))</f>
        <v>691</v>
      </c>
      <c r="C17" s="614">
        <f>IF(B9="2013-14", GETPIVOTDATA("Sum of Retained Duty System",agepivot!$A$3,"Age Range","55-65"), GETPIVOTDATA("Sum of Retained Duty System",agepivot!$A$3,"Age Range","45-49"))</f>
        <v>314</v>
      </c>
      <c r="D17" s="614">
        <f>IF(B9="2013-14", GETPIVOTDATA("Sum of Retained Full-time",agepivot!$A$3,"Age Range","55-65"), GETPIVOTDATA("Sum of Retained Full-time",agepivot!$A$3,"Age Range","45-49"))</f>
        <v>3</v>
      </c>
      <c r="E17" s="614">
        <f>IF(B9="2013-14", GETPIVOTDATA("Sum of Control",agepivot!$A$3,"Age Range","55-65"), GETPIVOTDATA("Sum of Control",agepivot!$A$3,"Age Range","45-49"))</f>
        <v>14</v>
      </c>
      <c r="F17" s="614">
        <f>IF(B9="2013-14", GETPIVOTDATA("Sum of Support Staff",agepivot!$A$3,"Age Range","55-65"), GETPIVOTDATA("Sum of Support Staff",agepivot!$A$3,"Age Range","45-49"))</f>
        <v>104</v>
      </c>
      <c r="G17" s="614">
        <f>IF(B9="2013-14", GETPIVOTDATA("Sum of Volunteer",agepivot!$A$3,"Age Range","55-65"), GETPIVOTDATA("Sum of Volunteer",agepivot!$A$3,"Age Range","45-49"))</f>
        <v>27</v>
      </c>
      <c r="H17" s="615">
        <f t="shared" si="0"/>
        <v>1153</v>
      </c>
      <c r="I17" s="615">
        <f t="shared" si="1"/>
        <v>1126</v>
      </c>
    </row>
    <row r="18" spans="1:9" x14ac:dyDescent="0.25">
      <c r="A18" s="697" t="str">
        <f>IF(agepivot!$B$1="2013-14", "&gt;66", "50-54")</f>
        <v>50-54</v>
      </c>
      <c r="B18" s="614">
        <f>IF(B9="2013-14", GETPIVOTDATA("Sum of Wholetime Operational",agepivot!$A$3,"Age Range","66 and over"), GETPIVOTDATA("Sum of Wholetime Operational",agepivot!$A$3,"Age Range","50-54"))</f>
        <v>579</v>
      </c>
      <c r="C18" s="614">
        <f>IF(B9="2013-14", GETPIVOTDATA("Sum of Retained Duty System",agepivot!$A$3,"Age Range","66 and over"), GETPIVOTDATA("Sum of Retained Duty System",agepivot!$A$3,"Age Range","50-54"))</f>
        <v>319</v>
      </c>
      <c r="D18" s="614">
        <f>IF(B9="2013-14", GETPIVOTDATA("Sum of Retained Full-time",agepivot!$A$3,"Age Range","66 and over"), GETPIVOTDATA("Sum of Retained Full-time",agepivot!$A$3,"Age Range","50-54"))</f>
        <v>8</v>
      </c>
      <c r="E18" s="614">
        <f>IF(B9="2013-14", GETPIVOTDATA("Sum of Control",agepivot!$A$3,"Age Range","66 and over"), GETPIVOTDATA("Sum of Control",agepivot!$A$3,"Age Range","50-54"))</f>
        <v>25</v>
      </c>
      <c r="F18" s="614">
        <f>IF(B9="2013-14", GETPIVOTDATA("Sum of Support Staff",agepivot!$A$3,"Age Range","66 and over"), GETPIVOTDATA("Sum of Support Staff",agepivot!$A$3,"Age Range","50-54"))</f>
        <v>145</v>
      </c>
      <c r="G18" s="614">
        <f>IF(B9="2013-14", GETPIVOTDATA("Sum of Volunteer",agepivot!$A$3,"Age Range","66 and over"), GETPIVOTDATA("Sum of Volunteer",agepivot!$A$3,"Age Range","50-54"))</f>
        <v>56</v>
      </c>
      <c r="H18" s="615">
        <f t="shared" si="0"/>
        <v>1132</v>
      </c>
      <c r="I18" s="615">
        <f t="shared" si="1"/>
        <v>1076</v>
      </c>
    </row>
    <row r="19" spans="1:9" x14ac:dyDescent="0.25">
      <c r="A19" s="697" t="str">
        <f>IF(agepivot!$B$1="2013-14", "", "55-59")</f>
        <v>55-59</v>
      </c>
      <c r="B19" s="614">
        <f>IF(B9="2013-14", "", GETPIVOTDATA("Sum of Wholetime Operational",agepivot!$A$3,"Age Range","55-59"))</f>
        <v>182</v>
      </c>
      <c r="C19" s="614">
        <f>IF(B9="2013-14", "", GETPIVOTDATA("Sum of Retained Duty System",agepivot!$A$3,"Age Range","55-59"))</f>
        <v>316</v>
      </c>
      <c r="D19" s="614">
        <f>IF(B9="2013-14", "", GETPIVOTDATA("Sum of Retained Full-time",agepivot!$A$3,"Age Range","55-59"))</f>
        <v>18</v>
      </c>
      <c r="E19" s="614">
        <f>IF(B9="2013-14", "", GETPIVOTDATA("Sum of Control",agepivot!$A$3,"Age Range","55-59"))</f>
        <v>18</v>
      </c>
      <c r="F19" s="614">
        <f>IF(B9="2013-14", "", GETPIVOTDATA("Sum of Support Staff",agepivot!$A$3,"Age Range","55-59"))</f>
        <v>164</v>
      </c>
      <c r="G19" s="614">
        <f>IF(B9="2013-14", "", GETPIVOTDATA("Sum of Volunteer",agepivot!$A$3,"Age Range","55-59"))</f>
        <v>56</v>
      </c>
      <c r="H19" s="615">
        <f t="shared" si="0"/>
        <v>754</v>
      </c>
      <c r="I19" s="624">
        <f>IFERROR(H19-G19, "-")</f>
        <v>698</v>
      </c>
    </row>
    <row r="20" spans="1:9" x14ac:dyDescent="0.25">
      <c r="A20" s="697" t="str">
        <f>IF(agepivot!$B$1="2013-14", "", "60-64")</f>
        <v>60-64</v>
      </c>
      <c r="B20" s="614">
        <f>IF(B9="2013-14", "", GETPIVOTDATA("Sum of Wholetime Operational",agepivot!$A$3,"Age Range","60-64"))</f>
        <v>24</v>
      </c>
      <c r="C20" s="614">
        <f>IF(B9="2013-14", "", GETPIVOTDATA("Sum of Retained Duty System",agepivot!$A$3,"Age Range","60-64"))</f>
        <v>127</v>
      </c>
      <c r="D20" s="614">
        <f>IF(B9="2013-14", "", GETPIVOTDATA("Sum of Retained Full-time",agepivot!$A$3,"Age Range","60-64"))</f>
        <v>8</v>
      </c>
      <c r="E20" s="614">
        <f>IF(B9="2013-14", "", GETPIVOTDATA("Sum of Control",agepivot!$A$3,"Age Range","60-64"))</f>
        <v>7</v>
      </c>
      <c r="F20" s="614">
        <f>IF(B9="2013-14", "", GETPIVOTDATA("Sum of Support Staff",agepivot!$A$3,"Age Range","60-64"))</f>
        <v>108</v>
      </c>
      <c r="G20" s="614">
        <f>IF(B9="2013-14", "", GETPIVOTDATA("Sum of Volunteer",agepivot!$A$3,"Age Range","60-64"))</f>
        <v>23</v>
      </c>
      <c r="H20" s="615">
        <f t="shared" si="0"/>
        <v>297</v>
      </c>
      <c r="I20" s="624">
        <f t="shared" ref="I20:I22" si="2">IFERROR(H20-G20, "-")</f>
        <v>274</v>
      </c>
    </row>
    <row r="21" spans="1:9" x14ac:dyDescent="0.25">
      <c r="A21" s="697" t="str">
        <f>IF(agepivot!$B$1="2013-14", "", "65-69")</f>
        <v>65-69</v>
      </c>
      <c r="B21" s="614">
        <f>IF(B9="2013-14", "", GETPIVOTDATA("Sum of Wholetime Operational",agepivot!$A$3,"Age Range","65-69"))</f>
        <v>2</v>
      </c>
      <c r="C21" s="614">
        <f>IF(B9="2013-14", "", GETPIVOTDATA("Sum of Retained Duty System",agepivot!$A$3,"Age Range","65-69"))</f>
        <v>29</v>
      </c>
      <c r="D21" s="614">
        <f>IF(B9="2013-14", "", GETPIVOTDATA("Sum of Retained Full-time",agepivot!$A$3,"Age Range","65-69"))</f>
        <v>0</v>
      </c>
      <c r="E21" s="614">
        <f>IF(B9="2013-14", "", GETPIVOTDATA("Sum of Control",agepivot!$A$3,"Age Range","65-69"))</f>
        <v>0</v>
      </c>
      <c r="F21" s="614">
        <f>IF(B9="2013-14", "", GETPIVOTDATA("Sum of Support Staff",agepivot!$A$3,"Age Range","65-69"))</f>
        <v>45</v>
      </c>
      <c r="G21" s="614">
        <f>IF(B9="2013-14", "", GETPIVOTDATA("Sum of Volunteer",agepivot!$A$3,"Age Range","65-69"))</f>
        <v>11</v>
      </c>
      <c r="H21" s="615">
        <f t="shared" si="0"/>
        <v>87</v>
      </c>
      <c r="I21" s="624">
        <f t="shared" si="2"/>
        <v>76</v>
      </c>
    </row>
    <row r="22" spans="1:9" x14ac:dyDescent="0.25">
      <c r="A22" s="697" t="str">
        <f>IF(agepivot!$B$1="2013-14", "", "70-74")</f>
        <v>70-74</v>
      </c>
      <c r="B22" s="614">
        <f>IF(B9="2013-14", "", GETPIVOTDATA("Sum of Wholetime Operational",agepivot!$A$3,"Age Range","70-74"))</f>
        <v>0</v>
      </c>
      <c r="C22" s="614">
        <f>IF(B9="2013-14", "", GETPIVOTDATA("Sum of Retained Duty System",agepivot!$A$3,"Age Range","70-74"))</f>
        <v>6</v>
      </c>
      <c r="D22" s="614">
        <f>IF(B9="2013-14", "", GETPIVOTDATA("Sum of Retained Full-time",agepivot!$A$3,"Age Range","70-74"))</f>
        <v>0</v>
      </c>
      <c r="E22" s="614">
        <f>IF(B9="2013-14", "", GETPIVOTDATA("Sum of Control",agepivot!$A$3,"Age Range","70-74"))</f>
        <v>0</v>
      </c>
      <c r="F22" s="614">
        <f>IF(B9="2013-14", "", GETPIVOTDATA("Sum of Support Staff",agepivot!$A$3,"Age Range","70-74"))</f>
        <v>6</v>
      </c>
      <c r="G22" s="614">
        <f>IF(B9="2013-14", "", GETPIVOTDATA("Sum of Volunteer",agepivot!$A$3,"Age Range","70-74"))</f>
        <v>4</v>
      </c>
      <c r="H22" s="615">
        <f t="shared" si="0"/>
        <v>16</v>
      </c>
      <c r="I22" s="624">
        <f t="shared" si="2"/>
        <v>12</v>
      </c>
    </row>
    <row r="23" spans="1:9" x14ac:dyDescent="0.25">
      <c r="A23" s="697" t="str">
        <f>IF(agepivot!$B$1="2013-14", "", "&gt;75")</f>
        <v>&gt;75</v>
      </c>
      <c r="B23" s="623">
        <f>IFERROR(IF(B10="2013-14", "", GETPIVOTDATA("Sum of Wholetime Operational",agepivot!$A$3,"Age Range","Over 75")),"-")</f>
        <v>0</v>
      </c>
      <c r="C23" s="623">
        <f>IFERROR(IF(B10="2013-14", "", GETPIVOTDATA("Sum of Retained Duty System",agepivot!$A$3,"Age Range","Over 75")),"-")</f>
        <v>0</v>
      </c>
      <c r="D23" s="623">
        <f>IFERROR(IF(B10="2013-14", "", GETPIVOTDATA("Sum of Retained Full-time",agepivot!$A$3,"Age Range","Over 75")),"-")</f>
        <v>0</v>
      </c>
      <c r="E23" s="623" t="str">
        <f>IFERROR(IF(B10="2013-14", "", GETPIVOTDATA("Sum of Control",agepivot!$A$3,"Value","Over 75")), "-")</f>
        <v>-</v>
      </c>
      <c r="F23" s="623">
        <f>IFERROR(IF(B10="2013-14", "", GETPIVOTDATA("Sum of Support Staff",agepivot!$A$3,"Age Range","Over 75")),"-")</f>
        <v>1</v>
      </c>
      <c r="G23" s="623">
        <f>IFERROR(IF(B10="2013-14", "", GETPIVOTDATA("Sum of Volunteer",agepivot!$A$3,"Age Range","Over 75")),"-")</f>
        <v>0</v>
      </c>
      <c r="H23" s="615">
        <f t="shared" ref="H23" si="3">SUM(B23:G23)</f>
        <v>1</v>
      </c>
      <c r="I23" s="624">
        <f t="shared" ref="I23" si="4">IFERROR(H23-G23, "-")</f>
        <v>1</v>
      </c>
    </row>
    <row r="24" spans="1:9" ht="15.75" thickBot="1" x14ac:dyDescent="0.3">
      <c r="A24" s="157" t="s">
        <v>731</v>
      </c>
      <c r="B24" s="693">
        <f>SUM(B11:B23)</f>
        <v>3422</v>
      </c>
      <c r="C24" s="693">
        <f t="shared" ref="C24:G24" si="5">SUM(C11:C23)</f>
        <v>2708</v>
      </c>
      <c r="D24" s="693">
        <f t="shared" si="5"/>
        <v>55</v>
      </c>
      <c r="E24" s="693">
        <f t="shared" si="5"/>
        <v>171</v>
      </c>
      <c r="F24" s="693">
        <f t="shared" si="5"/>
        <v>887</v>
      </c>
      <c r="G24" s="693">
        <f t="shared" si="5"/>
        <v>269</v>
      </c>
      <c r="H24" s="693">
        <f>SUM(B24:G24)</f>
        <v>7512</v>
      </c>
      <c r="I24" s="693">
        <f t="shared" si="1"/>
        <v>7243</v>
      </c>
    </row>
    <row r="25" spans="1:9" x14ac:dyDescent="0.25">
      <c r="A25" s="6"/>
      <c r="B25" s="41"/>
      <c r="C25" s="41"/>
      <c r="D25" s="41"/>
      <c r="E25" s="41"/>
      <c r="F25" s="41"/>
      <c r="G25" s="41"/>
      <c r="H25" s="41"/>
      <c r="I25" s="41"/>
    </row>
    <row r="26" spans="1:9" x14ac:dyDescent="0.25">
      <c r="A26" s="341" t="s">
        <v>8</v>
      </c>
      <c r="B26" s="342"/>
      <c r="C26" s="342"/>
      <c r="D26" s="342"/>
      <c r="E26" s="342"/>
      <c r="F26" s="342"/>
      <c r="G26" s="342"/>
      <c r="H26" s="343"/>
      <c r="I26" s="343"/>
    </row>
    <row r="27" spans="1:9" ht="15" customHeight="1" x14ac:dyDescent="0.25">
      <c r="A27" t="s">
        <v>916</v>
      </c>
      <c r="H27" s="343"/>
      <c r="I27" s="343"/>
    </row>
    <row r="28" spans="1:9" x14ac:dyDescent="0.25">
      <c r="A28" t="s">
        <v>220</v>
      </c>
      <c r="B28" s="342"/>
      <c r="C28" s="342"/>
      <c r="D28" s="342"/>
      <c r="E28" s="342"/>
      <c r="F28" s="342"/>
      <c r="G28" s="342"/>
      <c r="H28" s="343"/>
      <c r="I28" s="343"/>
    </row>
    <row r="29" spans="1:9" x14ac:dyDescent="0.25">
      <c r="A29" t="s">
        <v>730</v>
      </c>
      <c r="B29" s="159"/>
      <c r="C29" s="159"/>
      <c r="D29" s="159"/>
      <c r="E29" s="159"/>
      <c r="F29" s="159"/>
      <c r="G29" s="159"/>
      <c r="H29" s="23"/>
      <c r="I29" s="23"/>
    </row>
    <row r="30" spans="1:9" x14ac:dyDescent="0.25">
      <c r="A30" s="15"/>
      <c r="B30" s="159"/>
      <c r="C30" s="159"/>
      <c r="D30" s="159"/>
      <c r="E30" s="159"/>
      <c r="F30" s="159"/>
      <c r="G30" s="159"/>
      <c r="H30" s="23"/>
      <c r="I30" s="23"/>
    </row>
    <row r="31" spans="1:9" ht="15.75" customHeight="1" x14ac:dyDescent="0.25">
      <c r="A31" s="1004" t="s">
        <v>465</v>
      </c>
      <c r="B31" s="1004"/>
      <c r="C31" s="1004"/>
      <c r="D31" s="1004"/>
      <c r="E31" s="1004"/>
      <c r="F31" s="1004"/>
      <c r="G31" s="1004"/>
      <c r="H31" s="1004"/>
      <c r="I31" s="1004"/>
    </row>
    <row r="32" spans="1:9" ht="15.75" customHeight="1" x14ac:dyDescent="0.25">
      <c r="A32" t="s">
        <v>328</v>
      </c>
      <c r="B32" t="s">
        <v>683</v>
      </c>
      <c r="C32" s="232"/>
      <c r="D32" s="232"/>
      <c r="E32" s="232"/>
      <c r="F32" s="232"/>
      <c r="G32" s="232"/>
      <c r="H32" s="232"/>
      <c r="I32" s="232"/>
    </row>
    <row r="33" spans="1:9" ht="15.75" customHeight="1" x14ac:dyDescent="0.25">
      <c r="A33" t="s">
        <v>329</v>
      </c>
      <c r="B33" t="s">
        <v>331</v>
      </c>
      <c r="C33" s="232"/>
      <c r="D33" s="232"/>
      <c r="E33" s="232"/>
      <c r="F33" s="232"/>
      <c r="G33" s="232"/>
      <c r="H33" s="232"/>
      <c r="I33" s="232"/>
    </row>
    <row r="34" spans="1:9" ht="15.75" customHeight="1" x14ac:dyDescent="0.25">
      <c r="A34" t="s">
        <v>330</v>
      </c>
      <c r="B34" t="s">
        <v>332</v>
      </c>
      <c r="C34" s="232"/>
      <c r="D34" s="232"/>
      <c r="E34" s="232"/>
      <c r="F34" s="232"/>
      <c r="G34" s="232"/>
      <c r="H34" s="232"/>
      <c r="I34" s="232"/>
    </row>
    <row r="35" spans="1:9" ht="39" x14ac:dyDescent="0.25">
      <c r="A35" s="16" t="s">
        <v>199</v>
      </c>
      <c r="B35" s="160" t="s">
        <v>85</v>
      </c>
      <c r="C35" s="160" t="s">
        <v>28</v>
      </c>
      <c r="D35" s="154" t="s">
        <v>831</v>
      </c>
      <c r="E35" s="160" t="s">
        <v>2</v>
      </c>
      <c r="F35" s="160" t="s">
        <v>86</v>
      </c>
      <c r="G35" s="154" t="s">
        <v>29</v>
      </c>
      <c r="H35" s="160" t="s">
        <v>100</v>
      </c>
      <c r="I35" s="160" t="s">
        <v>98</v>
      </c>
    </row>
    <row r="36" spans="1:9" x14ac:dyDescent="0.25">
      <c r="A36" s="161" t="str">
        <f t="shared" ref="A36:A47" si="6">A11</f>
        <v>&lt;20</v>
      </c>
      <c r="B36" s="162">
        <f t="shared" ref="B36:C43" si="7">B11/B$24</f>
        <v>0</v>
      </c>
      <c r="C36" s="162">
        <f t="shared" si="7"/>
        <v>3.3234859675036928E-3</v>
      </c>
      <c r="D36" s="162">
        <f t="shared" ref="D36:D47" si="8">IFERROR(D11/D$24, "")</f>
        <v>0</v>
      </c>
      <c r="E36" s="162">
        <f t="shared" ref="E36:I36" si="9">E11/E$24</f>
        <v>0</v>
      </c>
      <c r="F36" s="162">
        <f t="shared" si="9"/>
        <v>3.3821871476888386E-3</v>
      </c>
      <c r="G36" s="162">
        <f t="shared" si="9"/>
        <v>0</v>
      </c>
      <c r="H36" s="162">
        <f t="shared" si="9"/>
        <v>1.5974440894568689E-3</v>
      </c>
      <c r="I36" s="162">
        <f t="shared" si="9"/>
        <v>1.6567720557779926E-3</v>
      </c>
    </row>
    <row r="37" spans="1:9" x14ac:dyDescent="0.25">
      <c r="A37" s="164" t="str">
        <f t="shared" si="6"/>
        <v>20-24</v>
      </c>
      <c r="B37" s="162">
        <f t="shared" si="7"/>
        <v>1.2565751022793687E-2</v>
      </c>
      <c r="C37" s="162">
        <f t="shared" si="7"/>
        <v>4.9852289512555388E-2</v>
      </c>
      <c r="D37" s="162">
        <f t="shared" si="8"/>
        <v>0</v>
      </c>
      <c r="E37" s="162">
        <f t="shared" ref="E37:I43" si="10">E12/E$24</f>
        <v>2.9239766081871343E-2</v>
      </c>
      <c r="F37" s="162">
        <f t="shared" si="10"/>
        <v>1.4656144306651634E-2</v>
      </c>
      <c r="G37" s="162">
        <f t="shared" si="10"/>
        <v>1.858736059479554E-2</v>
      </c>
      <c r="H37" s="162">
        <f t="shared" si="10"/>
        <v>2.6757188498402557E-2</v>
      </c>
      <c r="I37" s="162">
        <f t="shared" si="10"/>
        <v>2.7060610244373878E-2</v>
      </c>
    </row>
    <row r="38" spans="1:9" x14ac:dyDescent="0.25">
      <c r="A38" s="164" t="str">
        <f t="shared" si="6"/>
        <v>25-29</v>
      </c>
      <c r="B38" s="162">
        <f t="shared" si="7"/>
        <v>6.9842197545295151E-2</v>
      </c>
      <c r="C38" s="162">
        <f t="shared" si="7"/>
        <v>9.7488921713441659E-2</v>
      </c>
      <c r="D38" s="162">
        <f t="shared" si="8"/>
        <v>0</v>
      </c>
      <c r="E38" s="162">
        <f t="shared" si="10"/>
        <v>0.13450292397660818</v>
      </c>
      <c r="F38" s="162">
        <f t="shared" si="10"/>
        <v>5.0732807215332583E-2</v>
      </c>
      <c r="G38" s="162">
        <f t="shared" si="10"/>
        <v>5.5762081784386616E-2</v>
      </c>
      <c r="H38" s="162">
        <f t="shared" si="10"/>
        <v>7.8008519701810441E-2</v>
      </c>
      <c r="I38" s="162">
        <f t="shared" si="10"/>
        <v>7.8834736987436149E-2</v>
      </c>
    </row>
    <row r="39" spans="1:9" x14ac:dyDescent="0.25">
      <c r="A39" s="164" t="str">
        <f t="shared" si="6"/>
        <v>30-34</v>
      </c>
      <c r="B39" s="162">
        <f t="shared" si="7"/>
        <v>0.1440677966101695</v>
      </c>
      <c r="C39" s="162">
        <f t="shared" si="7"/>
        <v>0.14438700147710487</v>
      </c>
      <c r="D39" s="162">
        <f t="shared" si="8"/>
        <v>5.4545454545454543E-2</v>
      </c>
      <c r="E39" s="162">
        <f t="shared" si="10"/>
        <v>0.14619883040935672</v>
      </c>
      <c r="F39" s="162">
        <f t="shared" si="10"/>
        <v>8.2299887260428417E-2</v>
      </c>
      <c r="G39" s="162">
        <f t="shared" si="10"/>
        <v>5.9479553903345722E-2</v>
      </c>
      <c r="H39" s="162">
        <f t="shared" si="10"/>
        <v>0.1332534611288605</v>
      </c>
      <c r="I39" s="162">
        <f t="shared" si="10"/>
        <v>0.13599337291177688</v>
      </c>
    </row>
    <row r="40" spans="1:9" x14ac:dyDescent="0.25">
      <c r="A40" s="164" t="str">
        <f t="shared" si="6"/>
        <v>35-39</v>
      </c>
      <c r="B40" s="162">
        <f t="shared" si="7"/>
        <v>0.15195791934541203</v>
      </c>
      <c r="C40" s="162">
        <f t="shared" si="7"/>
        <v>0.15694239290989662</v>
      </c>
      <c r="D40" s="162">
        <f t="shared" si="8"/>
        <v>9.0909090909090912E-2</v>
      </c>
      <c r="E40" s="162">
        <f t="shared" si="10"/>
        <v>0.1871345029239766</v>
      </c>
      <c r="F40" s="162">
        <f t="shared" si="10"/>
        <v>0.10372040586245772</v>
      </c>
      <c r="G40" s="162">
        <f t="shared" si="10"/>
        <v>0.10037174721189591</v>
      </c>
      <c r="H40" s="162">
        <f t="shared" si="10"/>
        <v>0.14656549520766773</v>
      </c>
      <c r="I40" s="162">
        <f t="shared" si="10"/>
        <v>0.14828109899213032</v>
      </c>
    </row>
    <row r="41" spans="1:9" x14ac:dyDescent="0.25">
      <c r="A41" s="164" t="str">
        <f t="shared" si="6"/>
        <v>40-44</v>
      </c>
      <c r="B41" s="162">
        <f t="shared" si="7"/>
        <v>0.18965517241379309</v>
      </c>
      <c r="C41" s="162">
        <f t="shared" si="7"/>
        <v>0.13774002954209749</v>
      </c>
      <c r="D41" s="162">
        <f t="shared" si="8"/>
        <v>0.18181818181818182</v>
      </c>
      <c r="E41" s="162">
        <f t="shared" si="10"/>
        <v>0.12865497076023391</v>
      </c>
      <c r="F41" s="162">
        <f t="shared" si="10"/>
        <v>9.92108229988726E-2</v>
      </c>
      <c r="G41" s="162">
        <f t="shared" si="10"/>
        <v>0.10780669144981413</v>
      </c>
      <c r="H41" s="162">
        <f t="shared" si="10"/>
        <v>0.1558839190628328</v>
      </c>
      <c r="I41" s="162">
        <f t="shared" si="10"/>
        <v>0.1576694739748723</v>
      </c>
    </row>
    <row r="42" spans="1:9" x14ac:dyDescent="0.25">
      <c r="A42" s="164" t="str">
        <f t="shared" si="6"/>
        <v>45-49</v>
      </c>
      <c r="B42" s="162">
        <f t="shared" si="7"/>
        <v>0.20192869666861485</v>
      </c>
      <c r="C42" s="162">
        <f t="shared" si="7"/>
        <v>0.11595273264401773</v>
      </c>
      <c r="D42" s="162">
        <f t="shared" si="8"/>
        <v>5.4545454545454543E-2</v>
      </c>
      <c r="E42" s="162">
        <f t="shared" si="10"/>
        <v>8.1871345029239762E-2</v>
      </c>
      <c r="F42" s="162">
        <f t="shared" si="10"/>
        <v>0.11724915445321307</v>
      </c>
      <c r="G42" s="162">
        <f t="shared" si="10"/>
        <v>0.10037174721189591</v>
      </c>
      <c r="H42" s="162">
        <f t="shared" si="10"/>
        <v>0.1534877529286475</v>
      </c>
      <c r="I42" s="162">
        <f t="shared" si="10"/>
        <v>0.15546044456716829</v>
      </c>
    </row>
    <row r="43" spans="1:9" x14ac:dyDescent="0.25">
      <c r="A43" s="164" t="str">
        <f t="shared" si="6"/>
        <v>50-54</v>
      </c>
      <c r="B43" s="162">
        <f t="shared" si="7"/>
        <v>0.16919929865575686</v>
      </c>
      <c r="C43" s="162">
        <f t="shared" si="7"/>
        <v>0.11779911373707533</v>
      </c>
      <c r="D43" s="162">
        <f t="shared" si="8"/>
        <v>0.14545454545454545</v>
      </c>
      <c r="E43" s="162">
        <f t="shared" si="10"/>
        <v>0.14619883040935672</v>
      </c>
      <c r="F43" s="162">
        <f t="shared" si="10"/>
        <v>0.16347237880496054</v>
      </c>
      <c r="G43" s="162">
        <f t="shared" si="10"/>
        <v>0.20817843866171004</v>
      </c>
      <c r="H43" s="162">
        <f t="shared" si="10"/>
        <v>0.15069222577209798</v>
      </c>
      <c r="I43" s="162">
        <f t="shared" si="10"/>
        <v>0.14855722766809334</v>
      </c>
    </row>
    <row r="44" spans="1:9" x14ac:dyDescent="0.25">
      <c r="A44" s="164" t="str">
        <f t="shared" si="6"/>
        <v>55-59</v>
      </c>
      <c r="B44" s="162">
        <f t="shared" ref="B44:C47" si="11">IFERROR(B19/B$24, "")</f>
        <v>5.3185271770894216E-2</v>
      </c>
      <c r="C44" s="162">
        <f t="shared" si="11"/>
        <v>0.11669128508124077</v>
      </c>
      <c r="D44" s="162">
        <f t="shared" si="8"/>
        <v>0.32727272727272727</v>
      </c>
      <c r="E44" s="162">
        <f t="shared" ref="E44:G47" si="12">IFERROR(E19/E$24, "")</f>
        <v>0.10526315789473684</v>
      </c>
      <c r="F44" s="162">
        <f t="shared" si="12"/>
        <v>0.18489289740698986</v>
      </c>
      <c r="G44" s="162">
        <f t="shared" si="12"/>
        <v>0.20817843866171004</v>
      </c>
      <c r="H44" s="162">
        <f>IF(B9="2013-14", "", H19/H$24)</f>
        <v>0.10037273695420661</v>
      </c>
      <c r="I44" s="162">
        <f>IFERROR(I19/I$24, "")</f>
        <v>9.6368907911086571E-2</v>
      </c>
    </row>
    <row r="45" spans="1:9" x14ac:dyDescent="0.25">
      <c r="A45" s="164" t="str">
        <f t="shared" si="6"/>
        <v>60-64</v>
      </c>
      <c r="B45" s="162">
        <f t="shared" si="11"/>
        <v>7.0134424313267095E-3</v>
      </c>
      <c r="C45" s="162">
        <f t="shared" si="11"/>
        <v>4.6898079763663218E-2</v>
      </c>
      <c r="D45" s="162">
        <f t="shared" si="8"/>
        <v>0.14545454545454545</v>
      </c>
      <c r="E45" s="162">
        <f t="shared" si="12"/>
        <v>4.0935672514619881E-2</v>
      </c>
      <c r="F45" s="162">
        <f t="shared" si="12"/>
        <v>0.12175873731679819</v>
      </c>
      <c r="G45" s="162">
        <f t="shared" si="12"/>
        <v>8.5501858736059477E-2</v>
      </c>
      <c r="H45" s="162">
        <f>IF(B9="2013-14", "",  H20/H$24)</f>
        <v>3.9536741214057508E-2</v>
      </c>
      <c r="I45" s="162">
        <f>IFERROR(I20/I$24, "")</f>
        <v>3.7829628606930829E-2</v>
      </c>
    </row>
    <row r="46" spans="1:9" x14ac:dyDescent="0.25">
      <c r="A46" s="161" t="str">
        <f t="shared" si="6"/>
        <v>65-69</v>
      </c>
      <c r="B46" s="162">
        <f t="shared" si="11"/>
        <v>5.8445353594389242E-4</v>
      </c>
      <c r="C46" s="162">
        <f t="shared" si="11"/>
        <v>1.0709010339734121E-2</v>
      </c>
      <c r="D46" s="162">
        <f t="shared" si="8"/>
        <v>0</v>
      </c>
      <c r="E46" s="162">
        <f t="shared" si="12"/>
        <v>0</v>
      </c>
      <c r="F46" s="162">
        <f t="shared" si="12"/>
        <v>5.0732807215332583E-2</v>
      </c>
      <c r="G46" s="162">
        <f t="shared" si="12"/>
        <v>4.0892193308550186E-2</v>
      </c>
      <c r="H46" s="162">
        <f>IF(B9="2013-14", "", H21/H$24)</f>
        <v>1.15814696485623E-2</v>
      </c>
      <c r="I46" s="162">
        <f>IFERROR(I21/I$24, "")</f>
        <v>1.0492889686593954E-2</v>
      </c>
    </row>
    <row r="47" spans="1:9" x14ac:dyDescent="0.25">
      <c r="A47" s="161" t="str">
        <f t="shared" si="6"/>
        <v>70-74</v>
      </c>
      <c r="B47" s="162">
        <f t="shared" si="11"/>
        <v>0</v>
      </c>
      <c r="C47" s="162">
        <f t="shared" si="11"/>
        <v>2.2156573116691287E-3</v>
      </c>
      <c r="D47" s="162">
        <f t="shared" si="8"/>
        <v>0</v>
      </c>
      <c r="E47" s="162">
        <f t="shared" si="12"/>
        <v>0</v>
      </c>
      <c r="F47" s="162">
        <f t="shared" si="12"/>
        <v>6.7643742953776773E-3</v>
      </c>
      <c r="G47" s="162">
        <f t="shared" si="12"/>
        <v>1.4869888475836431E-2</v>
      </c>
      <c r="H47" s="162">
        <f>IF(B9="2013-14", "", H22/H$24)</f>
        <v>2.1299254526091589E-3</v>
      </c>
      <c r="I47" s="162">
        <f>IFERROR(I22/I$24, "")</f>
        <v>1.6567720557779926E-3</v>
      </c>
    </row>
    <row r="48" spans="1:9" x14ac:dyDescent="0.25">
      <c r="A48" s="824" t="str">
        <f>A23</f>
        <v>&gt;75</v>
      </c>
      <c r="B48" s="823" t="str">
        <f>IFERROR("0.0%", IF(B9="2013-14", B23/B24, "-"))</f>
        <v>0.0%</v>
      </c>
      <c r="C48" s="823" t="str">
        <f>IFERROR("0.0%", C23/C$24)</f>
        <v>0.0%</v>
      </c>
      <c r="D48" s="823" t="str">
        <f t="shared" ref="D48:I48" si="13">IFERROR("0.0%",D23/D$24)</f>
        <v>0.0%</v>
      </c>
      <c r="E48" s="823" t="str">
        <f t="shared" si="13"/>
        <v>0.0%</v>
      </c>
      <c r="F48" s="823" t="str">
        <f t="shared" si="13"/>
        <v>0.0%</v>
      </c>
      <c r="G48" s="823" t="str">
        <f t="shared" si="13"/>
        <v>0.0%</v>
      </c>
      <c r="H48" s="823" t="str">
        <f t="shared" si="13"/>
        <v>0.0%</v>
      </c>
      <c r="I48" s="823" t="str">
        <f t="shared" si="13"/>
        <v>0.0%</v>
      </c>
    </row>
    <row r="49" spans="1:9" ht="15.75" thickBot="1" x14ac:dyDescent="0.3">
      <c r="A49" s="165" t="s">
        <v>731</v>
      </c>
      <c r="B49" s="166">
        <f>SUM(B36:B48)</f>
        <v>1.0000000000000002</v>
      </c>
      <c r="C49" s="166">
        <f t="shared" ref="C49:I49" si="14">SUM(C36:C47)</f>
        <v>1</v>
      </c>
      <c r="D49" s="166">
        <f t="shared" si="14"/>
        <v>1</v>
      </c>
      <c r="E49" s="166">
        <f t="shared" si="14"/>
        <v>1</v>
      </c>
      <c r="F49" s="166">
        <f t="shared" si="14"/>
        <v>0.99887260428410374</v>
      </c>
      <c r="G49" s="166">
        <f t="shared" si="14"/>
        <v>1</v>
      </c>
      <c r="H49" s="166">
        <f t="shared" si="14"/>
        <v>0.99986687965921184</v>
      </c>
      <c r="I49" s="166">
        <f t="shared" si="14"/>
        <v>0.99986193566201831</v>
      </c>
    </row>
    <row r="50" spans="1:9" x14ac:dyDescent="0.25">
      <c r="A50" s="161"/>
      <c r="B50" s="167"/>
      <c r="C50" s="167"/>
      <c r="D50" s="167"/>
      <c r="E50" s="167"/>
      <c r="F50" s="167"/>
      <c r="G50" s="167"/>
      <c r="H50" s="168"/>
      <c r="I50" s="168"/>
    </row>
    <row r="51" spans="1:9" x14ac:dyDescent="0.25">
      <c r="A51" s="341" t="s">
        <v>8</v>
      </c>
      <c r="B51" s="342"/>
      <c r="C51" s="342"/>
      <c r="D51" s="342"/>
      <c r="E51" s="342"/>
      <c r="F51" s="342"/>
      <c r="G51" s="342"/>
      <c r="H51" s="343"/>
      <c r="I51" s="343"/>
    </row>
    <row r="52" spans="1:9" x14ac:dyDescent="0.25">
      <c r="A52" s="343" t="s">
        <v>220</v>
      </c>
      <c r="B52" s="342"/>
      <c r="C52" s="342"/>
      <c r="D52" s="342"/>
      <c r="E52" s="342"/>
      <c r="F52" s="342"/>
      <c r="G52" s="342"/>
      <c r="H52" s="343"/>
      <c r="I52" s="343"/>
    </row>
    <row r="53" spans="1:9" x14ac:dyDescent="0.25">
      <c r="A53" t="s">
        <v>730</v>
      </c>
      <c r="B53" s="159"/>
      <c r="C53" s="159"/>
      <c r="D53" s="159"/>
      <c r="E53" s="159"/>
      <c r="F53" s="159"/>
      <c r="G53" s="159"/>
      <c r="H53" s="23"/>
      <c r="I53" s="23"/>
    </row>
    <row r="54" spans="1:9" x14ac:dyDescent="0.25">
      <c r="A54" s="15"/>
      <c r="B54" s="159"/>
      <c r="C54" s="159"/>
      <c r="D54" s="159"/>
      <c r="E54" s="159"/>
      <c r="F54" s="159"/>
      <c r="G54" s="159"/>
      <c r="H54" s="23"/>
      <c r="I54" s="23"/>
    </row>
  </sheetData>
  <sheetProtection algorithmName="SHA-512" hashValue="L38Tl2qMcvPdXk+hS1Q/BRId0BdyRzWfMl4Ji3mKQVKTRM1/c5biyJoVhZWw3UqLgJJzfmriJLzJtaNIhZ/sSg==" saltValue="Sfu4jk0SlxPps6Z7wmQA5g==" spinCount="100000" sheet="1" scenarios="1" formatCells="0" sort="0" autoFilter="0" pivotTables="0"/>
  <mergeCells count="3">
    <mergeCell ref="A4:I4"/>
    <mergeCell ref="A31:I31"/>
    <mergeCell ref="A1:C1"/>
  </mergeCells>
  <hyperlinks>
    <hyperlink ref="A2" location="'Table of Contents'!A1" display="Back to Table of Contents" xr:uid="{00000000-0004-0000-6100-000000000000}"/>
  </hyperlinks>
  <pageMargins left="0.70866141732283472" right="0.70866141732283472" top="0.74803149606299213" bottom="0.74803149606299213" header="0.31496062992125984" footer="0.31496062992125984"/>
  <pageSetup paperSize="9" scale="81" orientation="portrait" r:id="rId1"/>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E36"/>
  <sheetViews>
    <sheetView workbookViewId="0">
      <selection activeCell="C9" sqref="C9"/>
    </sheetView>
  </sheetViews>
  <sheetFormatPr defaultRowHeight="15" x14ac:dyDescent="0.25"/>
  <cols>
    <col min="1" max="1" width="20.85546875" bestFit="1" customWidth="1"/>
    <col min="2" max="2" width="17.140625" bestFit="1" customWidth="1"/>
    <col min="3" max="3" width="15" bestFit="1" customWidth="1"/>
    <col min="4" max="4" width="15.85546875" bestFit="1" customWidth="1"/>
    <col min="5" max="5" width="11.42578125" bestFit="1" customWidth="1"/>
  </cols>
  <sheetData>
    <row r="1" spans="1:5" x14ac:dyDescent="0.25">
      <c r="A1" s="394" t="s">
        <v>1</v>
      </c>
      <c r="B1" t="s">
        <v>1108</v>
      </c>
    </row>
    <row r="3" spans="1:5" x14ac:dyDescent="0.25">
      <c r="A3" s="394" t="s">
        <v>231</v>
      </c>
      <c r="B3" t="s">
        <v>314</v>
      </c>
      <c r="C3" t="s">
        <v>315</v>
      </c>
      <c r="D3" t="s">
        <v>316</v>
      </c>
      <c r="E3" t="s">
        <v>237</v>
      </c>
    </row>
    <row r="4" spans="1:5" x14ac:dyDescent="0.25">
      <c r="A4" s="395" t="s">
        <v>31</v>
      </c>
      <c r="B4">
        <v>3</v>
      </c>
      <c r="C4">
        <v>1</v>
      </c>
      <c r="E4">
        <v>4</v>
      </c>
    </row>
    <row r="5" spans="1:5" x14ac:dyDescent="0.25">
      <c r="A5" s="395" t="s">
        <v>32</v>
      </c>
      <c r="B5">
        <v>1</v>
      </c>
      <c r="C5">
        <v>23</v>
      </c>
      <c r="E5">
        <v>24</v>
      </c>
    </row>
    <row r="6" spans="1:5" x14ac:dyDescent="0.25">
      <c r="A6" s="395" t="s">
        <v>33</v>
      </c>
      <c r="B6">
        <v>1</v>
      </c>
      <c r="C6">
        <v>5</v>
      </c>
      <c r="E6">
        <v>6</v>
      </c>
    </row>
    <row r="7" spans="1:5" x14ac:dyDescent="0.25">
      <c r="A7" s="395" t="s">
        <v>34</v>
      </c>
      <c r="B7">
        <v>2</v>
      </c>
      <c r="C7">
        <v>12</v>
      </c>
      <c r="D7">
        <v>25</v>
      </c>
      <c r="E7">
        <v>39</v>
      </c>
    </row>
    <row r="8" spans="1:5" x14ac:dyDescent="0.25">
      <c r="A8" s="395" t="s">
        <v>243</v>
      </c>
      <c r="B8">
        <v>7</v>
      </c>
      <c r="C8">
        <v>1</v>
      </c>
      <c r="E8">
        <v>8</v>
      </c>
    </row>
    <row r="9" spans="1:5" x14ac:dyDescent="0.25">
      <c r="A9" s="395" t="s">
        <v>35</v>
      </c>
      <c r="B9">
        <v>1</v>
      </c>
      <c r="C9">
        <v>1</v>
      </c>
      <c r="E9">
        <v>2</v>
      </c>
    </row>
    <row r="10" spans="1:5" x14ac:dyDescent="0.25">
      <c r="A10" s="395" t="s">
        <v>36</v>
      </c>
      <c r="B10">
        <v>1</v>
      </c>
      <c r="C10">
        <v>15</v>
      </c>
      <c r="D10">
        <v>1</v>
      </c>
      <c r="E10">
        <v>17</v>
      </c>
    </row>
    <row r="11" spans="1:5" x14ac:dyDescent="0.25">
      <c r="A11" s="395" t="s">
        <v>37</v>
      </c>
      <c r="B11">
        <v>4</v>
      </c>
      <c r="E11">
        <v>4</v>
      </c>
    </row>
    <row r="12" spans="1:5" x14ac:dyDescent="0.25">
      <c r="A12" s="395" t="s">
        <v>38</v>
      </c>
      <c r="B12">
        <v>1</v>
      </c>
      <c r="C12">
        <v>7</v>
      </c>
      <c r="E12">
        <v>8</v>
      </c>
    </row>
    <row r="13" spans="1:5" x14ac:dyDescent="0.25">
      <c r="A13" s="395" t="s">
        <v>39</v>
      </c>
      <c r="B13">
        <v>3</v>
      </c>
      <c r="E13">
        <v>3</v>
      </c>
    </row>
    <row r="14" spans="1:5" x14ac:dyDescent="0.25">
      <c r="A14" s="395" t="s">
        <v>40</v>
      </c>
      <c r="B14">
        <v>1</v>
      </c>
      <c r="C14">
        <v>5</v>
      </c>
      <c r="E14">
        <v>6</v>
      </c>
    </row>
    <row r="15" spans="1:5" x14ac:dyDescent="0.25">
      <c r="A15" s="395" t="s">
        <v>41</v>
      </c>
      <c r="B15">
        <v>2</v>
      </c>
      <c r="E15">
        <v>2</v>
      </c>
    </row>
    <row r="16" spans="1:5" x14ac:dyDescent="0.25">
      <c r="A16" s="395" t="s">
        <v>42</v>
      </c>
      <c r="B16">
        <v>3</v>
      </c>
      <c r="C16">
        <v>2</v>
      </c>
      <c r="E16">
        <v>5</v>
      </c>
    </row>
    <row r="17" spans="1:5" x14ac:dyDescent="0.25">
      <c r="A17" s="395" t="s">
        <v>43</v>
      </c>
      <c r="B17">
        <v>5</v>
      </c>
      <c r="C17">
        <v>8</v>
      </c>
      <c r="E17">
        <v>13</v>
      </c>
    </row>
    <row r="18" spans="1:5" x14ac:dyDescent="0.25">
      <c r="A18" s="395" t="s">
        <v>117</v>
      </c>
      <c r="B18">
        <v>11</v>
      </c>
      <c r="E18">
        <v>11</v>
      </c>
    </row>
    <row r="19" spans="1:5" x14ac:dyDescent="0.25">
      <c r="A19" s="395" t="s">
        <v>44</v>
      </c>
      <c r="B19">
        <v>1</v>
      </c>
      <c r="C19">
        <v>51</v>
      </c>
      <c r="D19">
        <v>9</v>
      </c>
      <c r="E19">
        <v>61</v>
      </c>
    </row>
    <row r="20" spans="1:5" x14ac:dyDescent="0.25">
      <c r="A20" s="395" t="s">
        <v>45</v>
      </c>
      <c r="B20">
        <v>2</v>
      </c>
      <c r="C20">
        <v>1</v>
      </c>
      <c r="E20">
        <v>3</v>
      </c>
    </row>
    <row r="21" spans="1:5" x14ac:dyDescent="0.25">
      <c r="A21" s="395" t="s">
        <v>46</v>
      </c>
      <c r="B21">
        <v>1</v>
      </c>
      <c r="C21">
        <v>1</v>
      </c>
      <c r="E21">
        <v>2</v>
      </c>
    </row>
    <row r="22" spans="1:5" x14ac:dyDescent="0.25">
      <c r="A22" s="395" t="s">
        <v>47</v>
      </c>
      <c r="B22">
        <v>1</v>
      </c>
      <c r="C22">
        <v>10</v>
      </c>
      <c r="D22">
        <v>1</v>
      </c>
      <c r="E22">
        <v>12</v>
      </c>
    </row>
    <row r="23" spans="1:5" x14ac:dyDescent="0.25">
      <c r="A23" s="395" t="s">
        <v>48</v>
      </c>
      <c r="C23">
        <v>14</v>
      </c>
      <c r="E23">
        <v>14</v>
      </c>
    </row>
    <row r="24" spans="1:5" x14ac:dyDescent="0.25">
      <c r="A24" s="395" t="s">
        <v>49</v>
      </c>
      <c r="B24">
        <v>3</v>
      </c>
      <c r="C24">
        <v>8</v>
      </c>
      <c r="D24">
        <v>3</v>
      </c>
      <c r="E24">
        <v>14</v>
      </c>
    </row>
    <row r="25" spans="1:5" x14ac:dyDescent="0.25">
      <c r="A25" s="395" t="s">
        <v>50</v>
      </c>
      <c r="B25">
        <v>4</v>
      </c>
      <c r="C25">
        <v>3</v>
      </c>
      <c r="E25">
        <v>7</v>
      </c>
    </row>
    <row r="26" spans="1:5" x14ac:dyDescent="0.25">
      <c r="A26" s="395" t="s">
        <v>51</v>
      </c>
      <c r="C26">
        <v>12</v>
      </c>
      <c r="E26">
        <v>12</v>
      </c>
    </row>
    <row r="27" spans="1:5" x14ac:dyDescent="0.25">
      <c r="A27" s="395" t="s">
        <v>52</v>
      </c>
      <c r="B27">
        <v>1</v>
      </c>
      <c r="C27">
        <v>10</v>
      </c>
      <c r="D27">
        <v>3</v>
      </c>
      <c r="E27">
        <v>14</v>
      </c>
    </row>
    <row r="28" spans="1:5" x14ac:dyDescent="0.25">
      <c r="A28" s="395" t="s">
        <v>53</v>
      </c>
      <c r="B28">
        <v>3</v>
      </c>
      <c r="E28">
        <v>3</v>
      </c>
    </row>
    <row r="29" spans="1:5" x14ac:dyDescent="0.25">
      <c r="A29" s="395" t="s">
        <v>54</v>
      </c>
      <c r="B29">
        <v>2</v>
      </c>
      <c r="C29">
        <v>11</v>
      </c>
      <c r="E29">
        <v>13</v>
      </c>
    </row>
    <row r="30" spans="1:5" x14ac:dyDescent="0.25">
      <c r="A30" s="395" t="s">
        <v>55</v>
      </c>
      <c r="C30">
        <v>14</v>
      </c>
      <c r="E30">
        <v>14</v>
      </c>
    </row>
    <row r="31" spans="1:5" x14ac:dyDescent="0.25">
      <c r="A31" s="395" t="s">
        <v>56</v>
      </c>
      <c r="B31">
        <v>1</v>
      </c>
      <c r="C31">
        <v>4</v>
      </c>
      <c r="E31">
        <v>5</v>
      </c>
    </row>
    <row r="32" spans="1:5" x14ac:dyDescent="0.25">
      <c r="A32" s="395" t="s">
        <v>57</v>
      </c>
      <c r="B32">
        <v>4</v>
      </c>
      <c r="C32">
        <v>7</v>
      </c>
      <c r="E32">
        <v>12</v>
      </c>
    </row>
    <row r="33" spans="1:5" x14ac:dyDescent="0.25">
      <c r="A33" s="395" t="s">
        <v>58</v>
      </c>
      <c r="B33">
        <v>1</v>
      </c>
      <c r="C33">
        <v>9</v>
      </c>
      <c r="E33">
        <v>10</v>
      </c>
    </row>
    <row r="34" spans="1:5" x14ac:dyDescent="0.25">
      <c r="A34" s="395" t="s">
        <v>59</v>
      </c>
      <c r="B34">
        <v>2</v>
      </c>
      <c r="C34">
        <v>1</v>
      </c>
      <c r="E34">
        <v>3</v>
      </c>
    </row>
    <row r="35" spans="1:5" x14ac:dyDescent="0.25">
      <c r="A35" s="395" t="s">
        <v>60</v>
      </c>
      <c r="B35">
        <v>2</v>
      </c>
      <c r="C35">
        <v>4</v>
      </c>
      <c r="E35">
        <v>6</v>
      </c>
    </row>
    <row r="36" spans="1:5" x14ac:dyDescent="0.25">
      <c r="A36" s="395" t="s">
        <v>236</v>
      </c>
      <c r="B36">
        <v>74</v>
      </c>
      <c r="C36">
        <v>240</v>
      </c>
      <c r="D36">
        <v>42</v>
      </c>
      <c r="E36">
        <v>357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9" tint="0.39997558519241921"/>
  </sheetPr>
  <dimension ref="A1:F13"/>
  <sheetViews>
    <sheetView workbookViewId="0">
      <selection activeCell="B10" sqref="B10"/>
    </sheetView>
  </sheetViews>
  <sheetFormatPr defaultRowHeight="15" x14ac:dyDescent="0.25"/>
  <cols>
    <col min="1" max="1" width="12.42578125" bestFit="1" customWidth="1"/>
    <col min="2" max="2" width="27.140625" bestFit="1" customWidth="1"/>
    <col min="3" max="3" width="25.85546875" bestFit="1" customWidth="1"/>
    <col min="4" max="4" width="22.5703125" bestFit="1" customWidth="1"/>
    <col min="5" max="5" width="13.42578125" bestFit="1" customWidth="1"/>
    <col min="6" max="6" width="15.5703125" bestFit="1" customWidth="1"/>
  </cols>
  <sheetData>
    <row r="1" spans="1:6" x14ac:dyDescent="0.25">
      <c r="A1" s="394" t="s">
        <v>1</v>
      </c>
      <c r="B1" t="s">
        <v>1108</v>
      </c>
    </row>
    <row r="3" spans="1:6" x14ac:dyDescent="0.25">
      <c r="A3" s="394" t="s">
        <v>231</v>
      </c>
      <c r="B3" t="s">
        <v>977</v>
      </c>
      <c r="C3" t="s">
        <v>978</v>
      </c>
      <c r="D3" t="s">
        <v>979</v>
      </c>
      <c r="E3" t="s">
        <v>246</v>
      </c>
      <c r="F3" t="s">
        <v>316</v>
      </c>
    </row>
    <row r="4" spans="1:6" x14ac:dyDescent="0.25">
      <c r="A4" s="395" t="s">
        <v>174</v>
      </c>
      <c r="B4">
        <v>329</v>
      </c>
      <c r="C4">
        <v>399</v>
      </c>
      <c r="D4">
        <v>8</v>
      </c>
      <c r="E4">
        <v>19</v>
      </c>
      <c r="F4">
        <v>33</v>
      </c>
    </row>
    <row r="5" spans="1:6" x14ac:dyDescent="0.25">
      <c r="A5" s="395" t="s">
        <v>175</v>
      </c>
      <c r="B5">
        <v>812</v>
      </c>
      <c r="C5">
        <v>299</v>
      </c>
      <c r="D5">
        <v>12</v>
      </c>
      <c r="E5">
        <v>25</v>
      </c>
      <c r="F5">
        <v>35</v>
      </c>
    </row>
    <row r="6" spans="1:6" x14ac:dyDescent="0.25">
      <c r="A6" s="395" t="s">
        <v>101</v>
      </c>
      <c r="B6">
        <v>692</v>
      </c>
      <c r="C6">
        <v>275</v>
      </c>
      <c r="D6">
        <v>10</v>
      </c>
      <c r="E6">
        <v>14</v>
      </c>
      <c r="F6">
        <v>35</v>
      </c>
    </row>
    <row r="7" spans="1:6" x14ac:dyDescent="0.25">
      <c r="A7" s="395" t="s">
        <v>102</v>
      </c>
      <c r="B7">
        <v>342</v>
      </c>
      <c r="C7">
        <v>170</v>
      </c>
      <c r="D7">
        <v>6</v>
      </c>
      <c r="E7">
        <v>9</v>
      </c>
      <c r="F7">
        <v>22</v>
      </c>
    </row>
    <row r="8" spans="1:6" x14ac:dyDescent="0.25">
      <c r="A8" s="395" t="s">
        <v>103</v>
      </c>
      <c r="B8">
        <v>64</v>
      </c>
      <c r="C8">
        <v>138</v>
      </c>
      <c r="D8">
        <v>6</v>
      </c>
      <c r="E8">
        <v>10</v>
      </c>
      <c r="F8">
        <v>14</v>
      </c>
    </row>
    <row r="9" spans="1:6" x14ac:dyDescent="0.25">
      <c r="A9" s="395" t="s">
        <v>104</v>
      </c>
      <c r="B9">
        <v>8</v>
      </c>
      <c r="C9">
        <v>81</v>
      </c>
      <c r="D9">
        <v>8</v>
      </c>
      <c r="E9">
        <v>11</v>
      </c>
      <c r="F9">
        <v>13</v>
      </c>
    </row>
    <row r="10" spans="1:6" x14ac:dyDescent="0.25">
      <c r="A10" s="395" t="s">
        <v>173</v>
      </c>
      <c r="B10">
        <v>574</v>
      </c>
      <c r="C10">
        <v>604</v>
      </c>
      <c r="D10">
        <v>3</v>
      </c>
      <c r="E10">
        <v>46</v>
      </c>
      <c r="F10">
        <v>67</v>
      </c>
    </row>
    <row r="11" spans="1:6" x14ac:dyDescent="0.25">
      <c r="A11" s="395" t="s">
        <v>306</v>
      </c>
      <c r="B11">
        <v>4</v>
      </c>
      <c r="C11">
        <v>26</v>
      </c>
      <c r="D11">
        <v>1</v>
      </c>
      <c r="F11">
        <v>3</v>
      </c>
    </row>
    <row r="12" spans="1:6" x14ac:dyDescent="0.25">
      <c r="A12" s="395" t="s">
        <v>307</v>
      </c>
      <c r="B12">
        <v>597</v>
      </c>
      <c r="C12">
        <v>716</v>
      </c>
      <c r="D12">
        <v>1</v>
      </c>
      <c r="E12">
        <v>37</v>
      </c>
      <c r="F12">
        <v>47</v>
      </c>
    </row>
    <row r="13" spans="1:6" x14ac:dyDescent="0.25">
      <c r="A13" s="395" t="s">
        <v>236</v>
      </c>
      <c r="B13">
        <v>3422</v>
      </c>
      <c r="C13">
        <v>2708</v>
      </c>
      <c r="D13">
        <v>55</v>
      </c>
      <c r="E13">
        <v>171</v>
      </c>
      <c r="F13">
        <v>269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9" tint="0.39997558519241921"/>
  </sheetPr>
  <dimension ref="A1:G64"/>
  <sheetViews>
    <sheetView workbookViewId="0">
      <selection activeCell="C11" sqref="C11"/>
    </sheetView>
  </sheetViews>
  <sheetFormatPr defaultRowHeight="15" x14ac:dyDescent="0.25"/>
  <cols>
    <col min="1" max="1" width="7.42578125" bestFit="1" customWidth="1"/>
    <col min="2" max="2" width="22.140625" bestFit="1" customWidth="1"/>
    <col min="3" max="3" width="23.85546875" bestFit="1" customWidth="1"/>
    <col min="4" max="4" width="22.140625" bestFit="1" customWidth="1"/>
    <col min="5" max="5" width="19.42578125" bestFit="1" customWidth="1"/>
    <col min="6" max="6" width="9.5703125" bestFit="1" customWidth="1"/>
    <col min="7" max="7" width="11.85546875" bestFit="1" customWidth="1"/>
  </cols>
  <sheetData>
    <row r="1" spans="1:7" x14ac:dyDescent="0.25">
      <c r="A1" t="s">
        <v>1</v>
      </c>
      <c r="B1" t="s">
        <v>177</v>
      </c>
      <c r="C1" t="s">
        <v>27</v>
      </c>
      <c r="D1" t="s">
        <v>28</v>
      </c>
      <c r="E1" t="s">
        <v>831</v>
      </c>
      <c r="F1" t="s">
        <v>2</v>
      </c>
      <c r="G1" t="s">
        <v>29</v>
      </c>
    </row>
    <row r="2" spans="1:7" x14ac:dyDescent="0.25">
      <c r="A2" t="s">
        <v>760</v>
      </c>
      <c r="B2" t="s">
        <v>174</v>
      </c>
      <c r="C2">
        <v>742</v>
      </c>
      <c r="D2">
        <v>432</v>
      </c>
      <c r="E2">
        <v>10</v>
      </c>
      <c r="F2">
        <v>25</v>
      </c>
      <c r="G2">
        <v>41</v>
      </c>
    </row>
    <row r="3" spans="1:7" x14ac:dyDescent="0.25">
      <c r="A3" t="s">
        <v>760</v>
      </c>
      <c r="B3" t="s">
        <v>173</v>
      </c>
      <c r="C3">
        <v>330</v>
      </c>
      <c r="D3">
        <v>556</v>
      </c>
      <c r="E3">
        <v>5</v>
      </c>
      <c r="F3">
        <v>26</v>
      </c>
      <c r="G3">
        <v>55</v>
      </c>
    </row>
    <row r="4" spans="1:7" x14ac:dyDescent="0.25">
      <c r="A4" t="s">
        <v>760</v>
      </c>
      <c r="B4" t="s">
        <v>306</v>
      </c>
      <c r="C4">
        <v>4</v>
      </c>
      <c r="D4">
        <v>28</v>
      </c>
      <c r="F4">
        <v>7</v>
      </c>
      <c r="G4">
        <v>4</v>
      </c>
    </row>
    <row r="5" spans="1:7" x14ac:dyDescent="0.25">
      <c r="A5" t="s">
        <v>917</v>
      </c>
      <c r="B5" t="s">
        <v>103</v>
      </c>
      <c r="C5">
        <v>82</v>
      </c>
      <c r="D5">
        <v>155</v>
      </c>
      <c r="E5">
        <v>7</v>
      </c>
      <c r="F5">
        <v>21</v>
      </c>
      <c r="G5">
        <v>14</v>
      </c>
    </row>
    <row r="6" spans="1:7" x14ac:dyDescent="0.25">
      <c r="A6" t="s">
        <v>917</v>
      </c>
      <c r="B6" t="s">
        <v>173</v>
      </c>
      <c r="C6">
        <v>287</v>
      </c>
      <c r="D6">
        <v>532</v>
      </c>
      <c r="E6">
        <v>6</v>
      </c>
      <c r="F6">
        <v>39</v>
      </c>
      <c r="G6">
        <v>60</v>
      </c>
    </row>
    <row r="7" spans="1:7" x14ac:dyDescent="0.25">
      <c r="A7" t="s">
        <v>1108</v>
      </c>
      <c r="B7" t="s">
        <v>103</v>
      </c>
      <c r="C7">
        <v>64</v>
      </c>
      <c r="D7">
        <v>138</v>
      </c>
      <c r="E7">
        <v>6</v>
      </c>
      <c r="F7">
        <v>10</v>
      </c>
      <c r="G7">
        <v>14</v>
      </c>
    </row>
    <row r="8" spans="1:7" x14ac:dyDescent="0.25">
      <c r="A8" t="s">
        <v>240</v>
      </c>
      <c r="B8" t="s">
        <v>104</v>
      </c>
      <c r="C8">
        <v>7</v>
      </c>
      <c r="D8">
        <v>47</v>
      </c>
      <c r="F8">
        <v>11</v>
      </c>
      <c r="G8">
        <v>4</v>
      </c>
    </row>
    <row r="9" spans="1:7" x14ac:dyDescent="0.25">
      <c r="A9" t="s">
        <v>239</v>
      </c>
      <c r="B9" t="s">
        <v>102</v>
      </c>
      <c r="C9">
        <v>551</v>
      </c>
      <c r="D9">
        <v>246</v>
      </c>
      <c r="E9">
        <v>2</v>
      </c>
      <c r="F9">
        <v>19</v>
      </c>
      <c r="G9">
        <v>22</v>
      </c>
    </row>
    <row r="10" spans="1:7" x14ac:dyDescent="0.25">
      <c r="A10" t="s">
        <v>239</v>
      </c>
      <c r="B10" t="s">
        <v>103</v>
      </c>
      <c r="C10">
        <v>99</v>
      </c>
      <c r="D10">
        <v>155</v>
      </c>
      <c r="E10">
        <v>3</v>
      </c>
      <c r="F10">
        <v>19</v>
      </c>
      <c r="G10">
        <v>15</v>
      </c>
    </row>
    <row r="11" spans="1:7" x14ac:dyDescent="0.25">
      <c r="A11" t="s">
        <v>239</v>
      </c>
      <c r="B11" t="s">
        <v>104</v>
      </c>
      <c r="C11">
        <v>4</v>
      </c>
      <c r="D11">
        <v>52</v>
      </c>
      <c r="E11">
        <v>1</v>
      </c>
      <c r="F11">
        <v>9</v>
      </c>
      <c r="G11">
        <v>1</v>
      </c>
    </row>
    <row r="12" spans="1:7" x14ac:dyDescent="0.25">
      <c r="A12" t="s">
        <v>760</v>
      </c>
      <c r="B12" t="s">
        <v>175</v>
      </c>
      <c r="C12">
        <v>784</v>
      </c>
      <c r="D12">
        <v>395</v>
      </c>
      <c r="E12">
        <v>5</v>
      </c>
      <c r="F12">
        <v>23</v>
      </c>
      <c r="G12">
        <v>43</v>
      </c>
    </row>
    <row r="13" spans="1:7" x14ac:dyDescent="0.25">
      <c r="A13" t="s">
        <v>917</v>
      </c>
      <c r="B13" t="s">
        <v>175</v>
      </c>
      <c r="C13">
        <v>807</v>
      </c>
      <c r="D13">
        <v>376</v>
      </c>
      <c r="E13">
        <v>10</v>
      </c>
      <c r="F13">
        <v>23</v>
      </c>
      <c r="G13">
        <v>49</v>
      </c>
    </row>
    <row r="14" spans="1:7" x14ac:dyDescent="0.25">
      <c r="A14" t="s">
        <v>1010</v>
      </c>
      <c r="B14" t="s">
        <v>174</v>
      </c>
      <c r="C14">
        <v>620</v>
      </c>
      <c r="D14">
        <v>404</v>
      </c>
      <c r="E14">
        <v>8</v>
      </c>
      <c r="F14">
        <v>18</v>
      </c>
      <c r="G14">
        <v>34</v>
      </c>
    </row>
    <row r="15" spans="1:7" x14ac:dyDescent="0.25">
      <c r="A15" t="s">
        <v>1010</v>
      </c>
      <c r="B15" t="s">
        <v>306</v>
      </c>
      <c r="C15">
        <v>2</v>
      </c>
      <c r="D15">
        <v>26</v>
      </c>
      <c r="G15">
        <v>3</v>
      </c>
    </row>
    <row r="16" spans="1:7" x14ac:dyDescent="0.25">
      <c r="A16" t="s">
        <v>1010</v>
      </c>
      <c r="B16" t="s">
        <v>307</v>
      </c>
      <c r="C16">
        <v>617</v>
      </c>
      <c r="D16">
        <v>698</v>
      </c>
      <c r="E16">
        <v>2</v>
      </c>
      <c r="F16">
        <v>37</v>
      </c>
      <c r="G16">
        <v>54</v>
      </c>
    </row>
    <row r="17" spans="1:7" x14ac:dyDescent="0.25">
      <c r="A17" t="s">
        <v>1061</v>
      </c>
      <c r="B17" t="s">
        <v>103</v>
      </c>
      <c r="C17">
        <v>64</v>
      </c>
      <c r="D17">
        <v>155</v>
      </c>
      <c r="E17">
        <v>6</v>
      </c>
      <c r="F17">
        <v>10</v>
      </c>
      <c r="G17">
        <v>15</v>
      </c>
    </row>
    <row r="18" spans="1:7" x14ac:dyDescent="0.25">
      <c r="A18" t="s">
        <v>1108</v>
      </c>
      <c r="B18" t="s">
        <v>104</v>
      </c>
      <c r="C18">
        <v>8</v>
      </c>
      <c r="D18">
        <v>81</v>
      </c>
      <c r="E18">
        <v>8</v>
      </c>
      <c r="F18">
        <v>11</v>
      </c>
      <c r="G18">
        <v>13</v>
      </c>
    </row>
    <row r="19" spans="1:7" x14ac:dyDescent="0.25">
      <c r="A19" t="s">
        <v>240</v>
      </c>
      <c r="B19" t="s">
        <v>175</v>
      </c>
      <c r="C19">
        <v>789</v>
      </c>
      <c r="D19">
        <v>429</v>
      </c>
      <c r="F19">
        <v>22</v>
      </c>
      <c r="G19">
        <v>54</v>
      </c>
    </row>
    <row r="20" spans="1:7" x14ac:dyDescent="0.25">
      <c r="A20" t="s">
        <v>240</v>
      </c>
      <c r="B20" t="s">
        <v>101</v>
      </c>
      <c r="C20">
        <v>581</v>
      </c>
      <c r="D20">
        <v>272</v>
      </c>
      <c r="F20">
        <v>15</v>
      </c>
      <c r="G20">
        <v>23</v>
      </c>
    </row>
    <row r="21" spans="1:7" x14ac:dyDescent="0.25">
      <c r="A21" t="s">
        <v>240</v>
      </c>
      <c r="B21" t="s">
        <v>103</v>
      </c>
      <c r="C21">
        <v>109</v>
      </c>
      <c r="D21">
        <v>134</v>
      </c>
      <c r="F21">
        <v>16</v>
      </c>
      <c r="G21">
        <v>12</v>
      </c>
    </row>
    <row r="22" spans="1:7" x14ac:dyDescent="0.25">
      <c r="A22" t="s">
        <v>240</v>
      </c>
      <c r="B22" t="s">
        <v>306</v>
      </c>
      <c r="C22">
        <v>1</v>
      </c>
      <c r="D22">
        <v>22</v>
      </c>
      <c r="F22">
        <v>5</v>
      </c>
      <c r="G22">
        <v>2</v>
      </c>
    </row>
    <row r="23" spans="1:7" x14ac:dyDescent="0.25">
      <c r="A23" t="s">
        <v>760</v>
      </c>
      <c r="B23" t="s">
        <v>102</v>
      </c>
      <c r="C23">
        <v>516</v>
      </c>
      <c r="D23">
        <v>223</v>
      </c>
      <c r="E23">
        <v>3</v>
      </c>
      <c r="F23">
        <v>15</v>
      </c>
      <c r="G23">
        <v>21</v>
      </c>
    </row>
    <row r="24" spans="1:7" x14ac:dyDescent="0.25">
      <c r="A24" t="s">
        <v>1061</v>
      </c>
      <c r="B24" t="s">
        <v>174</v>
      </c>
      <c r="C24">
        <v>457</v>
      </c>
      <c r="D24">
        <v>404</v>
      </c>
      <c r="E24">
        <v>9</v>
      </c>
      <c r="F24">
        <v>17</v>
      </c>
      <c r="G24">
        <v>39</v>
      </c>
    </row>
    <row r="25" spans="1:7" x14ac:dyDescent="0.25">
      <c r="A25" t="s">
        <v>1108</v>
      </c>
      <c r="B25" t="s">
        <v>102</v>
      </c>
      <c r="C25">
        <v>342</v>
      </c>
      <c r="D25">
        <v>170</v>
      </c>
      <c r="E25">
        <v>6</v>
      </c>
      <c r="F25">
        <v>9</v>
      </c>
      <c r="G25">
        <v>22</v>
      </c>
    </row>
    <row r="26" spans="1:7" x14ac:dyDescent="0.25">
      <c r="A26" t="s">
        <v>1108</v>
      </c>
      <c r="B26" t="s">
        <v>173</v>
      </c>
      <c r="C26">
        <v>574</v>
      </c>
      <c r="D26">
        <v>604</v>
      </c>
      <c r="E26">
        <v>3</v>
      </c>
      <c r="F26">
        <v>46</v>
      </c>
      <c r="G26">
        <v>67</v>
      </c>
    </row>
    <row r="27" spans="1:7" x14ac:dyDescent="0.25">
      <c r="A27" t="s">
        <v>1108</v>
      </c>
      <c r="B27" t="s">
        <v>307</v>
      </c>
      <c r="C27">
        <v>597</v>
      </c>
      <c r="D27">
        <v>716</v>
      </c>
      <c r="E27">
        <v>1</v>
      </c>
      <c r="F27">
        <v>37</v>
      </c>
      <c r="G27">
        <v>47</v>
      </c>
    </row>
    <row r="28" spans="1:7" x14ac:dyDescent="0.25">
      <c r="A28" t="s">
        <v>240</v>
      </c>
      <c r="B28" t="s">
        <v>307</v>
      </c>
      <c r="C28">
        <v>213</v>
      </c>
      <c r="D28">
        <v>691</v>
      </c>
      <c r="F28">
        <v>56</v>
      </c>
      <c r="G28">
        <v>97</v>
      </c>
    </row>
    <row r="29" spans="1:7" x14ac:dyDescent="0.25">
      <c r="A29" t="s">
        <v>239</v>
      </c>
      <c r="B29" t="s">
        <v>306</v>
      </c>
      <c r="C29">
        <v>3</v>
      </c>
      <c r="D29">
        <v>23</v>
      </c>
      <c r="F29">
        <v>4</v>
      </c>
      <c r="G29">
        <v>4</v>
      </c>
    </row>
    <row r="30" spans="1:7" x14ac:dyDescent="0.25">
      <c r="A30" t="s">
        <v>917</v>
      </c>
      <c r="B30" t="s">
        <v>306</v>
      </c>
      <c r="C30">
        <v>2</v>
      </c>
      <c r="D30">
        <v>27</v>
      </c>
      <c r="F30">
        <v>3</v>
      </c>
      <c r="G30">
        <v>5</v>
      </c>
    </row>
    <row r="31" spans="1:7" x14ac:dyDescent="0.25">
      <c r="A31" t="s">
        <v>1061</v>
      </c>
      <c r="B31" t="s">
        <v>104</v>
      </c>
      <c r="C31">
        <v>6</v>
      </c>
      <c r="D31">
        <v>78</v>
      </c>
      <c r="E31">
        <v>8</v>
      </c>
      <c r="F31">
        <v>11</v>
      </c>
      <c r="G31">
        <v>10</v>
      </c>
    </row>
    <row r="32" spans="1:7" x14ac:dyDescent="0.25">
      <c r="A32" t="s">
        <v>1108</v>
      </c>
      <c r="B32" t="s">
        <v>174</v>
      </c>
      <c r="C32">
        <v>329</v>
      </c>
      <c r="D32">
        <v>399</v>
      </c>
      <c r="E32">
        <v>8</v>
      </c>
      <c r="F32">
        <v>19</v>
      </c>
      <c r="G32">
        <v>33</v>
      </c>
    </row>
    <row r="33" spans="1:7" x14ac:dyDescent="0.25">
      <c r="A33" t="s">
        <v>240</v>
      </c>
      <c r="B33" t="s">
        <v>174</v>
      </c>
      <c r="C33">
        <v>814</v>
      </c>
      <c r="D33">
        <v>434</v>
      </c>
      <c r="F33">
        <v>26</v>
      </c>
      <c r="G33">
        <v>51</v>
      </c>
    </row>
    <row r="34" spans="1:7" x14ac:dyDescent="0.25">
      <c r="A34" t="s">
        <v>239</v>
      </c>
      <c r="B34" t="s">
        <v>101</v>
      </c>
      <c r="C34">
        <v>589</v>
      </c>
      <c r="D34">
        <v>291</v>
      </c>
      <c r="E34">
        <v>3</v>
      </c>
      <c r="F34">
        <v>18</v>
      </c>
      <c r="G34">
        <v>25</v>
      </c>
    </row>
    <row r="35" spans="1:7" x14ac:dyDescent="0.25">
      <c r="A35" t="s">
        <v>239</v>
      </c>
      <c r="B35" t="s">
        <v>173</v>
      </c>
      <c r="C35">
        <v>325</v>
      </c>
      <c r="D35">
        <v>580</v>
      </c>
      <c r="E35">
        <v>1</v>
      </c>
      <c r="F35">
        <v>27</v>
      </c>
      <c r="G35">
        <v>53</v>
      </c>
    </row>
    <row r="36" spans="1:7" x14ac:dyDescent="0.25">
      <c r="A36" t="s">
        <v>760</v>
      </c>
      <c r="B36" t="s">
        <v>104</v>
      </c>
      <c r="C36">
        <v>5</v>
      </c>
      <c r="D36">
        <v>57</v>
      </c>
      <c r="E36">
        <v>3</v>
      </c>
      <c r="F36">
        <v>3</v>
      </c>
      <c r="G36">
        <v>2</v>
      </c>
    </row>
    <row r="37" spans="1:7" x14ac:dyDescent="0.25">
      <c r="A37" t="s">
        <v>1010</v>
      </c>
      <c r="B37" t="s">
        <v>103</v>
      </c>
      <c r="C37">
        <v>84</v>
      </c>
      <c r="D37">
        <v>159</v>
      </c>
      <c r="E37">
        <v>8</v>
      </c>
      <c r="F37">
        <v>19</v>
      </c>
      <c r="G37">
        <v>17</v>
      </c>
    </row>
    <row r="38" spans="1:7" x14ac:dyDescent="0.25">
      <c r="A38" t="s">
        <v>240</v>
      </c>
      <c r="B38" t="s">
        <v>102</v>
      </c>
      <c r="C38">
        <v>585</v>
      </c>
      <c r="D38">
        <v>262</v>
      </c>
      <c r="F38">
        <v>21</v>
      </c>
      <c r="G38">
        <v>25</v>
      </c>
    </row>
    <row r="39" spans="1:7" x14ac:dyDescent="0.25">
      <c r="A39" t="s">
        <v>239</v>
      </c>
      <c r="B39" t="s">
        <v>175</v>
      </c>
      <c r="C39">
        <v>781</v>
      </c>
      <c r="D39">
        <v>401</v>
      </c>
      <c r="E39">
        <v>4</v>
      </c>
      <c r="F39">
        <v>19</v>
      </c>
      <c r="G39">
        <v>54</v>
      </c>
    </row>
    <row r="40" spans="1:7" x14ac:dyDescent="0.25">
      <c r="A40" t="s">
        <v>239</v>
      </c>
      <c r="B40" t="s">
        <v>307</v>
      </c>
      <c r="C40">
        <v>406</v>
      </c>
      <c r="D40">
        <v>748</v>
      </c>
      <c r="E40">
        <v>1</v>
      </c>
      <c r="F40">
        <v>62</v>
      </c>
      <c r="G40">
        <v>96</v>
      </c>
    </row>
    <row r="41" spans="1:7" x14ac:dyDescent="0.25">
      <c r="A41" t="s">
        <v>760</v>
      </c>
      <c r="B41" t="s">
        <v>103</v>
      </c>
      <c r="C41">
        <v>78</v>
      </c>
      <c r="D41">
        <v>156</v>
      </c>
      <c r="E41">
        <v>4</v>
      </c>
      <c r="F41">
        <v>20</v>
      </c>
      <c r="G41">
        <v>16</v>
      </c>
    </row>
    <row r="42" spans="1:7" x14ac:dyDescent="0.25">
      <c r="A42" t="s">
        <v>917</v>
      </c>
      <c r="B42" t="s">
        <v>174</v>
      </c>
      <c r="C42">
        <v>652</v>
      </c>
      <c r="D42">
        <v>413</v>
      </c>
      <c r="E42">
        <v>13</v>
      </c>
      <c r="F42">
        <v>22</v>
      </c>
      <c r="G42">
        <v>35</v>
      </c>
    </row>
    <row r="43" spans="1:7" x14ac:dyDescent="0.25">
      <c r="A43" t="s">
        <v>917</v>
      </c>
      <c r="B43" t="s">
        <v>101</v>
      </c>
      <c r="C43">
        <v>656</v>
      </c>
      <c r="D43">
        <v>300</v>
      </c>
      <c r="E43">
        <v>5</v>
      </c>
      <c r="F43">
        <v>9</v>
      </c>
      <c r="G43">
        <v>36</v>
      </c>
    </row>
    <row r="44" spans="1:7" x14ac:dyDescent="0.25">
      <c r="A44" t="s">
        <v>1010</v>
      </c>
      <c r="B44" t="s">
        <v>175</v>
      </c>
      <c r="C44">
        <v>752</v>
      </c>
      <c r="D44">
        <v>338</v>
      </c>
      <c r="E44">
        <v>12</v>
      </c>
      <c r="F44">
        <v>26</v>
      </c>
      <c r="G44">
        <v>39</v>
      </c>
    </row>
    <row r="45" spans="1:7" x14ac:dyDescent="0.25">
      <c r="A45" t="s">
        <v>1010</v>
      </c>
      <c r="B45" t="s">
        <v>104</v>
      </c>
      <c r="C45">
        <v>4</v>
      </c>
      <c r="D45">
        <v>62</v>
      </c>
      <c r="E45">
        <v>5</v>
      </c>
      <c r="F45">
        <v>6</v>
      </c>
      <c r="G45">
        <v>9</v>
      </c>
    </row>
    <row r="46" spans="1:7" x14ac:dyDescent="0.25">
      <c r="A46" t="s">
        <v>1010</v>
      </c>
      <c r="B46" t="s">
        <v>173</v>
      </c>
      <c r="C46">
        <v>292</v>
      </c>
      <c r="D46">
        <v>570</v>
      </c>
      <c r="E46">
        <v>7</v>
      </c>
      <c r="F46">
        <v>45</v>
      </c>
      <c r="G46">
        <v>64</v>
      </c>
    </row>
    <row r="47" spans="1:7" x14ac:dyDescent="0.25">
      <c r="A47" t="s">
        <v>1061</v>
      </c>
      <c r="B47" t="s">
        <v>175</v>
      </c>
      <c r="C47">
        <v>775</v>
      </c>
      <c r="D47">
        <v>314</v>
      </c>
      <c r="E47">
        <v>13</v>
      </c>
      <c r="F47">
        <v>23</v>
      </c>
      <c r="G47">
        <v>37</v>
      </c>
    </row>
    <row r="48" spans="1:7" x14ac:dyDescent="0.25">
      <c r="A48" t="s">
        <v>1061</v>
      </c>
      <c r="B48" t="s">
        <v>306</v>
      </c>
      <c r="C48">
        <v>4</v>
      </c>
      <c r="D48">
        <v>26</v>
      </c>
      <c r="G48">
        <v>3</v>
      </c>
    </row>
    <row r="49" spans="1:7" x14ac:dyDescent="0.25">
      <c r="A49" t="s">
        <v>240</v>
      </c>
      <c r="B49" t="s">
        <v>173</v>
      </c>
      <c r="C49">
        <v>447</v>
      </c>
      <c r="D49">
        <v>572</v>
      </c>
      <c r="F49">
        <v>17</v>
      </c>
      <c r="G49">
        <v>64</v>
      </c>
    </row>
    <row r="50" spans="1:7" x14ac:dyDescent="0.25">
      <c r="A50" t="s">
        <v>239</v>
      </c>
      <c r="B50" t="s">
        <v>174</v>
      </c>
      <c r="C50">
        <v>879</v>
      </c>
      <c r="D50">
        <v>439</v>
      </c>
      <c r="E50">
        <v>3</v>
      </c>
      <c r="F50">
        <v>30</v>
      </c>
      <c r="G50">
        <v>47</v>
      </c>
    </row>
    <row r="51" spans="1:7" x14ac:dyDescent="0.25">
      <c r="A51" t="s">
        <v>760</v>
      </c>
      <c r="B51" t="s">
        <v>101</v>
      </c>
      <c r="C51">
        <v>641</v>
      </c>
      <c r="D51">
        <v>289</v>
      </c>
      <c r="E51">
        <v>5</v>
      </c>
      <c r="F51">
        <v>15</v>
      </c>
      <c r="G51">
        <v>36</v>
      </c>
    </row>
    <row r="52" spans="1:7" x14ac:dyDescent="0.25">
      <c r="A52" t="s">
        <v>917</v>
      </c>
      <c r="B52" t="s">
        <v>307</v>
      </c>
      <c r="C52">
        <v>595</v>
      </c>
      <c r="D52">
        <v>791</v>
      </c>
      <c r="E52">
        <v>3</v>
      </c>
      <c r="F52">
        <v>44</v>
      </c>
      <c r="G52">
        <v>78</v>
      </c>
    </row>
    <row r="53" spans="1:7" x14ac:dyDescent="0.25">
      <c r="A53" t="s">
        <v>1010</v>
      </c>
      <c r="B53" t="s">
        <v>102</v>
      </c>
      <c r="C53">
        <v>456</v>
      </c>
      <c r="D53">
        <v>188</v>
      </c>
      <c r="E53">
        <v>6</v>
      </c>
      <c r="F53">
        <v>12</v>
      </c>
      <c r="G53">
        <v>14</v>
      </c>
    </row>
    <row r="54" spans="1:7" x14ac:dyDescent="0.25">
      <c r="A54" t="s">
        <v>1061</v>
      </c>
      <c r="B54" t="s">
        <v>101</v>
      </c>
      <c r="C54">
        <v>714</v>
      </c>
      <c r="D54">
        <v>299</v>
      </c>
      <c r="E54">
        <v>8</v>
      </c>
      <c r="F54">
        <v>14</v>
      </c>
      <c r="G54">
        <v>40</v>
      </c>
    </row>
    <row r="55" spans="1:7" x14ac:dyDescent="0.25">
      <c r="A55" t="s">
        <v>1061</v>
      </c>
      <c r="B55" t="s">
        <v>102</v>
      </c>
      <c r="C55">
        <v>323</v>
      </c>
      <c r="D55">
        <v>172</v>
      </c>
      <c r="E55">
        <v>7</v>
      </c>
      <c r="F55">
        <v>9</v>
      </c>
      <c r="G55">
        <v>19</v>
      </c>
    </row>
    <row r="56" spans="1:7" x14ac:dyDescent="0.25">
      <c r="A56" t="s">
        <v>1061</v>
      </c>
      <c r="B56" t="s">
        <v>173</v>
      </c>
      <c r="C56">
        <v>482</v>
      </c>
      <c r="D56">
        <v>584</v>
      </c>
      <c r="E56">
        <v>3</v>
      </c>
      <c r="F56">
        <v>50</v>
      </c>
      <c r="G56">
        <v>60</v>
      </c>
    </row>
    <row r="57" spans="1:7" x14ac:dyDescent="0.25">
      <c r="A57" t="s">
        <v>1108</v>
      </c>
      <c r="B57" t="s">
        <v>175</v>
      </c>
      <c r="C57">
        <v>812</v>
      </c>
      <c r="D57">
        <v>299</v>
      </c>
      <c r="E57">
        <v>12</v>
      </c>
      <c r="F57">
        <v>25</v>
      </c>
      <c r="G57">
        <v>35</v>
      </c>
    </row>
    <row r="58" spans="1:7" x14ac:dyDescent="0.25">
      <c r="A58" t="s">
        <v>760</v>
      </c>
      <c r="B58" t="s">
        <v>307</v>
      </c>
      <c r="C58">
        <v>536</v>
      </c>
      <c r="D58">
        <v>801</v>
      </c>
      <c r="E58">
        <v>1</v>
      </c>
      <c r="F58">
        <v>54</v>
      </c>
      <c r="G58">
        <v>97</v>
      </c>
    </row>
    <row r="59" spans="1:7" x14ac:dyDescent="0.25">
      <c r="A59" t="s">
        <v>917</v>
      </c>
      <c r="B59" t="s">
        <v>102</v>
      </c>
      <c r="C59">
        <v>498</v>
      </c>
      <c r="D59">
        <v>212</v>
      </c>
      <c r="E59">
        <v>6</v>
      </c>
      <c r="F59">
        <v>16</v>
      </c>
      <c r="G59">
        <v>23</v>
      </c>
    </row>
    <row r="60" spans="1:7" x14ac:dyDescent="0.25">
      <c r="A60" t="s">
        <v>917</v>
      </c>
      <c r="B60" t="s">
        <v>104</v>
      </c>
      <c r="C60">
        <v>2</v>
      </c>
      <c r="D60">
        <v>66</v>
      </c>
      <c r="E60">
        <v>4</v>
      </c>
      <c r="F60">
        <v>5</v>
      </c>
      <c r="G60">
        <v>3</v>
      </c>
    </row>
    <row r="61" spans="1:7" x14ac:dyDescent="0.25">
      <c r="A61" t="s">
        <v>1010</v>
      </c>
      <c r="B61" t="s">
        <v>101</v>
      </c>
      <c r="C61">
        <v>703</v>
      </c>
      <c r="D61">
        <v>313</v>
      </c>
      <c r="E61">
        <v>5</v>
      </c>
      <c r="F61">
        <v>11</v>
      </c>
      <c r="G61">
        <v>43</v>
      </c>
    </row>
    <row r="62" spans="1:7" x14ac:dyDescent="0.25">
      <c r="A62" t="s">
        <v>1061</v>
      </c>
      <c r="B62" t="s">
        <v>307</v>
      </c>
      <c r="C62">
        <v>665</v>
      </c>
      <c r="D62">
        <v>703</v>
      </c>
      <c r="E62">
        <v>1</v>
      </c>
      <c r="F62">
        <v>38</v>
      </c>
      <c r="G62">
        <v>43</v>
      </c>
    </row>
    <row r="63" spans="1:7" x14ac:dyDescent="0.25">
      <c r="A63" t="s">
        <v>1108</v>
      </c>
      <c r="B63" t="s">
        <v>101</v>
      </c>
      <c r="C63">
        <v>692</v>
      </c>
      <c r="D63">
        <v>275</v>
      </c>
      <c r="E63">
        <v>10</v>
      </c>
      <c r="F63">
        <v>14</v>
      </c>
      <c r="G63">
        <v>35</v>
      </c>
    </row>
    <row r="64" spans="1:7" x14ac:dyDescent="0.25">
      <c r="A64" t="s">
        <v>1108</v>
      </c>
      <c r="B64" t="s">
        <v>306</v>
      </c>
      <c r="C64">
        <v>4</v>
      </c>
      <c r="D64">
        <v>26</v>
      </c>
      <c r="E64">
        <v>1</v>
      </c>
      <c r="G64">
        <v>3</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9" tint="0.39997558519241921"/>
    <pageSetUpPr fitToPage="1"/>
  </sheetPr>
  <dimension ref="A1:G44"/>
  <sheetViews>
    <sheetView showGridLines="0" zoomScaleNormal="100" workbookViewId="0">
      <pane ySplit="2" topLeftCell="A3" activePane="bottomLeft" state="frozen"/>
      <selection pane="bottomLeft" sqref="A1:C1"/>
    </sheetView>
  </sheetViews>
  <sheetFormatPr defaultRowHeight="15" x14ac:dyDescent="0.25"/>
  <cols>
    <col min="1" max="1" width="23.5703125" customWidth="1"/>
    <col min="2" max="3" width="14.140625" customWidth="1"/>
    <col min="4" max="4" width="13.5703125" customWidth="1"/>
    <col min="5" max="7" width="14.140625" customWidth="1"/>
  </cols>
  <sheetData>
    <row r="1" spans="1:7" ht="15.75" x14ac:dyDescent="0.25">
      <c r="A1" s="993" t="s">
        <v>450</v>
      </c>
      <c r="B1" s="993"/>
      <c r="C1" s="993"/>
      <c r="D1" s="449"/>
    </row>
    <row r="2" spans="1:7" x14ac:dyDescent="0.25">
      <c r="A2" s="507" t="s">
        <v>511</v>
      </c>
    </row>
    <row r="3" spans="1:7" x14ac:dyDescent="0.25">
      <c r="A3" s="25"/>
      <c r="B3" s="25"/>
      <c r="C3" s="25"/>
      <c r="D3" s="25"/>
      <c r="E3" s="147"/>
    </row>
    <row r="4" spans="1:7" ht="18.75" customHeight="1" x14ac:dyDescent="0.25">
      <c r="A4" s="1004" t="s">
        <v>480</v>
      </c>
      <c r="B4" s="1004"/>
      <c r="C4" s="1004"/>
      <c r="D4" s="1004"/>
      <c r="E4" s="1004"/>
      <c r="F4" s="1004"/>
      <c r="G4" s="1004"/>
    </row>
    <row r="5" spans="1:7" ht="15" customHeight="1" x14ac:dyDescent="0.25">
      <c r="A5" t="s">
        <v>328</v>
      </c>
      <c r="B5" t="s">
        <v>684</v>
      </c>
      <c r="C5" s="232"/>
      <c r="D5" s="232"/>
      <c r="E5" s="232"/>
      <c r="F5" s="232"/>
      <c r="G5" s="232"/>
    </row>
    <row r="6" spans="1:7" ht="15" customHeight="1" x14ac:dyDescent="0.25">
      <c r="A6" t="s">
        <v>329</v>
      </c>
      <c r="B6" t="s">
        <v>331</v>
      </c>
      <c r="C6" s="232"/>
      <c r="D6" s="232"/>
      <c r="E6" s="232"/>
      <c r="F6" s="232"/>
      <c r="G6" s="232"/>
    </row>
    <row r="7" spans="1:7" ht="15" customHeight="1" x14ac:dyDescent="0.25">
      <c r="A7" t="s">
        <v>330</v>
      </c>
      <c r="B7" t="s">
        <v>332</v>
      </c>
      <c r="C7" s="232"/>
      <c r="D7" s="232"/>
      <c r="E7" s="232"/>
      <c r="F7" s="232"/>
      <c r="G7" s="232"/>
    </row>
    <row r="8" spans="1:7" ht="36" customHeight="1" x14ac:dyDescent="0.25">
      <c r="A8" s="16" t="s">
        <v>177</v>
      </c>
      <c r="B8" s="3" t="s">
        <v>27</v>
      </c>
      <c r="C8" s="154" t="s">
        <v>28</v>
      </c>
      <c r="D8" s="154" t="s">
        <v>831</v>
      </c>
      <c r="E8" s="3" t="s">
        <v>2</v>
      </c>
      <c r="F8" s="3" t="s">
        <v>29</v>
      </c>
      <c r="G8" s="3" t="s">
        <v>364</v>
      </c>
    </row>
    <row r="9" spans="1:7" x14ac:dyDescent="0.25">
      <c r="A9" s="155" t="s">
        <v>172</v>
      </c>
      <c r="B9">
        <f>GETPIVOTDATA("Sum of Wholetime Operational",servicepivot!$A$3,"Service Length (Years)","Under 5")</f>
        <v>597</v>
      </c>
      <c r="C9">
        <f>GETPIVOTDATA("Sum of Retained Duty System",servicepivot!$A$3,"Service Length (Years)","Under 5")</f>
        <v>716</v>
      </c>
      <c r="D9">
        <f>GETPIVOTDATA("Sum of Retained Full-time",servicepivot!$A$3,"Service Length (Years)","Under 5")</f>
        <v>1</v>
      </c>
      <c r="E9">
        <f>GETPIVOTDATA("Sum of Control",servicepivot!$A$3,"Service Length (Years)","Under 5")</f>
        <v>37</v>
      </c>
      <c r="F9">
        <f>GETPIVOTDATA("Sum of Volunteer",servicepivot!$A$3,"Service Length (Years)","Under 5")</f>
        <v>47</v>
      </c>
      <c r="G9" s="156">
        <f>SUM(B9:F9)</f>
        <v>1398</v>
      </c>
    </row>
    <row r="10" spans="1:7" x14ac:dyDescent="0.25">
      <c r="A10" s="323" t="s">
        <v>173</v>
      </c>
      <c r="B10">
        <f>GETPIVOTDATA("Sum of Wholetime Operational",servicepivot!$A$3,"Service Length (Years)","5-9")</f>
        <v>574</v>
      </c>
      <c r="C10">
        <f>GETPIVOTDATA("Sum of Retained Duty System",servicepivot!$A$3,"Service Length (Years)","5-9")</f>
        <v>604</v>
      </c>
      <c r="D10">
        <f>GETPIVOTDATA("Sum of Retained Full-time",servicepivot!$A$3,"Service Length (Years)","5-9")</f>
        <v>3</v>
      </c>
      <c r="E10">
        <f>GETPIVOTDATA("Sum of Control",servicepivot!$A$3,"Service Length (Years)","5-9")</f>
        <v>46</v>
      </c>
      <c r="F10">
        <f>GETPIVOTDATA("Sum of Volunteer",servicepivot!$A$3,"Service Length (Years)","5-9")</f>
        <v>67</v>
      </c>
      <c r="G10" s="156">
        <f t="shared" ref="G10:G17" si="0">SUM(B10:F10)</f>
        <v>1294</v>
      </c>
    </row>
    <row r="11" spans="1:7" x14ac:dyDescent="0.25">
      <c r="A11" s="323" t="s">
        <v>174</v>
      </c>
      <c r="B11">
        <f>GETPIVOTDATA("Sum of Wholetime Operational",servicepivot!$A$3,"Service Length (Years)","10-14")</f>
        <v>329</v>
      </c>
      <c r="C11">
        <f>GETPIVOTDATA("Sum of Retained Duty System",servicepivot!$A$3,"Service Length (Years)","10-14")</f>
        <v>399</v>
      </c>
      <c r="D11">
        <f>GETPIVOTDATA("Sum of Retained Full-time",servicepivot!$A$3,"Service Length (Years)","10-14")</f>
        <v>8</v>
      </c>
      <c r="E11">
        <f>GETPIVOTDATA("Sum of Control",servicepivot!$A$3,"Service Length (Years)","10-14")</f>
        <v>19</v>
      </c>
      <c r="F11">
        <f>GETPIVOTDATA("Sum of Volunteer",servicepivot!$A$3,"Service Length (Years)","10-14")</f>
        <v>33</v>
      </c>
      <c r="G11" s="156">
        <f t="shared" si="0"/>
        <v>788</v>
      </c>
    </row>
    <row r="12" spans="1:7" x14ac:dyDescent="0.25">
      <c r="A12" s="323" t="s">
        <v>175</v>
      </c>
      <c r="B12">
        <f>GETPIVOTDATA("Sum of Wholetime Operational",servicepivot!$A$3,"Service Length (Years)","15-19")</f>
        <v>812</v>
      </c>
      <c r="C12">
        <f>GETPIVOTDATA("Sum of Retained Duty System",servicepivot!$A$3,"Service Length (Years)","15-19")</f>
        <v>299</v>
      </c>
      <c r="D12">
        <f>GETPIVOTDATA("Sum of Retained Full-time",servicepivot!$A$3,"Service Length (Years)","15-19")</f>
        <v>12</v>
      </c>
      <c r="E12">
        <f>GETPIVOTDATA("Sum of Control",servicepivot!$A$3,"Service Length (Years)","15-19")</f>
        <v>25</v>
      </c>
      <c r="F12">
        <f>GETPIVOTDATA("Sum of Volunteer",servicepivot!$A$3,"Service Length (Years)","15-19")</f>
        <v>35</v>
      </c>
      <c r="G12" s="156">
        <f t="shared" si="0"/>
        <v>1183</v>
      </c>
    </row>
    <row r="13" spans="1:7" x14ac:dyDescent="0.25">
      <c r="A13" s="323" t="s">
        <v>101</v>
      </c>
      <c r="B13">
        <f>GETPIVOTDATA("Sum of Wholetime Operational",servicepivot!$A$3,"Service Length (Years)","20-24")</f>
        <v>692</v>
      </c>
      <c r="C13">
        <f>GETPIVOTDATA("Sum of Retained Duty System",servicepivot!$A$3,"Service Length (Years)","20-24")</f>
        <v>275</v>
      </c>
      <c r="D13">
        <f>GETPIVOTDATA("Sum of Retained Full-time",servicepivot!$A$3,"Service Length (Years)","20-24")</f>
        <v>10</v>
      </c>
      <c r="E13">
        <f>GETPIVOTDATA("Sum of Control",servicepivot!$A$3,"Service Length (Years)","20-24")</f>
        <v>14</v>
      </c>
      <c r="F13">
        <f>GETPIVOTDATA("Sum of Volunteer",servicepivot!$A$3,"Service Length (Years)","20-24")</f>
        <v>35</v>
      </c>
      <c r="G13" s="156">
        <f t="shared" si="0"/>
        <v>1026</v>
      </c>
    </row>
    <row r="14" spans="1:7" x14ac:dyDescent="0.25">
      <c r="A14" s="323" t="s">
        <v>102</v>
      </c>
      <c r="B14">
        <f>GETPIVOTDATA("Sum of Wholetime Operational",servicepivot!$A$3,"Service Length (Years)","25-29")</f>
        <v>342</v>
      </c>
      <c r="C14">
        <f>GETPIVOTDATA("Sum of Retained Duty System",servicepivot!$A$3,"Service Length (Years)","25-29")</f>
        <v>170</v>
      </c>
      <c r="D14">
        <f>GETPIVOTDATA("Sum of Retained Full-time",servicepivot!$A$3,"Service Length (Years)","25-29")</f>
        <v>6</v>
      </c>
      <c r="E14">
        <f>GETPIVOTDATA("Sum of Control",servicepivot!$A$3,"Service Length (Years)","25-29")</f>
        <v>9</v>
      </c>
      <c r="F14">
        <f>GETPIVOTDATA("Sum of Volunteer",servicepivot!$A$3,"Service Length (Years)","25-29")</f>
        <v>22</v>
      </c>
      <c r="G14" s="156">
        <f t="shared" si="0"/>
        <v>549</v>
      </c>
    </row>
    <row r="15" spans="1:7" x14ac:dyDescent="0.25">
      <c r="A15" s="323" t="s">
        <v>103</v>
      </c>
      <c r="B15">
        <f>GETPIVOTDATA("Sum of Wholetime Operational",servicepivot!$A$3,"Service Length (Years)","30-34")</f>
        <v>64</v>
      </c>
      <c r="C15">
        <f>GETPIVOTDATA("Sum of Retained Duty System",servicepivot!$A$3,"Service Length (Years)","30-34")</f>
        <v>138</v>
      </c>
      <c r="D15">
        <f>GETPIVOTDATA("Sum of Retained Full-time",servicepivot!$A$3,"Service Length (Years)","30-34")</f>
        <v>6</v>
      </c>
      <c r="E15">
        <f>GETPIVOTDATA("Sum of Control",servicepivot!$A$3,"Service Length (Years)","30-34")</f>
        <v>10</v>
      </c>
      <c r="F15">
        <f>GETPIVOTDATA("Sum of Volunteer",servicepivot!$A$3,"Service Length (Years)","30-34")</f>
        <v>14</v>
      </c>
      <c r="G15" s="156">
        <f t="shared" si="0"/>
        <v>232</v>
      </c>
    </row>
    <row r="16" spans="1:7" x14ac:dyDescent="0.25">
      <c r="A16" s="323" t="s">
        <v>104</v>
      </c>
      <c r="B16">
        <f>GETPIVOTDATA("Sum of Wholetime Operational",servicepivot!$A$3,"Service Length (Years)","35-39")</f>
        <v>8</v>
      </c>
      <c r="C16">
        <f>GETPIVOTDATA("Sum of Retained Duty System",servicepivot!$A$3,"Service Length (Years)","35-39")</f>
        <v>81</v>
      </c>
      <c r="D16">
        <f>GETPIVOTDATA("Sum of Retained Full-time",servicepivot!$A$3,"Service Length (Years)","35-39")</f>
        <v>8</v>
      </c>
      <c r="E16">
        <f>GETPIVOTDATA("Sum of Control",servicepivot!$A$3,"Service Length (Years)","35-39")</f>
        <v>11</v>
      </c>
      <c r="F16">
        <f>GETPIVOTDATA("Sum of Volunteer",servicepivot!$A$3,"Service Length (Years)","35-39")</f>
        <v>13</v>
      </c>
      <c r="G16" s="156">
        <f t="shared" si="0"/>
        <v>121</v>
      </c>
    </row>
    <row r="17" spans="1:7" x14ac:dyDescent="0.25">
      <c r="A17" s="323" t="s">
        <v>176</v>
      </c>
      <c r="B17">
        <f>GETPIVOTDATA("Sum of Wholetime Operational",servicepivot!$A$3,"Service Length (Years)","Over 40")</f>
        <v>4</v>
      </c>
      <c r="C17">
        <f>GETPIVOTDATA("Sum of Retained Duty System",servicepivot!$A$3,"Service Length (Years)","Over 40")</f>
        <v>26</v>
      </c>
      <c r="D17">
        <f>GETPIVOTDATA("Sum of Retained Full-time",servicepivot!$A$3,"Service Length (Years)","Over 40")</f>
        <v>1</v>
      </c>
      <c r="E17">
        <f>GETPIVOTDATA("Sum of Control",servicepivot!$A$3,"Service Length (Years)","Over 40")</f>
        <v>0</v>
      </c>
      <c r="F17">
        <f>GETPIVOTDATA("Sum of Volunteer",servicepivot!$A$3,"Service Length (Years)","Over 40")</f>
        <v>3</v>
      </c>
      <c r="G17" s="156">
        <f t="shared" si="0"/>
        <v>34</v>
      </c>
    </row>
    <row r="18" spans="1:7" ht="15.75" thickBot="1" x14ac:dyDescent="0.3">
      <c r="A18" s="157" t="s">
        <v>17</v>
      </c>
      <c r="B18" s="158">
        <f t="shared" ref="B18:F18" si="1">SUM(B9:B17)</f>
        <v>3422</v>
      </c>
      <c r="C18" s="158">
        <f t="shared" si="1"/>
        <v>2708</v>
      </c>
      <c r="D18" s="158">
        <f t="shared" si="1"/>
        <v>55</v>
      </c>
      <c r="E18" s="158">
        <f t="shared" si="1"/>
        <v>171</v>
      </c>
      <c r="F18" s="158">
        <f t="shared" si="1"/>
        <v>269</v>
      </c>
      <c r="G18" s="158">
        <f>SUM(G9:G17)</f>
        <v>6625</v>
      </c>
    </row>
    <row r="20" spans="1:7" ht="15" customHeight="1" x14ac:dyDescent="0.25">
      <c r="A20" s="12" t="s">
        <v>8</v>
      </c>
    </row>
    <row r="21" spans="1:7" ht="30" customHeight="1" x14ac:dyDescent="0.25">
      <c r="A21" s="992" t="s">
        <v>221</v>
      </c>
      <c r="B21" s="992"/>
      <c r="C21" s="992"/>
      <c r="D21" s="992"/>
      <c r="E21" s="992"/>
      <c r="F21" s="992"/>
      <c r="G21" s="992"/>
    </row>
    <row r="22" spans="1:7" x14ac:dyDescent="0.25">
      <c r="A22" t="s">
        <v>220</v>
      </c>
    </row>
    <row r="23" spans="1:7" x14ac:dyDescent="0.25">
      <c r="A23" t="s">
        <v>481</v>
      </c>
    </row>
    <row r="25" spans="1:7" ht="17.25" customHeight="1" x14ac:dyDescent="0.25">
      <c r="A25" s="1004" t="s">
        <v>479</v>
      </c>
      <c r="B25" s="1004"/>
      <c r="C25" s="1004"/>
      <c r="D25" s="1004"/>
      <c r="E25" s="1004"/>
      <c r="F25" s="1004"/>
      <c r="G25" s="1004"/>
    </row>
    <row r="26" spans="1:7" ht="15" customHeight="1" x14ac:dyDescent="0.25">
      <c r="A26" t="s">
        <v>328</v>
      </c>
      <c r="B26" t="s">
        <v>685</v>
      </c>
      <c r="C26" s="232"/>
      <c r="D26" s="232"/>
      <c r="E26" s="232"/>
      <c r="F26" s="232"/>
      <c r="G26" s="232"/>
    </row>
    <row r="27" spans="1:7" ht="15" customHeight="1" x14ac:dyDescent="0.25">
      <c r="A27" t="s">
        <v>329</v>
      </c>
      <c r="B27" t="s">
        <v>331</v>
      </c>
      <c r="C27" s="232"/>
      <c r="D27" s="232"/>
      <c r="E27" s="232"/>
      <c r="F27" s="232"/>
      <c r="G27" s="232"/>
    </row>
    <row r="28" spans="1:7" ht="15" customHeight="1" x14ac:dyDescent="0.25">
      <c r="A28" t="s">
        <v>330</v>
      </c>
      <c r="B28" t="s">
        <v>332</v>
      </c>
      <c r="C28" s="232"/>
      <c r="D28" s="232"/>
      <c r="E28" s="232"/>
      <c r="F28" s="232"/>
      <c r="G28" s="232"/>
    </row>
    <row r="29" spans="1:7" ht="36.75" customHeight="1" x14ac:dyDescent="0.25">
      <c r="A29" s="16" t="s">
        <v>177</v>
      </c>
      <c r="B29" s="160" t="s">
        <v>85</v>
      </c>
      <c r="C29" s="160" t="s">
        <v>28</v>
      </c>
      <c r="D29" s="154" t="s">
        <v>831</v>
      </c>
      <c r="E29" s="160" t="s">
        <v>2</v>
      </c>
      <c r="F29" s="160" t="s">
        <v>29</v>
      </c>
      <c r="G29" s="3" t="s">
        <v>364</v>
      </c>
    </row>
    <row r="30" spans="1:7" x14ac:dyDescent="0.25">
      <c r="A30" s="155" t="s">
        <v>172</v>
      </c>
      <c r="B30" s="162">
        <f t="shared" ref="B30:G38" si="2">B9/B$18</f>
        <v>0.17445938047925191</v>
      </c>
      <c r="C30" s="162">
        <f t="shared" si="2"/>
        <v>0.26440177252584934</v>
      </c>
      <c r="D30" s="162">
        <f t="shared" si="2"/>
        <v>1.8181818181818181E-2</v>
      </c>
      <c r="E30" s="162">
        <f t="shared" si="2"/>
        <v>0.21637426900584794</v>
      </c>
      <c r="F30" s="162">
        <f t="shared" si="2"/>
        <v>0.17472118959107807</v>
      </c>
      <c r="G30" s="163">
        <f t="shared" si="2"/>
        <v>0.21101886792452831</v>
      </c>
    </row>
    <row r="31" spans="1:7" x14ac:dyDescent="0.25">
      <c r="A31" s="323" t="s">
        <v>173</v>
      </c>
      <c r="B31" s="162">
        <f t="shared" si="2"/>
        <v>0.16773816481589712</v>
      </c>
      <c r="C31" s="162">
        <f t="shared" si="2"/>
        <v>0.22304283604135894</v>
      </c>
      <c r="D31" s="162">
        <f t="shared" si="2"/>
        <v>5.4545454545454543E-2</v>
      </c>
      <c r="E31" s="162">
        <f t="shared" si="2"/>
        <v>0.26900584795321636</v>
      </c>
      <c r="F31" s="162">
        <f t="shared" si="2"/>
        <v>0.24907063197026022</v>
      </c>
      <c r="G31" s="163">
        <f t="shared" si="2"/>
        <v>0.19532075471698113</v>
      </c>
    </row>
    <row r="32" spans="1:7" x14ac:dyDescent="0.25">
      <c r="A32" s="323" t="s">
        <v>174</v>
      </c>
      <c r="B32" s="162">
        <f t="shared" si="2"/>
        <v>9.6142606662770316E-2</v>
      </c>
      <c r="C32" s="162">
        <f t="shared" si="2"/>
        <v>0.14734121122599705</v>
      </c>
      <c r="D32" s="162">
        <f t="shared" si="2"/>
        <v>0.14545454545454545</v>
      </c>
      <c r="E32" s="162">
        <f t="shared" si="2"/>
        <v>0.1111111111111111</v>
      </c>
      <c r="F32" s="162">
        <f t="shared" si="2"/>
        <v>0.12267657992565056</v>
      </c>
      <c r="G32" s="163">
        <f t="shared" si="2"/>
        <v>0.11894339622641509</v>
      </c>
    </row>
    <row r="33" spans="1:7" x14ac:dyDescent="0.25">
      <c r="A33" s="323" t="s">
        <v>175</v>
      </c>
      <c r="B33" s="162">
        <f t="shared" si="2"/>
        <v>0.23728813559322035</v>
      </c>
      <c r="C33" s="162">
        <f t="shared" si="2"/>
        <v>0.11041358936484491</v>
      </c>
      <c r="D33" s="162">
        <f t="shared" si="2"/>
        <v>0.21818181818181817</v>
      </c>
      <c r="E33" s="162">
        <f t="shared" si="2"/>
        <v>0.14619883040935672</v>
      </c>
      <c r="F33" s="162">
        <f t="shared" si="2"/>
        <v>0.13011152416356878</v>
      </c>
      <c r="G33" s="163">
        <f t="shared" si="2"/>
        <v>0.17856603773584906</v>
      </c>
    </row>
    <row r="34" spans="1:7" x14ac:dyDescent="0.25">
      <c r="A34" s="323" t="s">
        <v>101</v>
      </c>
      <c r="B34" s="162">
        <f t="shared" si="2"/>
        <v>0.20222092343658679</v>
      </c>
      <c r="C34" s="162">
        <f t="shared" si="2"/>
        <v>0.10155096011816839</v>
      </c>
      <c r="D34" s="162">
        <f t="shared" si="2"/>
        <v>0.18181818181818182</v>
      </c>
      <c r="E34" s="162">
        <f t="shared" si="2"/>
        <v>8.1871345029239762E-2</v>
      </c>
      <c r="F34" s="162">
        <f t="shared" si="2"/>
        <v>0.13011152416356878</v>
      </c>
      <c r="G34" s="163">
        <f t="shared" si="2"/>
        <v>0.15486792452830189</v>
      </c>
    </row>
    <row r="35" spans="1:7" x14ac:dyDescent="0.25">
      <c r="A35" s="323" t="s">
        <v>102</v>
      </c>
      <c r="B35" s="162">
        <f t="shared" si="2"/>
        <v>9.9941554646405611E-2</v>
      </c>
      <c r="C35" s="162">
        <f t="shared" si="2"/>
        <v>6.2776957163958647E-2</v>
      </c>
      <c r="D35" s="162">
        <f t="shared" si="2"/>
        <v>0.10909090909090909</v>
      </c>
      <c r="E35" s="162">
        <f t="shared" si="2"/>
        <v>5.2631578947368418E-2</v>
      </c>
      <c r="F35" s="162">
        <f t="shared" si="2"/>
        <v>8.1784386617100371E-2</v>
      </c>
      <c r="G35" s="163">
        <f t="shared" si="2"/>
        <v>8.2867924528301884E-2</v>
      </c>
    </row>
    <row r="36" spans="1:7" x14ac:dyDescent="0.25">
      <c r="A36" s="323" t="s">
        <v>103</v>
      </c>
      <c r="B36" s="162">
        <f t="shared" si="2"/>
        <v>1.8702513150204558E-2</v>
      </c>
      <c r="C36" s="162">
        <f t="shared" si="2"/>
        <v>5.0960118168389953E-2</v>
      </c>
      <c r="D36" s="162">
        <f t="shared" si="2"/>
        <v>0.10909090909090909</v>
      </c>
      <c r="E36" s="162">
        <f t="shared" si="2"/>
        <v>5.8479532163742687E-2</v>
      </c>
      <c r="F36" s="162">
        <f t="shared" si="2"/>
        <v>5.204460966542751E-2</v>
      </c>
      <c r="G36" s="163">
        <f t="shared" si="2"/>
        <v>3.5018867924528303E-2</v>
      </c>
    </row>
    <row r="37" spans="1:7" x14ac:dyDescent="0.25">
      <c r="A37" s="323" t="s">
        <v>104</v>
      </c>
      <c r="B37" s="162">
        <f t="shared" si="2"/>
        <v>2.3378141437755697E-3</v>
      </c>
      <c r="C37" s="162">
        <f t="shared" si="2"/>
        <v>2.9911373707533235E-2</v>
      </c>
      <c r="D37" s="162">
        <f t="shared" si="2"/>
        <v>0.14545454545454545</v>
      </c>
      <c r="E37" s="162">
        <f t="shared" si="2"/>
        <v>6.4327485380116955E-2</v>
      </c>
      <c r="F37" s="162">
        <f t="shared" si="2"/>
        <v>4.8327137546468404E-2</v>
      </c>
      <c r="G37" s="163">
        <f t="shared" si="2"/>
        <v>1.8264150943396226E-2</v>
      </c>
    </row>
    <row r="38" spans="1:7" x14ac:dyDescent="0.25">
      <c r="A38" s="323" t="s">
        <v>176</v>
      </c>
      <c r="B38" s="162">
        <f t="shared" si="2"/>
        <v>1.1689070718877848E-3</v>
      </c>
      <c r="C38" s="162">
        <f t="shared" si="2"/>
        <v>9.6011816838995571E-3</v>
      </c>
      <c r="D38" s="162">
        <f t="shared" si="2"/>
        <v>1.8181818181818181E-2</v>
      </c>
      <c r="E38" s="162">
        <f t="shared" si="2"/>
        <v>0</v>
      </c>
      <c r="F38" s="162">
        <f t="shared" si="2"/>
        <v>1.1152416356877323E-2</v>
      </c>
      <c r="G38" s="163">
        <f t="shared" si="2"/>
        <v>5.1320754716981136E-3</v>
      </c>
    </row>
    <row r="39" spans="1:7" ht="15.75" thickBot="1" x14ac:dyDescent="0.3">
      <c r="A39" s="157" t="s">
        <v>17</v>
      </c>
      <c r="B39" s="166">
        <f t="shared" ref="B39:G39" si="3">SUM(B30:B38)</f>
        <v>1</v>
      </c>
      <c r="C39" s="166">
        <f t="shared" si="3"/>
        <v>1</v>
      </c>
      <c r="D39" s="166">
        <f t="shared" si="3"/>
        <v>1</v>
      </c>
      <c r="E39" s="166">
        <f t="shared" si="3"/>
        <v>1</v>
      </c>
      <c r="F39" s="166">
        <f t="shared" si="3"/>
        <v>1</v>
      </c>
      <c r="G39" s="166">
        <f t="shared" si="3"/>
        <v>1</v>
      </c>
    </row>
    <row r="40" spans="1:7" x14ac:dyDescent="0.25">
      <c r="A40" s="161"/>
      <c r="B40" s="167"/>
      <c r="C40" s="167"/>
      <c r="D40" s="167"/>
      <c r="E40" s="167"/>
    </row>
    <row r="41" spans="1:7" x14ac:dyDescent="0.25">
      <c r="A41" s="12" t="s">
        <v>8</v>
      </c>
      <c r="B41" s="19"/>
      <c r="C41" s="19"/>
      <c r="D41" s="19"/>
      <c r="E41" s="19"/>
    </row>
    <row r="42" spans="1:7" ht="15" customHeight="1" x14ac:dyDescent="0.25">
      <c r="A42" s="992" t="s">
        <v>221</v>
      </c>
      <c r="B42" s="992"/>
      <c r="C42" s="992"/>
      <c r="D42" s="992"/>
      <c r="E42" s="992"/>
      <c r="F42" s="992"/>
      <c r="G42" s="992"/>
    </row>
    <row r="43" spans="1:7" ht="14.45" customHeight="1" x14ac:dyDescent="0.25">
      <c r="A43" s="343" t="s">
        <v>220</v>
      </c>
      <c r="B43" s="159"/>
      <c r="C43" s="159"/>
      <c r="D43" s="159"/>
      <c r="E43" s="159"/>
      <c r="F43" s="159"/>
      <c r="G43" s="23"/>
    </row>
    <row r="44" spans="1:7" x14ac:dyDescent="0.25">
      <c r="A44" t="s">
        <v>481</v>
      </c>
      <c r="B44" s="159"/>
      <c r="C44" s="159"/>
      <c r="D44" s="159"/>
      <c r="E44" s="159"/>
      <c r="F44" s="159"/>
      <c r="G44" s="23"/>
    </row>
  </sheetData>
  <sheetProtection algorithmName="SHA-512" hashValue="yxDaC/TANo1O1dN6/aLWPpFGECAHqjCcXsMUj0Onmb2Fv1glCCUQyKxiS7Eoe4XpW4fs/VDH7YhvXp1cSBqAMA==" saltValue="Er/Cj3vcXYE5TZKZZWrnfQ==" spinCount="100000" sheet="1" scenarios="1" formatCells="0" sort="0" autoFilter="0" pivotTables="0"/>
  <mergeCells count="5">
    <mergeCell ref="A1:C1"/>
    <mergeCell ref="A42:G42"/>
    <mergeCell ref="A4:G4"/>
    <mergeCell ref="A25:G25"/>
    <mergeCell ref="A21:G21"/>
  </mergeCells>
  <hyperlinks>
    <hyperlink ref="A2" location="'Table of Contents'!A1" display="Back to Table of Contents" xr:uid="{00000000-0004-0000-6500-000000000000}"/>
  </hyperlinks>
  <pageMargins left="0.70866141732283472" right="0.70866141732283472" top="0.74803149606299213" bottom="0.74803149606299213" header="0.31496062992125984" footer="0.31496062992125984"/>
  <pageSetup paperSize="9" scale="77" orientation="portrait" r:id="rId1"/>
  <drawing r:id="rId2"/>
  <extLst>
    <ext xmlns:x14="http://schemas.microsoft.com/office/spreadsheetml/2009/9/main" uri="{A8765BA9-456A-4dab-B4F3-ACF838C121DE}">
      <x14:slicerList>
        <x14:slicer r:id="rId3"/>
      </x14:slicerList>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E107"/>
  <sheetViews>
    <sheetView topLeftCell="A74" workbookViewId="0">
      <selection activeCell="D86" sqref="D86"/>
    </sheetView>
  </sheetViews>
  <sheetFormatPr defaultRowHeight="15" x14ac:dyDescent="0.25"/>
  <cols>
    <col min="1" max="1" width="7.42578125" bestFit="1" customWidth="1"/>
    <col min="2" max="2" width="11.7109375" bestFit="1" customWidth="1"/>
    <col min="3" max="3" width="11.85546875" bestFit="1" customWidth="1"/>
    <col min="4" max="4" width="16" bestFit="1" customWidth="1"/>
    <col min="5" max="5" width="12.140625" bestFit="1" customWidth="1"/>
  </cols>
  <sheetData>
    <row r="1" spans="1:5" x14ac:dyDescent="0.25">
      <c r="A1" t="s">
        <v>313</v>
      </c>
      <c r="B1" t="s">
        <v>961</v>
      </c>
      <c r="C1" t="s">
        <v>113</v>
      </c>
      <c r="D1" t="s">
        <v>114</v>
      </c>
      <c r="E1" t="s">
        <v>348</v>
      </c>
    </row>
    <row r="2" spans="1:5" x14ac:dyDescent="0.25">
      <c r="A2" t="s">
        <v>923</v>
      </c>
      <c r="B2" t="s">
        <v>2</v>
      </c>
      <c r="C2">
        <v>90.6</v>
      </c>
      <c r="D2">
        <v>0.4</v>
      </c>
      <c r="E2">
        <v>9</v>
      </c>
    </row>
    <row r="3" spans="1:5" x14ac:dyDescent="0.25">
      <c r="A3" t="s">
        <v>923</v>
      </c>
      <c r="B3" t="s">
        <v>9</v>
      </c>
      <c r="C3">
        <v>83.7</v>
      </c>
      <c r="D3">
        <v>0.2</v>
      </c>
      <c r="E3">
        <v>16.100000000000001</v>
      </c>
    </row>
    <row r="4" spans="1:5" x14ac:dyDescent="0.25">
      <c r="A4" t="s">
        <v>923</v>
      </c>
      <c r="B4" t="s">
        <v>3</v>
      </c>
      <c r="C4">
        <v>80.7</v>
      </c>
      <c r="D4">
        <v>1.1000000000000001</v>
      </c>
      <c r="E4">
        <v>18.2</v>
      </c>
    </row>
    <row r="5" spans="1:5" x14ac:dyDescent="0.25">
      <c r="A5" t="s">
        <v>923</v>
      </c>
      <c r="B5" t="s">
        <v>26</v>
      </c>
      <c r="C5">
        <v>82.1</v>
      </c>
      <c r="D5">
        <v>0.6</v>
      </c>
      <c r="E5">
        <v>17.3</v>
      </c>
    </row>
    <row r="6" spans="1:5" x14ac:dyDescent="0.25">
      <c r="A6" t="s">
        <v>923</v>
      </c>
      <c r="B6" t="s">
        <v>308</v>
      </c>
      <c r="C6">
        <v>82.9</v>
      </c>
      <c r="D6">
        <v>0.6</v>
      </c>
      <c r="E6">
        <v>16.5</v>
      </c>
    </row>
    <row r="7" spans="1:5" x14ac:dyDescent="0.25">
      <c r="A7" t="s">
        <v>923</v>
      </c>
      <c r="B7" t="s">
        <v>299</v>
      </c>
      <c r="C7">
        <v>67.5</v>
      </c>
      <c r="D7">
        <v>0.2</v>
      </c>
      <c r="E7">
        <v>32.299999999999997</v>
      </c>
    </row>
    <row r="8" spans="1:5" x14ac:dyDescent="0.25">
      <c r="A8" t="s">
        <v>923</v>
      </c>
      <c r="B8" t="s">
        <v>300</v>
      </c>
      <c r="C8">
        <v>82.5</v>
      </c>
      <c r="D8">
        <v>0.8</v>
      </c>
      <c r="E8">
        <v>16.7</v>
      </c>
    </row>
    <row r="9" spans="1:5" x14ac:dyDescent="0.25">
      <c r="A9" t="s">
        <v>309</v>
      </c>
      <c r="B9" t="s">
        <v>2</v>
      </c>
      <c r="C9">
        <v>84.6</v>
      </c>
      <c r="D9">
        <v>0.4</v>
      </c>
      <c r="E9">
        <v>15</v>
      </c>
    </row>
    <row r="10" spans="1:5" x14ac:dyDescent="0.25">
      <c r="A10" t="s">
        <v>309</v>
      </c>
      <c r="B10" t="s">
        <v>9</v>
      </c>
      <c r="C10">
        <v>81.8</v>
      </c>
      <c r="D10">
        <v>0.2</v>
      </c>
      <c r="E10">
        <v>18</v>
      </c>
    </row>
    <row r="11" spans="1:5" x14ac:dyDescent="0.25">
      <c r="A11" t="s">
        <v>309</v>
      </c>
      <c r="B11" t="s">
        <v>3</v>
      </c>
      <c r="C11">
        <v>65.5</v>
      </c>
      <c r="D11">
        <v>1</v>
      </c>
      <c r="E11">
        <v>33.5</v>
      </c>
    </row>
    <row r="12" spans="1:5" x14ac:dyDescent="0.25">
      <c r="A12" t="s">
        <v>309</v>
      </c>
      <c r="B12" t="s">
        <v>26</v>
      </c>
      <c r="C12">
        <v>74.400000000000006</v>
      </c>
      <c r="D12">
        <v>0.6</v>
      </c>
      <c r="E12">
        <v>25</v>
      </c>
    </row>
    <row r="13" spans="1:5" x14ac:dyDescent="0.25">
      <c r="A13" t="s">
        <v>309</v>
      </c>
      <c r="B13" t="s">
        <v>308</v>
      </c>
      <c r="C13">
        <v>75</v>
      </c>
      <c r="D13">
        <v>0.6</v>
      </c>
      <c r="E13">
        <v>24.4</v>
      </c>
    </row>
    <row r="14" spans="1:5" x14ac:dyDescent="0.25">
      <c r="A14" t="s">
        <v>309</v>
      </c>
      <c r="B14" t="s">
        <v>299</v>
      </c>
      <c r="C14">
        <v>62.7</v>
      </c>
      <c r="D14">
        <v>0.2</v>
      </c>
      <c r="E14">
        <v>37</v>
      </c>
    </row>
    <row r="15" spans="1:5" x14ac:dyDescent="0.25">
      <c r="A15" t="s">
        <v>309</v>
      </c>
      <c r="B15" t="s">
        <v>300</v>
      </c>
      <c r="C15">
        <v>72.2</v>
      </c>
      <c r="D15">
        <v>0.8</v>
      </c>
      <c r="E15">
        <v>27.1</v>
      </c>
    </row>
    <row r="16" spans="1:5" x14ac:dyDescent="0.25">
      <c r="A16" t="s">
        <v>193</v>
      </c>
      <c r="B16" t="s">
        <v>2</v>
      </c>
      <c r="C16">
        <v>89.7</v>
      </c>
      <c r="D16">
        <v>0.4</v>
      </c>
      <c r="E16">
        <v>9.8000000000000007</v>
      </c>
    </row>
    <row r="17" spans="1:5" x14ac:dyDescent="0.25">
      <c r="A17" t="s">
        <v>193</v>
      </c>
      <c r="B17" t="s">
        <v>9</v>
      </c>
      <c r="C17">
        <v>80.900000000000006</v>
      </c>
      <c r="D17">
        <v>0.2</v>
      </c>
      <c r="E17">
        <v>18.899999999999999</v>
      </c>
    </row>
    <row r="18" spans="1:5" x14ac:dyDescent="0.25">
      <c r="A18" t="s">
        <v>193</v>
      </c>
      <c r="B18" t="s">
        <v>3</v>
      </c>
      <c r="C18">
        <v>78.400000000000006</v>
      </c>
      <c r="D18">
        <v>1</v>
      </c>
      <c r="E18">
        <v>20.6</v>
      </c>
    </row>
    <row r="19" spans="1:5" x14ac:dyDescent="0.25">
      <c r="A19" t="s">
        <v>193</v>
      </c>
      <c r="B19" t="s">
        <v>26</v>
      </c>
      <c r="C19">
        <v>80.099999999999994</v>
      </c>
      <c r="D19">
        <v>0.6</v>
      </c>
      <c r="E19">
        <v>19.3</v>
      </c>
    </row>
    <row r="20" spans="1:5" x14ac:dyDescent="0.25">
      <c r="A20" t="s">
        <v>193</v>
      </c>
      <c r="B20" t="s">
        <v>308</v>
      </c>
      <c r="C20">
        <v>81</v>
      </c>
      <c r="D20">
        <v>0.6</v>
      </c>
      <c r="E20">
        <v>18.399999999999999</v>
      </c>
    </row>
    <row r="21" spans="1:5" x14ac:dyDescent="0.25">
      <c r="A21" t="s">
        <v>193</v>
      </c>
      <c r="B21" t="s">
        <v>299</v>
      </c>
      <c r="C21">
        <v>61.4</v>
      </c>
      <c r="D21">
        <v>0.5</v>
      </c>
      <c r="E21">
        <v>38.1</v>
      </c>
    </row>
    <row r="22" spans="1:5" x14ac:dyDescent="0.25">
      <c r="A22" t="s">
        <v>193</v>
      </c>
      <c r="B22" t="s">
        <v>300</v>
      </c>
      <c r="C22">
        <v>81.2</v>
      </c>
      <c r="D22">
        <v>0.7</v>
      </c>
      <c r="E22">
        <v>18</v>
      </c>
    </row>
    <row r="23" spans="1:5" x14ac:dyDescent="0.25">
      <c r="A23" t="s">
        <v>192</v>
      </c>
      <c r="B23" t="s">
        <v>2</v>
      </c>
      <c r="C23">
        <v>49.3</v>
      </c>
      <c r="E23">
        <v>50.7</v>
      </c>
    </row>
    <row r="24" spans="1:5" x14ac:dyDescent="0.25">
      <c r="A24" t="s">
        <v>192</v>
      </c>
      <c r="B24" t="s">
        <v>9</v>
      </c>
      <c r="C24">
        <v>69.599999999999994</v>
      </c>
      <c r="D24">
        <v>1.1000000000000001</v>
      </c>
      <c r="E24">
        <v>29.3</v>
      </c>
    </row>
    <row r="25" spans="1:5" x14ac:dyDescent="0.25">
      <c r="A25" t="s">
        <v>192</v>
      </c>
      <c r="B25" t="s">
        <v>3</v>
      </c>
      <c r="C25">
        <v>55.2</v>
      </c>
      <c r="D25">
        <v>1</v>
      </c>
      <c r="E25">
        <v>43.8</v>
      </c>
    </row>
    <row r="26" spans="1:5" x14ac:dyDescent="0.25">
      <c r="A26" t="s">
        <v>192</v>
      </c>
      <c r="B26" t="s">
        <v>26</v>
      </c>
      <c r="C26">
        <v>61.1</v>
      </c>
      <c r="D26">
        <v>0.8</v>
      </c>
      <c r="E26">
        <v>38.1</v>
      </c>
    </row>
    <row r="27" spans="1:5" x14ac:dyDescent="0.25">
      <c r="A27" t="s">
        <v>192</v>
      </c>
      <c r="B27" t="s">
        <v>308</v>
      </c>
      <c r="C27">
        <v>62.5</v>
      </c>
      <c r="D27">
        <v>0.8</v>
      </c>
      <c r="E27">
        <v>36.700000000000003</v>
      </c>
    </row>
    <row r="28" spans="1:5" x14ac:dyDescent="0.25">
      <c r="A28" t="s">
        <v>192</v>
      </c>
      <c r="B28" t="s">
        <v>299</v>
      </c>
      <c r="C28">
        <v>30.1</v>
      </c>
      <c r="D28">
        <v>0.6</v>
      </c>
      <c r="E28">
        <v>69.400000000000006</v>
      </c>
    </row>
    <row r="29" spans="1:5" x14ac:dyDescent="0.25">
      <c r="A29" t="s">
        <v>192</v>
      </c>
      <c r="B29" t="s">
        <v>300</v>
      </c>
      <c r="C29">
        <v>59.8</v>
      </c>
      <c r="D29">
        <v>0.6</v>
      </c>
      <c r="E29">
        <v>39.6</v>
      </c>
    </row>
    <row r="30" spans="1:5" x14ac:dyDescent="0.25">
      <c r="A30" t="s">
        <v>191</v>
      </c>
      <c r="B30" t="s">
        <v>2</v>
      </c>
      <c r="C30">
        <v>63</v>
      </c>
      <c r="D30">
        <v>0.4</v>
      </c>
      <c r="E30">
        <v>36.5</v>
      </c>
    </row>
    <row r="31" spans="1:5" x14ac:dyDescent="0.25">
      <c r="A31" t="s">
        <v>191</v>
      </c>
      <c r="B31" t="s">
        <v>9</v>
      </c>
      <c r="C31">
        <v>67</v>
      </c>
      <c r="D31">
        <v>0.1</v>
      </c>
      <c r="E31">
        <v>32.799999999999997</v>
      </c>
    </row>
    <row r="32" spans="1:5" x14ac:dyDescent="0.25">
      <c r="A32" t="s">
        <v>191</v>
      </c>
      <c r="B32" t="s">
        <v>3</v>
      </c>
      <c r="C32">
        <v>53.7</v>
      </c>
      <c r="D32">
        <v>1.2</v>
      </c>
      <c r="E32">
        <v>45.1</v>
      </c>
    </row>
    <row r="33" spans="1:5" x14ac:dyDescent="0.25">
      <c r="A33" t="s">
        <v>191</v>
      </c>
      <c r="B33" t="s">
        <v>26</v>
      </c>
      <c r="C33">
        <v>60.2</v>
      </c>
      <c r="D33">
        <v>0.5</v>
      </c>
      <c r="E33">
        <v>39.299999999999997</v>
      </c>
    </row>
    <row r="34" spans="1:5" x14ac:dyDescent="0.25">
      <c r="A34" t="s">
        <v>191</v>
      </c>
      <c r="B34" t="s">
        <v>308</v>
      </c>
      <c r="C34">
        <v>61.8</v>
      </c>
      <c r="D34">
        <v>0.5</v>
      </c>
      <c r="E34">
        <v>37.700000000000003</v>
      </c>
    </row>
    <row r="35" spans="1:5" x14ac:dyDescent="0.25">
      <c r="A35" t="s">
        <v>191</v>
      </c>
      <c r="B35" t="s">
        <v>299</v>
      </c>
      <c r="C35">
        <v>26.7</v>
      </c>
      <c r="D35">
        <v>0.5</v>
      </c>
      <c r="E35">
        <v>72.8</v>
      </c>
    </row>
    <row r="36" spans="1:5" x14ac:dyDescent="0.25">
      <c r="A36" t="s">
        <v>191</v>
      </c>
      <c r="B36" t="s">
        <v>300</v>
      </c>
      <c r="C36">
        <v>59.5</v>
      </c>
      <c r="D36">
        <v>0.6</v>
      </c>
      <c r="E36">
        <v>39.9</v>
      </c>
    </row>
    <row r="37" spans="1:5" x14ac:dyDescent="0.25">
      <c r="A37" t="s">
        <v>190</v>
      </c>
      <c r="B37" t="s">
        <v>2</v>
      </c>
      <c r="C37">
        <v>64</v>
      </c>
      <c r="D37">
        <v>0.5</v>
      </c>
      <c r="E37">
        <v>35.5</v>
      </c>
    </row>
    <row r="38" spans="1:5" x14ac:dyDescent="0.25">
      <c r="A38" t="s">
        <v>190</v>
      </c>
      <c r="B38" t="s">
        <v>9</v>
      </c>
      <c r="C38">
        <v>60</v>
      </c>
      <c r="D38">
        <v>0.6</v>
      </c>
      <c r="E38">
        <v>39.4</v>
      </c>
    </row>
    <row r="39" spans="1:5" x14ac:dyDescent="0.25">
      <c r="A39" t="s">
        <v>190</v>
      </c>
      <c r="B39" t="s">
        <v>3</v>
      </c>
      <c r="C39">
        <v>53.4</v>
      </c>
      <c r="D39">
        <v>0.8</v>
      </c>
      <c r="E39">
        <v>45.8</v>
      </c>
    </row>
    <row r="40" spans="1:5" x14ac:dyDescent="0.25">
      <c r="A40" t="s">
        <v>190</v>
      </c>
      <c r="B40" t="s">
        <v>26</v>
      </c>
      <c r="C40">
        <v>55.3</v>
      </c>
      <c r="D40">
        <v>0.6</v>
      </c>
      <c r="E40">
        <v>44.1</v>
      </c>
    </row>
    <row r="41" spans="1:5" x14ac:dyDescent="0.25">
      <c r="A41" t="s">
        <v>190</v>
      </c>
      <c r="B41" t="s">
        <v>308</v>
      </c>
      <c r="C41">
        <v>56.3</v>
      </c>
      <c r="D41">
        <v>0.6</v>
      </c>
      <c r="E41">
        <v>43.1</v>
      </c>
    </row>
    <row r="42" spans="1:5" x14ac:dyDescent="0.25">
      <c r="A42" t="s">
        <v>190</v>
      </c>
      <c r="B42" t="s">
        <v>299</v>
      </c>
      <c r="C42">
        <v>32.5</v>
      </c>
      <c r="D42">
        <v>0.9</v>
      </c>
      <c r="E42">
        <v>66.7</v>
      </c>
    </row>
    <row r="43" spans="1:5" x14ac:dyDescent="0.25">
      <c r="A43" t="s">
        <v>190</v>
      </c>
      <c r="B43" t="s">
        <v>300</v>
      </c>
      <c r="C43">
        <v>53.7</v>
      </c>
      <c r="D43">
        <v>0.5</v>
      </c>
      <c r="E43">
        <v>45.7</v>
      </c>
    </row>
    <row r="44" spans="1:5" x14ac:dyDescent="0.25">
      <c r="A44" t="s">
        <v>257</v>
      </c>
      <c r="B44" t="s">
        <v>2</v>
      </c>
      <c r="C44">
        <v>55.8</v>
      </c>
      <c r="D44">
        <v>0.6</v>
      </c>
      <c r="E44">
        <v>43.6</v>
      </c>
    </row>
    <row r="45" spans="1:5" x14ac:dyDescent="0.25">
      <c r="A45" t="s">
        <v>257</v>
      </c>
      <c r="B45" t="s">
        <v>9</v>
      </c>
      <c r="C45">
        <v>58</v>
      </c>
      <c r="D45">
        <v>0.6</v>
      </c>
      <c r="E45">
        <v>41.4</v>
      </c>
    </row>
    <row r="46" spans="1:5" x14ac:dyDescent="0.25">
      <c r="A46" t="s">
        <v>257</v>
      </c>
      <c r="B46" t="s">
        <v>3</v>
      </c>
      <c r="C46">
        <v>53.9</v>
      </c>
      <c r="D46">
        <v>0.6</v>
      </c>
      <c r="E46">
        <v>45.5</v>
      </c>
    </row>
    <row r="47" spans="1:5" x14ac:dyDescent="0.25">
      <c r="A47" t="s">
        <v>257</v>
      </c>
      <c r="B47" t="s">
        <v>26</v>
      </c>
      <c r="C47">
        <v>53.7</v>
      </c>
      <c r="D47">
        <v>0.6</v>
      </c>
      <c r="E47">
        <v>45.7</v>
      </c>
    </row>
    <row r="48" spans="1:5" x14ac:dyDescent="0.25">
      <c r="A48" t="s">
        <v>257</v>
      </c>
      <c r="B48" t="s">
        <v>308</v>
      </c>
      <c r="C48">
        <v>54.2</v>
      </c>
      <c r="D48">
        <v>0.6</v>
      </c>
      <c r="E48">
        <v>45.2</v>
      </c>
    </row>
    <row r="49" spans="1:5" x14ac:dyDescent="0.25">
      <c r="A49" t="s">
        <v>257</v>
      </c>
      <c r="B49" t="s">
        <v>299</v>
      </c>
      <c r="C49">
        <v>42.7</v>
      </c>
      <c r="D49">
        <v>0.3</v>
      </c>
      <c r="E49">
        <v>57</v>
      </c>
    </row>
    <row r="50" spans="1:5" x14ac:dyDescent="0.25">
      <c r="A50" t="s">
        <v>257</v>
      </c>
      <c r="B50" t="s">
        <v>300</v>
      </c>
      <c r="C50">
        <v>51.2</v>
      </c>
      <c r="D50">
        <v>0.5</v>
      </c>
      <c r="E50">
        <v>48.3</v>
      </c>
    </row>
    <row r="51" spans="1:5" x14ac:dyDescent="0.25">
      <c r="A51" t="s">
        <v>240</v>
      </c>
      <c r="B51" t="s">
        <v>2</v>
      </c>
      <c r="C51">
        <v>52.9</v>
      </c>
      <c r="D51">
        <v>0.5</v>
      </c>
      <c r="E51">
        <v>46.6</v>
      </c>
    </row>
    <row r="52" spans="1:5" x14ac:dyDescent="0.25">
      <c r="A52" t="s">
        <v>240</v>
      </c>
      <c r="B52" t="s">
        <v>9</v>
      </c>
      <c r="C52">
        <v>65.900000000000006</v>
      </c>
      <c r="D52">
        <v>1.2</v>
      </c>
      <c r="E52">
        <v>32.9</v>
      </c>
    </row>
    <row r="53" spans="1:5" x14ac:dyDescent="0.25">
      <c r="A53" t="s">
        <v>240</v>
      </c>
      <c r="B53" t="s">
        <v>3</v>
      </c>
      <c r="C53">
        <v>61.2</v>
      </c>
      <c r="D53">
        <v>1.4</v>
      </c>
      <c r="E53">
        <v>37.4</v>
      </c>
    </row>
    <row r="54" spans="1:5" x14ac:dyDescent="0.25">
      <c r="A54" t="s">
        <v>240</v>
      </c>
      <c r="B54" t="s">
        <v>26</v>
      </c>
      <c r="C54">
        <v>59.2</v>
      </c>
      <c r="D54">
        <v>1.2</v>
      </c>
      <c r="E54">
        <v>39.6</v>
      </c>
    </row>
    <row r="55" spans="1:5" x14ac:dyDescent="0.25">
      <c r="A55" t="s">
        <v>240</v>
      </c>
      <c r="B55" t="s">
        <v>308</v>
      </c>
      <c r="C55">
        <v>60.2</v>
      </c>
      <c r="D55">
        <v>1.2</v>
      </c>
      <c r="E55">
        <v>38.6</v>
      </c>
    </row>
    <row r="56" spans="1:5" x14ac:dyDescent="0.25">
      <c r="A56" t="s">
        <v>240</v>
      </c>
      <c r="B56" t="s">
        <v>299</v>
      </c>
      <c r="C56">
        <v>37.299999999999997</v>
      </c>
      <c r="D56">
        <v>0.6</v>
      </c>
      <c r="E56">
        <v>62</v>
      </c>
    </row>
    <row r="57" spans="1:5" x14ac:dyDescent="0.25">
      <c r="A57" t="s">
        <v>240</v>
      </c>
      <c r="B57" t="s">
        <v>300</v>
      </c>
      <c r="C57">
        <v>55.7</v>
      </c>
      <c r="D57">
        <v>1.2</v>
      </c>
      <c r="E57">
        <v>43.1</v>
      </c>
    </row>
    <row r="58" spans="1:5" x14ac:dyDescent="0.25">
      <c r="A58" t="s">
        <v>239</v>
      </c>
      <c r="B58" t="s">
        <v>2</v>
      </c>
      <c r="C58">
        <v>53.623188405797109</v>
      </c>
      <c r="D58">
        <v>0.96618357487922701</v>
      </c>
      <c r="E58">
        <v>45.410628019323674</v>
      </c>
    </row>
    <row r="59" spans="1:5" x14ac:dyDescent="0.25">
      <c r="A59" t="s">
        <v>239</v>
      </c>
      <c r="B59" t="s">
        <v>9</v>
      </c>
      <c r="C59">
        <v>67.558415171012527</v>
      </c>
      <c r="D59">
        <v>1.1175076193701321</v>
      </c>
      <c r="E59">
        <v>31.324077209617339</v>
      </c>
    </row>
    <row r="60" spans="1:5" x14ac:dyDescent="0.25">
      <c r="A60" t="s">
        <v>239</v>
      </c>
      <c r="B60" t="s">
        <v>3</v>
      </c>
      <c r="C60">
        <v>68.055555555555557</v>
      </c>
      <c r="D60">
        <v>1.7676767676767675</v>
      </c>
      <c r="E60">
        <v>30.176767676767675</v>
      </c>
    </row>
    <row r="61" spans="1:5" x14ac:dyDescent="0.25">
      <c r="A61" t="s">
        <v>239</v>
      </c>
      <c r="B61" t="s">
        <v>26</v>
      </c>
      <c r="C61">
        <v>62.699215785479382</v>
      </c>
      <c r="D61">
        <v>1.2142676448267138</v>
      </c>
      <c r="E61">
        <v>36.086516569693906</v>
      </c>
    </row>
    <row r="62" spans="1:5" x14ac:dyDescent="0.25">
      <c r="A62" t="s">
        <v>239</v>
      </c>
      <c r="B62" t="s">
        <v>308</v>
      </c>
      <c r="C62">
        <v>63.802872578732369</v>
      </c>
      <c r="D62">
        <v>1.2386348662537885</v>
      </c>
      <c r="E62">
        <v>34.958492555013834</v>
      </c>
    </row>
    <row r="63" spans="1:5" x14ac:dyDescent="0.25">
      <c r="A63" t="s">
        <v>239</v>
      </c>
      <c r="B63" t="s">
        <v>299</v>
      </c>
      <c r="C63">
        <v>36.277602523659311</v>
      </c>
      <c r="D63">
        <v>0.63091482649842268</v>
      </c>
      <c r="E63">
        <v>63.09148264984227</v>
      </c>
    </row>
    <row r="64" spans="1:5" x14ac:dyDescent="0.25">
      <c r="A64" t="s">
        <v>239</v>
      </c>
      <c r="B64" t="s">
        <v>300</v>
      </c>
      <c r="C64">
        <v>60.406928787462199</v>
      </c>
      <c r="D64">
        <v>1.2372834753918065</v>
      </c>
      <c r="E64">
        <v>38.355787737146002</v>
      </c>
    </row>
    <row r="65" spans="1:5" x14ac:dyDescent="0.25">
      <c r="A65" t="s">
        <v>760</v>
      </c>
      <c r="B65" t="s">
        <v>2</v>
      </c>
      <c r="C65">
        <v>53.191489361702125</v>
      </c>
      <c r="D65">
        <v>1.0638297872340425</v>
      </c>
      <c r="E65">
        <v>45.744680851063826</v>
      </c>
    </row>
    <row r="66" spans="1:5" x14ac:dyDescent="0.25">
      <c r="A66" t="s">
        <v>760</v>
      </c>
      <c r="B66" t="s">
        <v>9</v>
      </c>
      <c r="C66">
        <v>63.534218590398361</v>
      </c>
      <c r="D66">
        <v>1.0554988083077972</v>
      </c>
      <c r="E66">
        <v>35.410282601293837</v>
      </c>
    </row>
    <row r="67" spans="1:5" x14ac:dyDescent="0.25">
      <c r="A67" t="s">
        <v>760</v>
      </c>
      <c r="B67" t="s">
        <v>761</v>
      </c>
      <c r="C67">
        <v>86.111111111111114</v>
      </c>
      <c r="E67">
        <v>13.888888888888889</v>
      </c>
    </row>
    <row r="68" spans="1:5" x14ac:dyDescent="0.25">
      <c r="A68" t="s">
        <v>760</v>
      </c>
      <c r="B68" t="s">
        <v>3</v>
      </c>
      <c r="C68">
        <v>66.992665036674808</v>
      </c>
      <c r="D68">
        <v>1.5892420537897312</v>
      </c>
      <c r="E68">
        <v>31.418092909535449</v>
      </c>
    </row>
    <row r="69" spans="1:5" x14ac:dyDescent="0.25">
      <c r="A69" t="s">
        <v>760</v>
      </c>
      <c r="B69" t="s">
        <v>26</v>
      </c>
      <c r="C69">
        <v>61.197982345523329</v>
      </c>
      <c r="D69">
        <v>1.1727616645649432</v>
      </c>
      <c r="E69">
        <v>37.629255989911726</v>
      </c>
    </row>
    <row r="70" spans="1:5" x14ac:dyDescent="0.25">
      <c r="A70" t="s">
        <v>760</v>
      </c>
      <c r="B70" t="s">
        <v>308</v>
      </c>
      <c r="C70">
        <v>62.298095863427449</v>
      </c>
      <c r="D70">
        <v>1.1950098489822718</v>
      </c>
      <c r="E70">
        <v>36.506894287590278</v>
      </c>
    </row>
    <row r="71" spans="1:5" x14ac:dyDescent="0.25">
      <c r="A71" t="s">
        <v>760</v>
      </c>
      <c r="B71" t="s">
        <v>299</v>
      </c>
      <c r="C71">
        <v>34.603174603174601</v>
      </c>
      <c r="D71">
        <v>0.63492063492063489</v>
      </c>
      <c r="E71">
        <v>64.761904761904759</v>
      </c>
    </row>
    <row r="72" spans="1:5" x14ac:dyDescent="0.25">
      <c r="A72" t="s">
        <v>760</v>
      </c>
      <c r="B72" t="s">
        <v>300</v>
      </c>
      <c r="C72">
        <v>60.478547854785482</v>
      </c>
      <c r="D72">
        <v>1.2376237623762376</v>
      </c>
      <c r="E72">
        <v>38.283828382838287</v>
      </c>
    </row>
    <row r="73" spans="1:5" x14ac:dyDescent="0.25">
      <c r="A73" t="s">
        <v>917</v>
      </c>
      <c r="B73" t="s">
        <v>2</v>
      </c>
      <c r="C73">
        <v>56.593406593406591</v>
      </c>
      <c r="D73">
        <v>1.098901098901099</v>
      </c>
      <c r="E73">
        <v>42.307692307692307</v>
      </c>
    </row>
    <row r="74" spans="1:5" x14ac:dyDescent="0.25">
      <c r="A74" t="s">
        <v>917</v>
      </c>
      <c r="B74" t="s">
        <v>9</v>
      </c>
      <c r="C74">
        <v>61.142061281337043</v>
      </c>
      <c r="D74">
        <v>0.94011142061281339</v>
      </c>
      <c r="E74">
        <v>37.917827298050142</v>
      </c>
    </row>
    <row r="75" spans="1:5" x14ac:dyDescent="0.25">
      <c r="A75" t="s">
        <v>917</v>
      </c>
      <c r="B75" t="s">
        <v>761</v>
      </c>
      <c r="C75">
        <v>87.037037037037038</v>
      </c>
      <c r="D75">
        <v>1.8518518518518516</v>
      </c>
      <c r="E75">
        <v>11.111111111111111</v>
      </c>
    </row>
    <row r="76" spans="1:5" x14ac:dyDescent="0.25">
      <c r="A76" t="s">
        <v>917</v>
      </c>
      <c r="B76" t="s">
        <v>3</v>
      </c>
      <c r="C76">
        <v>66.746411483253581</v>
      </c>
      <c r="D76">
        <v>1.7942583732057416</v>
      </c>
      <c r="E76">
        <v>31.459330143540669</v>
      </c>
    </row>
    <row r="77" spans="1:5" x14ac:dyDescent="0.25">
      <c r="A77" t="s">
        <v>917</v>
      </c>
      <c r="B77" t="s">
        <v>26</v>
      </c>
      <c r="C77">
        <v>60.094496232920449</v>
      </c>
      <c r="D77">
        <v>1.2131273145192185</v>
      </c>
      <c r="E77">
        <v>38.692376452560339</v>
      </c>
    </row>
    <row r="78" spans="1:5" x14ac:dyDescent="0.25">
      <c r="A78" t="s">
        <v>917</v>
      </c>
      <c r="B78" t="s">
        <v>308</v>
      </c>
      <c r="C78">
        <v>61.091923485653567</v>
      </c>
      <c r="D78">
        <v>1.2353878852284803</v>
      </c>
      <c r="E78">
        <v>37.672688629117964</v>
      </c>
    </row>
    <row r="79" spans="1:5" x14ac:dyDescent="0.25">
      <c r="A79" t="s">
        <v>917</v>
      </c>
      <c r="B79" t="s">
        <v>299</v>
      </c>
      <c r="C79">
        <v>35.313531353135311</v>
      </c>
      <c r="D79">
        <v>0.66006600660066006</v>
      </c>
      <c r="E79">
        <v>64.026402640264024</v>
      </c>
    </row>
    <row r="80" spans="1:5" x14ac:dyDescent="0.25">
      <c r="A80" t="s">
        <v>917</v>
      </c>
      <c r="B80" t="s">
        <v>300</v>
      </c>
      <c r="C80">
        <v>59.5703125</v>
      </c>
      <c r="D80">
        <v>1.3392857142857142</v>
      </c>
      <c r="E80">
        <v>39.090401785714285</v>
      </c>
    </row>
    <row r="81" spans="1:5" x14ac:dyDescent="0.25">
      <c r="A81" t="s">
        <v>1010</v>
      </c>
    </row>
    <row r="82" spans="1:5" x14ac:dyDescent="0.25">
      <c r="A82" t="s">
        <v>1010</v>
      </c>
      <c r="B82" t="s">
        <v>2</v>
      </c>
      <c r="C82">
        <v>55.932203389830505</v>
      </c>
      <c r="D82">
        <v>2.2598870056497176</v>
      </c>
      <c r="E82">
        <v>41.807909604519772</v>
      </c>
    </row>
    <row r="83" spans="1:5" x14ac:dyDescent="0.25">
      <c r="A83" t="s">
        <v>1010</v>
      </c>
      <c r="B83" t="s">
        <v>9</v>
      </c>
      <c r="C83">
        <v>58.819268381021374</v>
      </c>
      <c r="D83">
        <v>0.94168779427743576</v>
      </c>
      <c r="E83">
        <v>40.239043824701191</v>
      </c>
    </row>
    <row r="84" spans="1:5" x14ac:dyDescent="0.25">
      <c r="A84" t="s">
        <v>1010</v>
      </c>
      <c r="B84" t="s">
        <v>761</v>
      </c>
      <c r="C84">
        <v>88.679245283018872</v>
      </c>
      <c r="D84">
        <v>1.8867924528301887</v>
      </c>
      <c r="E84">
        <v>9.433962264150944</v>
      </c>
    </row>
    <row r="85" spans="1:5" x14ac:dyDescent="0.25">
      <c r="A85" t="s">
        <v>1010</v>
      </c>
      <c r="B85" t="s">
        <v>3</v>
      </c>
      <c r="C85">
        <v>63.163481953290869</v>
      </c>
      <c r="D85">
        <v>2.335456475583864</v>
      </c>
      <c r="E85">
        <v>34.501061571125263</v>
      </c>
    </row>
    <row r="86" spans="1:5" x14ac:dyDescent="0.25">
      <c r="A86" t="s">
        <v>1010</v>
      </c>
      <c r="B86" t="s">
        <v>26</v>
      </c>
      <c r="C86">
        <v>58.402449917060096</v>
      </c>
      <c r="D86">
        <v>1.327038407553911</v>
      </c>
      <c r="E86">
        <v>40.27051167538599</v>
      </c>
    </row>
    <row r="87" spans="1:5" x14ac:dyDescent="0.25">
      <c r="A87" t="s">
        <v>1010</v>
      </c>
      <c r="B87" t="s">
        <v>308</v>
      </c>
      <c r="C87">
        <v>59.304812834224599</v>
      </c>
      <c r="D87">
        <v>1.3636363636363635</v>
      </c>
      <c r="E87">
        <v>39.331550802139034</v>
      </c>
    </row>
    <row r="88" spans="1:5" x14ac:dyDescent="0.25">
      <c r="A88" t="s">
        <v>1010</v>
      </c>
      <c r="B88" t="s">
        <v>299</v>
      </c>
      <c r="C88">
        <v>36.823104693140799</v>
      </c>
      <c r="D88">
        <v>0.72202166064981954</v>
      </c>
      <c r="E88">
        <v>62.454873646209386</v>
      </c>
    </row>
    <row r="89" spans="1:5" x14ac:dyDescent="0.25">
      <c r="A89" t="s">
        <v>1010</v>
      </c>
      <c r="B89" t="s">
        <v>300</v>
      </c>
      <c r="C89">
        <v>58.387369608119535</v>
      </c>
      <c r="D89">
        <v>1.381449111925571</v>
      </c>
      <c r="E89">
        <v>40.231181279954889</v>
      </c>
    </row>
    <row r="90" spans="1:5" x14ac:dyDescent="0.25">
      <c r="A90" t="s">
        <v>1061</v>
      </c>
    </row>
    <row r="91" spans="1:5" x14ac:dyDescent="0.25">
      <c r="A91" t="s">
        <v>1061</v>
      </c>
      <c r="B91" t="s">
        <v>2</v>
      </c>
      <c r="C91">
        <v>52.298850574712638</v>
      </c>
      <c r="D91">
        <v>2.2988505747126435</v>
      </c>
      <c r="E91">
        <v>45.402298850574709</v>
      </c>
    </row>
    <row r="92" spans="1:5" x14ac:dyDescent="0.25">
      <c r="A92" t="s">
        <v>1061</v>
      </c>
      <c r="B92" t="s">
        <v>9</v>
      </c>
      <c r="C92">
        <v>55.190058479532169</v>
      </c>
      <c r="D92">
        <v>1.0599415204678362</v>
      </c>
      <c r="E92">
        <v>43.75</v>
      </c>
    </row>
    <row r="93" spans="1:5" x14ac:dyDescent="0.25">
      <c r="A93" t="s">
        <v>1061</v>
      </c>
      <c r="B93" t="s">
        <v>761</v>
      </c>
      <c r="C93">
        <v>88.888888888888886</v>
      </c>
      <c r="D93">
        <v>1.8518518518518516</v>
      </c>
      <c r="E93">
        <v>9.2592592592592595</v>
      </c>
    </row>
    <row r="94" spans="1:5" x14ac:dyDescent="0.25">
      <c r="A94" t="s">
        <v>1061</v>
      </c>
      <c r="B94" t="s">
        <v>3</v>
      </c>
      <c r="C94">
        <v>60.799136069114468</v>
      </c>
      <c r="D94">
        <v>2.2678185745140391</v>
      </c>
      <c r="E94">
        <v>36.933045356371494</v>
      </c>
    </row>
    <row r="95" spans="1:5" x14ac:dyDescent="0.25">
      <c r="A95" t="s">
        <v>1061</v>
      </c>
      <c r="B95" t="s">
        <v>26</v>
      </c>
      <c r="C95">
        <v>55.432969852469526</v>
      </c>
      <c r="D95">
        <v>1.308531109685696</v>
      </c>
      <c r="E95">
        <v>43.258499037844771</v>
      </c>
    </row>
    <row r="96" spans="1:5" x14ac:dyDescent="0.25">
      <c r="A96" t="s">
        <v>1061</v>
      </c>
      <c r="B96" t="s">
        <v>308</v>
      </c>
      <c r="C96">
        <v>56.313301823092509</v>
      </c>
      <c r="D96">
        <v>1.3639432815665091</v>
      </c>
      <c r="E96">
        <v>42.322754895340985</v>
      </c>
    </row>
    <row r="97" spans="1:5" x14ac:dyDescent="0.25">
      <c r="A97" t="s">
        <v>1061</v>
      </c>
      <c r="B97" t="s">
        <v>299</v>
      </c>
      <c r="C97">
        <v>36.84210526315789</v>
      </c>
      <c r="D97">
        <v>0.37593984962406013</v>
      </c>
      <c r="E97">
        <v>62.781954887218049</v>
      </c>
    </row>
    <row r="98" spans="1:5" x14ac:dyDescent="0.25">
      <c r="A98" t="s">
        <v>1061</v>
      </c>
      <c r="B98" t="s">
        <v>300</v>
      </c>
      <c r="C98">
        <v>55.704125177809395</v>
      </c>
      <c r="D98">
        <v>1.3086770981507825</v>
      </c>
      <c r="E98">
        <v>42.987197724039831</v>
      </c>
    </row>
    <row r="99" spans="1:5" x14ac:dyDescent="0.25">
      <c r="A99" t="s">
        <v>1108</v>
      </c>
    </row>
    <row r="100" spans="1:5" x14ac:dyDescent="0.25">
      <c r="A100" t="s">
        <v>1108</v>
      </c>
      <c r="B100" t="s">
        <v>2</v>
      </c>
      <c r="C100">
        <v>51.445086705202314</v>
      </c>
      <c r="D100">
        <v>2.3121387283236992</v>
      </c>
      <c r="E100">
        <v>46.24277456647399</v>
      </c>
    </row>
    <row r="101" spans="1:5" x14ac:dyDescent="0.25">
      <c r="A101" t="s">
        <v>1108</v>
      </c>
      <c r="B101" t="s">
        <v>9</v>
      </c>
      <c r="C101">
        <v>50.994108983799705</v>
      </c>
      <c r="D101">
        <v>0.81001472754050086</v>
      </c>
      <c r="E101">
        <v>48.195876288659797</v>
      </c>
    </row>
    <row r="102" spans="1:5" x14ac:dyDescent="0.25">
      <c r="A102" t="s">
        <v>1108</v>
      </c>
      <c r="B102" t="s">
        <v>761</v>
      </c>
      <c r="C102">
        <v>88.888888888888886</v>
      </c>
      <c r="D102">
        <v>1.8518518518518516</v>
      </c>
      <c r="E102">
        <v>9.2592592592592595</v>
      </c>
    </row>
    <row r="103" spans="1:5" x14ac:dyDescent="0.25">
      <c r="A103" t="s">
        <v>1108</v>
      </c>
      <c r="B103" t="s">
        <v>3</v>
      </c>
      <c r="C103">
        <v>58.681318681318686</v>
      </c>
      <c r="D103">
        <v>2.197802197802198</v>
      </c>
      <c r="E103">
        <v>39.120879120879124</v>
      </c>
    </row>
    <row r="104" spans="1:5" x14ac:dyDescent="0.25">
      <c r="A104" t="s">
        <v>1108</v>
      </c>
      <c r="B104" t="s">
        <v>26</v>
      </c>
      <c r="C104">
        <v>52.832879553999746</v>
      </c>
      <c r="D104">
        <v>1.1798262673408531</v>
      </c>
      <c r="E104">
        <v>45.987294178659404</v>
      </c>
    </row>
    <row r="105" spans="1:5" x14ac:dyDescent="0.25">
      <c r="A105" t="s">
        <v>1108</v>
      </c>
      <c r="B105" t="s">
        <v>308</v>
      </c>
      <c r="C105">
        <v>53.749143248800543</v>
      </c>
      <c r="D105">
        <v>1.233721727210418</v>
      </c>
      <c r="E105">
        <v>45.017135023989034</v>
      </c>
    </row>
    <row r="106" spans="1:5" x14ac:dyDescent="0.25">
      <c r="A106" t="s">
        <v>1108</v>
      </c>
      <c r="B106" t="s">
        <v>299</v>
      </c>
      <c r="C106">
        <v>35.555555555555557</v>
      </c>
      <c r="D106">
        <v>0.37037037037037041</v>
      </c>
      <c r="E106">
        <v>64.074074074074076</v>
      </c>
    </row>
    <row r="107" spans="1:5" x14ac:dyDescent="0.25">
      <c r="A107" t="s">
        <v>1108</v>
      </c>
      <c r="B107" t="s">
        <v>300</v>
      </c>
      <c r="C107">
        <v>54.183614177803605</v>
      </c>
      <c r="D107">
        <v>1.2492736780941311</v>
      </c>
      <c r="E107">
        <v>44.567112144102268</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3:AE20"/>
  <sheetViews>
    <sheetView workbookViewId="0">
      <selection activeCell="B9" sqref="B9"/>
    </sheetView>
  </sheetViews>
  <sheetFormatPr defaultRowHeight="15" x14ac:dyDescent="0.25"/>
  <cols>
    <col min="1" max="1" width="12.42578125" bestFit="1" customWidth="1"/>
    <col min="2" max="2" width="15.28515625" bestFit="1" customWidth="1"/>
    <col min="3" max="3" width="20.140625" bestFit="1" customWidth="1"/>
    <col min="4" max="4" width="16.140625" bestFit="1" customWidth="1"/>
    <col min="5" max="5" width="12.140625" bestFit="1" customWidth="1"/>
    <col min="6" max="6" width="20.140625" bestFit="1" customWidth="1"/>
    <col min="7" max="7" width="16.140625" bestFit="1" customWidth="1"/>
    <col min="8" max="8" width="12.140625" bestFit="1" customWidth="1"/>
    <col min="9" max="9" width="20.140625" bestFit="1" customWidth="1"/>
    <col min="10" max="10" width="16.140625" bestFit="1" customWidth="1"/>
    <col min="11" max="11" width="12.140625" bestFit="1" customWidth="1"/>
    <col min="12" max="12" width="20.140625" bestFit="1" customWidth="1"/>
    <col min="13" max="13" width="16.140625" bestFit="1" customWidth="1"/>
    <col min="14" max="14" width="12.140625" bestFit="1" customWidth="1"/>
    <col min="15" max="15" width="20.140625" bestFit="1" customWidth="1"/>
    <col min="16" max="16" width="16.140625" bestFit="1" customWidth="1"/>
    <col min="17" max="17" width="12.140625" bestFit="1" customWidth="1"/>
    <col min="18" max="18" width="20.140625" bestFit="1" customWidth="1"/>
    <col min="19" max="19" width="16.140625" bestFit="1" customWidth="1"/>
    <col min="20" max="20" width="12.140625" bestFit="1" customWidth="1"/>
    <col min="21" max="21" width="20.140625" bestFit="1" customWidth="1"/>
    <col min="22" max="22" width="16.140625" bestFit="1" customWidth="1"/>
    <col min="23" max="23" width="12.140625" bestFit="1" customWidth="1"/>
    <col min="24" max="24" width="20.140625" bestFit="1" customWidth="1"/>
    <col min="25" max="25" width="16.140625" bestFit="1" customWidth="1"/>
    <col min="26" max="26" width="12.140625" bestFit="1" customWidth="1"/>
    <col min="27" max="27" width="20.140625" bestFit="1" customWidth="1"/>
    <col min="28" max="28" width="16.140625" bestFit="1" customWidth="1"/>
    <col min="29" max="29" width="17.140625" bestFit="1" customWidth="1"/>
    <col min="30" max="30" width="24.85546875" bestFit="1" customWidth="1"/>
    <col min="31" max="31" width="21.140625" bestFit="1" customWidth="1"/>
  </cols>
  <sheetData>
    <row r="3" spans="1:31" x14ac:dyDescent="0.25">
      <c r="B3" s="394" t="s">
        <v>255</v>
      </c>
    </row>
    <row r="4" spans="1:31" x14ac:dyDescent="0.25">
      <c r="B4" t="s">
        <v>2</v>
      </c>
      <c r="E4" t="s">
        <v>9</v>
      </c>
      <c r="H4" t="s">
        <v>761</v>
      </c>
      <c r="K4" t="s">
        <v>3</v>
      </c>
      <c r="N4" t="s">
        <v>26</v>
      </c>
      <c r="Q4" t="s">
        <v>308</v>
      </c>
      <c r="T4" t="s">
        <v>299</v>
      </c>
      <c r="W4" t="s">
        <v>300</v>
      </c>
      <c r="Z4" t="s">
        <v>298</v>
      </c>
      <c r="AC4" t="s">
        <v>997</v>
      </c>
      <c r="AD4" t="s">
        <v>998</v>
      </c>
      <c r="AE4" t="s">
        <v>999</v>
      </c>
    </row>
    <row r="5" spans="1:31" x14ac:dyDescent="0.25">
      <c r="A5" s="394" t="s">
        <v>231</v>
      </c>
      <c r="B5" t="s">
        <v>310</v>
      </c>
      <c r="C5" t="s">
        <v>312</v>
      </c>
      <c r="D5" t="s">
        <v>311</v>
      </c>
      <c r="E5" t="s">
        <v>310</v>
      </c>
      <c r="F5" t="s">
        <v>312</v>
      </c>
      <c r="G5" t="s">
        <v>311</v>
      </c>
      <c r="H5" t="s">
        <v>310</v>
      </c>
      <c r="I5" t="s">
        <v>312</v>
      </c>
      <c r="J5" t="s">
        <v>311</v>
      </c>
      <c r="K5" t="s">
        <v>310</v>
      </c>
      <c r="L5" t="s">
        <v>312</v>
      </c>
      <c r="M5" t="s">
        <v>311</v>
      </c>
      <c r="N5" t="s">
        <v>310</v>
      </c>
      <c r="O5" t="s">
        <v>312</v>
      </c>
      <c r="P5" t="s">
        <v>311</v>
      </c>
      <c r="Q5" t="s">
        <v>310</v>
      </c>
      <c r="R5" t="s">
        <v>312</v>
      </c>
      <c r="S5" t="s">
        <v>311</v>
      </c>
      <c r="T5" t="s">
        <v>310</v>
      </c>
      <c r="U5" t="s">
        <v>312</v>
      </c>
      <c r="V5" t="s">
        <v>311</v>
      </c>
      <c r="W5" t="s">
        <v>310</v>
      </c>
      <c r="X5" t="s">
        <v>312</v>
      </c>
      <c r="Y5" t="s">
        <v>311</v>
      </c>
      <c r="Z5" t="s">
        <v>310</v>
      </c>
      <c r="AA5" t="s">
        <v>312</v>
      </c>
      <c r="AB5" t="s">
        <v>311</v>
      </c>
    </row>
    <row r="6" spans="1:31" x14ac:dyDescent="0.25">
      <c r="A6" s="395" t="s">
        <v>923</v>
      </c>
      <c r="B6">
        <v>90.6</v>
      </c>
      <c r="C6">
        <v>0.4</v>
      </c>
      <c r="D6">
        <v>9</v>
      </c>
      <c r="E6">
        <v>83.7</v>
      </c>
      <c r="F6">
        <v>0.2</v>
      </c>
      <c r="G6">
        <v>16.100000000000001</v>
      </c>
      <c r="K6">
        <v>80.7</v>
      </c>
      <c r="L6">
        <v>1.1000000000000001</v>
      </c>
      <c r="M6">
        <v>18.2</v>
      </c>
      <c r="N6">
        <v>82.1</v>
      </c>
      <c r="O6">
        <v>0.6</v>
      </c>
      <c r="P6">
        <v>17.3</v>
      </c>
      <c r="Q6">
        <v>82.9</v>
      </c>
      <c r="R6">
        <v>0.6</v>
      </c>
      <c r="S6">
        <v>16.5</v>
      </c>
      <c r="T6">
        <v>67.5</v>
      </c>
      <c r="U6">
        <v>0.2</v>
      </c>
      <c r="V6">
        <v>32.299999999999997</v>
      </c>
      <c r="W6">
        <v>82.5</v>
      </c>
      <c r="X6">
        <v>0.8</v>
      </c>
      <c r="Y6">
        <v>16.7</v>
      </c>
      <c r="AC6">
        <v>570</v>
      </c>
      <c r="AD6">
        <v>3.9000000000000004</v>
      </c>
      <c r="AE6">
        <v>126.1</v>
      </c>
    </row>
    <row r="7" spans="1:31" x14ac:dyDescent="0.25">
      <c r="A7" s="395" t="s">
        <v>309</v>
      </c>
      <c r="B7">
        <v>84.6</v>
      </c>
      <c r="C7">
        <v>0.4</v>
      </c>
      <c r="D7">
        <v>15</v>
      </c>
      <c r="E7">
        <v>81.8</v>
      </c>
      <c r="F7">
        <v>0.2</v>
      </c>
      <c r="G7">
        <v>18</v>
      </c>
      <c r="K7">
        <v>65.5</v>
      </c>
      <c r="L7">
        <v>1</v>
      </c>
      <c r="M7">
        <v>33.5</v>
      </c>
      <c r="N7">
        <v>74.400000000000006</v>
      </c>
      <c r="O7">
        <v>0.6</v>
      </c>
      <c r="P7">
        <v>25</v>
      </c>
      <c r="Q7">
        <v>75</v>
      </c>
      <c r="R7">
        <v>0.6</v>
      </c>
      <c r="S7">
        <v>24.4</v>
      </c>
      <c r="T7">
        <v>62.7</v>
      </c>
      <c r="U7">
        <v>0.2</v>
      </c>
      <c r="V7">
        <v>37</v>
      </c>
      <c r="W7">
        <v>72.2</v>
      </c>
      <c r="X7">
        <v>0.8</v>
      </c>
      <c r="Y7">
        <v>27.1</v>
      </c>
      <c r="AC7">
        <v>516.19999999999993</v>
      </c>
      <c r="AD7">
        <v>3.8000000000000007</v>
      </c>
      <c r="AE7">
        <v>180</v>
      </c>
    </row>
    <row r="8" spans="1:31" x14ac:dyDescent="0.25">
      <c r="A8" s="395" t="s">
        <v>193</v>
      </c>
      <c r="B8">
        <v>89.7</v>
      </c>
      <c r="C8">
        <v>0.4</v>
      </c>
      <c r="D8">
        <v>9.8000000000000007</v>
      </c>
      <c r="E8">
        <v>80.900000000000006</v>
      </c>
      <c r="F8">
        <v>0.2</v>
      </c>
      <c r="G8">
        <v>18.899999999999999</v>
      </c>
      <c r="K8">
        <v>78.400000000000006</v>
      </c>
      <c r="L8">
        <v>1</v>
      </c>
      <c r="M8">
        <v>20.6</v>
      </c>
      <c r="N8">
        <v>80.099999999999994</v>
      </c>
      <c r="O8">
        <v>0.6</v>
      </c>
      <c r="P8">
        <v>19.3</v>
      </c>
      <c r="Q8">
        <v>81</v>
      </c>
      <c r="R8">
        <v>0.6</v>
      </c>
      <c r="S8">
        <v>18.399999999999999</v>
      </c>
      <c r="T8">
        <v>61.4</v>
      </c>
      <c r="U8">
        <v>0.5</v>
      </c>
      <c r="V8">
        <v>38.1</v>
      </c>
      <c r="W8">
        <v>81.2</v>
      </c>
      <c r="X8">
        <v>0.7</v>
      </c>
      <c r="Y8">
        <v>18</v>
      </c>
      <c r="AC8">
        <v>552.70000000000005</v>
      </c>
      <c r="AD8">
        <v>4</v>
      </c>
      <c r="AE8">
        <v>143.1</v>
      </c>
    </row>
    <row r="9" spans="1:31" x14ac:dyDescent="0.25">
      <c r="A9" s="395" t="s">
        <v>192</v>
      </c>
      <c r="B9">
        <v>49.3</v>
      </c>
      <c r="D9">
        <v>50.7</v>
      </c>
      <c r="E9">
        <v>69.599999999999994</v>
      </c>
      <c r="F9">
        <v>1.1000000000000001</v>
      </c>
      <c r="G9">
        <v>29.3</v>
      </c>
      <c r="K9">
        <v>55.2</v>
      </c>
      <c r="L9">
        <v>1</v>
      </c>
      <c r="M9">
        <v>43.8</v>
      </c>
      <c r="N9">
        <v>61.1</v>
      </c>
      <c r="O9">
        <v>0.8</v>
      </c>
      <c r="P9">
        <v>38.1</v>
      </c>
      <c r="Q9">
        <v>62.5</v>
      </c>
      <c r="R9">
        <v>0.8</v>
      </c>
      <c r="S9">
        <v>36.700000000000003</v>
      </c>
      <c r="T9">
        <v>30.1</v>
      </c>
      <c r="U9">
        <v>0.6</v>
      </c>
      <c r="V9">
        <v>69.400000000000006</v>
      </c>
      <c r="W9">
        <v>59.8</v>
      </c>
      <c r="X9">
        <v>0.6</v>
      </c>
      <c r="Y9">
        <v>39.6</v>
      </c>
      <c r="AC9">
        <v>387.6</v>
      </c>
      <c r="AD9">
        <v>4.8999999999999995</v>
      </c>
      <c r="AE9">
        <v>307.60000000000002</v>
      </c>
    </row>
    <row r="10" spans="1:31" x14ac:dyDescent="0.25">
      <c r="A10" s="395" t="s">
        <v>191</v>
      </c>
      <c r="B10">
        <v>63</v>
      </c>
      <c r="C10">
        <v>0.4</v>
      </c>
      <c r="D10">
        <v>36.5</v>
      </c>
      <c r="E10">
        <v>67</v>
      </c>
      <c r="F10">
        <v>0.1</v>
      </c>
      <c r="G10">
        <v>32.799999999999997</v>
      </c>
      <c r="K10">
        <v>53.7</v>
      </c>
      <c r="L10">
        <v>1.2</v>
      </c>
      <c r="M10">
        <v>45.1</v>
      </c>
      <c r="N10">
        <v>60.2</v>
      </c>
      <c r="O10">
        <v>0.5</v>
      </c>
      <c r="P10">
        <v>39.299999999999997</v>
      </c>
      <c r="Q10">
        <v>61.8</v>
      </c>
      <c r="R10">
        <v>0.5</v>
      </c>
      <c r="S10">
        <v>37.700000000000003</v>
      </c>
      <c r="T10">
        <v>26.7</v>
      </c>
      <c r="U10">
        <v>0.5</v>
      </c>
      <c r="V10">
        <v>72.8</v>
      </c>
      <c r="W10">
        <v>59.5</v>
      </c>
      <c r="X10">
        <v>0.6</v>
      </c>
      <c r="Y10">
        <v>39.9</v>
      </c>
      <c r="AC10">
        <v>391.9</v>
      </c>
      <c r="AD10">
        <v>3.8000000000000003</v>
      </c>
      <c r="AE10">
        <v>304.09999999999997</v>
      </c>
    </row>
    <row r="11" spans="1:31" x14ac:dyDescent="0.25">
      <c r="A11" s="395" t="s">
        <v>190</v>
      </c>
      <c r="B11">
        <v>64</v>
      </c>
      <c r="C11">
        <v>0.5</v>
      </c>
      <c r="D11">
        <v>35.5</v>
      </c>
      <c r="E11">
        <v>60</v>
      </c>
      <c r="F11">
        <v>0.6</v>
      </c>
      <c r="G11">
        <v>39.4</v>
      </c>
      <c r="K11">
        <v>53.4</v>
      </c>
      <c r="L11">
        <v>0.8</v>
      </c>
      <c r="M11">
        <v>45.8</v>
      </c>
      <c r="N11">
        <v>55.3</v>
      </c>
      <c r="O11">
        <v>0.6</v>
      </c>
      <c r="P11">
        <v>44.1</v>
      </c>
      <c r="Q11">
        <v>56.3</v>
      </c>
      <c r="R11">
        <v>0.6</v>
      </c>
      <c r="S11">
        <v>43.1</v>
      </c>
      <c r="T11">
        <v>32.5</v>
      </c>
      <c r="U11">
        <v>0.9</v>
      </c>
      <c r="V11">
        <v>66.7</v>
      </c>
      <c r="W11">
        <v>53.7</v>
      </c>
      <c r="X11">
        <v>0.5</v>
      </c>
      <c r="Y11">
        <v>45.7</v>
      </c>
      <c r="AC11">
        <v>375.2</v>
      </c>
      <c r="AD11">
        <v>4.5</v>
      </c>
      <c r="AE11">
        <v>320.3</v>
      </c>
    </row>
    <row r="12" spans="1:31" x14ac:dyDescent="0.25">
      <c r="A12" s="395" t="s">
        <v>257</v>
      </c>
      <c r="B12">
        <v>55.8</v>
      </c>
      <c r="C12">
        <v>0.6</v>
      </c>
      <c r="D12">
        <v>43.6</v>
      </c>
      <c r="E12">
        <v>58</v>
      </c>
      <c r="F12">
        <v>0.6</v>
      </c>
      <c r="G12">
        <v>41.4</v>
      </c>
      <c r="K12">
        <v>53.9</v>
      </c>
      <c r="L12">
        <v>0.6</v>
      </c>
      <c r="M12">
        <v>45.5</v>
      </c>
      <c r="N12">
        <v>53.7</v>
      </c>
      <c r="O12">
        <v>0.6</v>
      </c>
      <c r="P12">
        <v>45.7</v>
      </c>
      <c r="Q12">
        <v>54.2</v>
      </c>
      <c r="R12">
        <v>0.6</v>
      </c>
      <c r="S12">
        <v>45.2</v>
      </c>
      <c r="T12">
        <v>42.7</v>
      </c>
      <c r="U12">
        <v>0.3</v>
      </c>
      <c r="V12">
        <v>57</v>
      </c>
      <c r="W12">
        <v>51.2</v>
      </c>
      <c r="X12">
        <v>0.5</v>
      </c>
      <c r="Y12">
        <v>48.3</v>
      </c>
      <c r="AC12">
        <v>369.49999999999994</v>
      </c>
      <c r="AD12">
        <v>3.8</v>
      </c>
      <c r="AE12">
        <v>326.7</v>
      </c>
    </row>
    <row r="13" spans="1:31" x14ac:dyDescent="0.25">
      <c r="A13" s="395" t="s">
        <v>240</v>
      </c>
      <c r="B13">
        <v>52.9</v>
      </c>
      <c r="C13">
        <v>0.5</v>
      </c>
      <c r="D13">
        <v>46.6</v>
      </c>
      <c r="E13">
        <v>65.900000000000006</v>
      </c>
      <c r="F13">
        <v>1.2</v>
      </c>
      <c r="G13">
        <v>32.9</v>
      </c>
      <c r="K13">
        <v>61.2</v>
      </c>
      <c r="L13">
        <v>1.4</v>
      </c>
      <c r="M13">
        <v>37.4</v>
      </c>
      <c r="N13">
        <v>59.2</v>
      </c>
      <c r="O13">
        <v>1.2</v>
      </c>
      <c r="P13">
        <v>39.6</v>
      </c>
      <c r="Q13">
        <v>60.2</v>
      </c>
      <c r="R13">
        <v>1.2</v>
      </c>
      <c r="S13">
        <v>38.6</v>
      </c>
      <c r="T13">
        <v>37.299999999999997</v>
      </c>
      <c r="U13">
        <v>0.6</v>
      </c>
      <c r="V13">
        <v>62</v>
      </c>
      <c r="W13">
        <v>55.7</v>
      </c>
      <c r="X13">
        <v>1.2</v>
      </c>
      <c r="Y13">
        <v>43.1</v>
      </c>
      <c r="AC13">
        <v>392.4</v>
      </c>
      <c r="AD13">
        <v>7.3</v>
      </c>
      <c r="AE13">
        <v>300.20000000000005</v>
      </c>
    </row>
    <row r="14" spans="1:31" x14ac:dyDescent="0.25">
      <c r="A14" s="395" t="s">
        <v>239</v>
      </c>
      <c r="B14">
        <v>53.623188405797109</v>
      </c>
      <c r="C14">
        <v>0.96618357487922701</v>
      </c>
      <c r="D14">
        <v>45.410628019323674</v>
      </c>
      <c r="E14">
        <v>67.558415171012527</v>
      </c>
      <c r="F14">
        <v>1.1175076193701321</v>
      </c>
      <c r="G14">
        <v>31.324077209617339</v>
      </c>
      <c r="K14">
        <v>68.055555555555557</v>
      </c>
      <c r="L14">
        <v>1.7676767676767675</v>
      </c>
      <c r="M14">
        <v>30.176767676767675</v>
      </c>
      <c r="N14">
        <v>62.699215785479382</v>
      </c>
      <c r="O14">
        <v>1.2142676448267138</v>
      </c>
      <c r="P14">
        <v>36.086516569693906</v>
      </c>
      <c r="Q14">
        <v>63.802872578732369</v>
      </c>
      <c r="R14">
        <v>1.2386348662537885</v>
      </c>
      <c r="S14">
        <v>34.958492555013834</v>
      </c>
      <c r="T14">
        <v>36.277602523659311</v>
      </c>
      <c r="U14">
        <v>0.63091482649842268</v>
      </c>
      <c r="V14">
        <v>63.09148264984227</v>
      </c>
      <c r="W14">
        <v>60.406928787462199</v>
      </c>
      <c r="X14">
        <v>1.2372834753918065</v>
      </c>
      <c r="Y14">
        <v>38.355787737146002</v>
      </c>
      <c r="AC14">
        <v>412.42377880769851</v>
      </c>
      <c r="AD14">
        <v>8.1724687748968563</v>
      </c>
      <c r="AE14">
        <v>279.40375241740469</v>
      </c>
    </row>
    <row r="15" spans="1:31" x14ac:dyDescent="0.25">
      <c r="A15" s="395" t="s">
        <v>760</v>
      </c>
      <c r="B15">
        <v>53.191489361702125</v>
      </c>
      <c r="C15">
        <v>1.0638297872340425</v>
      </c>
      <c r="D15">
        <v>45.744680851063826</v>
      </c>
      <c r="E15">
        <v>63.534218590398361</v>
      </c>
      <c r="F15">
        <v>1.0554988083077972</v>
      </c>
      <c r="G15">
        <v>35.410282601293837</v>
      </c>
      <c r="H15">
        <v>86.111111111111114</v>
      </c>
      <c r="J15">
        <v>13.888888888888889</v>
      </c>
      <c r="K15">
        <v>66.992665036674808</v>
      </c>
      <c r="L15">
        <v>1.5892420537897312</v>
      </c>
      <c r="M15">
        <v>31.418092909535449</v>
      </c>
      <c r="N15">
        <v>61.197982345523329</v>
      </c>
      <c r="O15">
        <v>1.1727616645649432</v>
      </c>
      <c r="P15">
        <v>37.629255989911726</v>
      </c>
      <c r="Q15">
        <v>62.298095863427449</v>
      </c>
      <c r="R15">
        <v>1.1950098489822718</v>
      </c>
      <c r="S15">
        <v>36.506894287590278</v>
      </c>
      <c r="T15">
        <v>34.603174603174601</v>
      </c>
      <c r="U15">
        <v>0.63492063492063489</v>
      </c>
      <c r="V15">
        <v>64.761904761904759</v>
      </c>
      <c r="W15">
        <v>60.478547854785482</v>
      </c>
      <c r="X15">
        <v>1.2376237623762376</v>
      </c>
      <c r="Y15">
        <v>38.283828382838287</v>
      </c>
      <c r="AC15">
        <v>488.40728476679726</v>
      </c>
      <c r="AD15">
        <v>7.9488865601756586</v>
      </c>
      <c r="AE15">
        <v>303.64382867302703</v>
      </c>
    </row>
    <row r="16" spans="1:31" x14ac:dyDescent="0.25">
      <c r="A16" s="395" t="s">
        <v>917</v>
      </c>
      <c r="B16">
        <v>56.593406593406591</v>
      </c>
      <c r="C16">
        <v>1.098901098901099</v>
      </c>
      <c r="D16">
        <v>42.307692307692307</v>
      </c>
      <c r="E16">
        <v>61.142061281337043</v>
      </c>
      <c r="F16">
        <v>0.94011142061281339</v>
      </c>
      <c r="G16">
        <v>37.917827298050142</v>
      </c>
      <c r="H16">
        <v>87.037037037037038</v>
      </c>
      <c r="I16">
        <v>1.8518518518518516</v>
      </c>
      <c r="J16">
        <v>11.111111111111111</v>
      </c>
      <c r="K16">
        <v>66.746411483253581</v>
      </c>
      <c r="L16">
        <v>1.7942583732057416</v>
      </c>
      <c r="M16">
        <v>31.459330143540669</v>
      </c>
      <c r="N16">
        <v>60.094496232920449</v>
      </c>
      <c r="O16">
        <v>1.2131273145192185</v>
      </c>
      <c r="P16">
        <v>38.692376452560339</v>
      </c>
      <c r="Q16">
        <v>61.091923485653567</v>
      </c>
      <c r="R16">
        <v>1.2353878852284803</v>
      </c>
      <c r="S16">
        <v>37.672688629117964</v>
      </c>
      <c r="T16">
        <v>35.313531353135311</v>
      </c>
      <c r="U16">
        <v>0.66006600660066006</v>
      </c>
      <c r="V16">
        <v>64.026402640264024</v>
      </c>
      <c r="W16">
        <v>59.5703125</v>
      </c>
      <c r="X16">
        <v>1.3392857142857142</v>
      </c>
      <c r="Y16">
        <v>39.090401785714285</v>
      </c>
      <c r="AC16">
        <v>487.58917996674359</v>
      </c>
      <c r="AD16">
        <v>10.132989665205578</v>
      </c>
      <c r="AE16">
        <v>302.27783036805084</v>
      </c>
    </row>
    <row r="17" spans="1:31" x14ac:dyDescent="0.25">
      <c r="A17" s="395" t="s">
        <v>1010</v>
      </c>
      <c r="B17">
        <v>55.932203389830505</v>
      </c>
      <c r="C17">
        <v>2.2598870056497176</v>
      </c>
      <c r="D17">
        <v>41.807909604519772</v>
      </c>
      <c r="E17">
        <v>58.819268381021374</v>
      </c>
      <c r="F17">
        <v>0.94168779427743576</v>
      </c>
      <c r="G17">
        <v>40.239043824701191</v>
      </c>
      <c r="H17">
        <v>88.679245283018872</v>
      </c>
      <c r="I17">
        <v>1.8867924528301887</v>
      </c>
      <c r="J17">
        <v>9.433962264150944</v>
      </c>
      <c r="K17">
        <v>63.163481953290869</v>
      </c>
      <c r="L17">
        <v>2.335456475583864</v>
      </c>
      <c r="M17">
        <v>34.501061571125263</v>
      </c>
      <c r="N17">
        <v>58.402449917060096</v>
      </c>
      <c r="O17">
        <v>1.327038407553911</v>
      </c>
      <c r="P17">
        <v>40.27051167538599</v>
      </c>
      <c r="Q17">
        <v>59.304812834224599</v>
      </c>
      <c r="R17">
        <v>1.3636363636363635</v>
      </c>
      <c r="S17">
        <v>39.331550802139034</v>
      </c>
      <c r="T17">
        <v>36.823104693140799</v>
      </c>
      <c r="U17">
        <v>0.72202166064981954</v>
      </c>
      <c r="V17">
        <v>62.454873646209386</v>
      </c>
      <c r="W17">
        <v>58.387369608119535</v>
      </c>
      <c r="X17">
        <v>1.381449111925571</v>
      </c>
      <c r="Y17">
        <v>40.231181279954889</v>
      </c>
      <c r="AC17">
        <v>479.51193605970661</v>
      </c>
      <c r="AD17">
        <v>12.21796927210687</v>
      </c>
      <c r="AE17">
        <v>308.27009466818646</v>
      </c>
    </row>
    <row r="18" spans="1:31" x14ac:dyDescent="0.25">
      <c r="A18" s="395" t="s">
        <v>1061</v>
      </c>
      <c r="B18">
        <v>52.298850574712638</v>
      </c>
      <c r="C18">
        <v>2.2988505747126435</v>
      </c>
      <c r="D18">
        <v>45.402298850574709</v>
      </c>
      <c r="E18">
        <v>55.190058479532169</v>
      </c>
      <c r="F18">
        <v>1.0599415204678362</v>
      </c>
      <c r="G18">
        <v>43.75</v>
      </c>
      <c r="H18">
        <v>88.888888888888886</v>
      </c>
      <c r="I18">
        <v>1.8518518518518516</v>
      </c>
      <c r="J18">
        <v>9.2592592592592595</v>
      </c>
      <c r="K18">
        <v>60.799136069114468</v>
      </c>
      <c r="L18">
        <v>2.2678185745140391</v>
      </c>
      <c r="M18">
        <v>36.933045356371494</v>
      </c>
      <c r="N18">
        <v>55.432969852469526</v>
      </c>
      <c r="O18">
        <v>1.308531109685696</v>
      </c>
      <c r="P18">
        <v>43.258499037844771</v>
      </c>
      <c r="Q18">
        <v>56.313301823092509</v>
      </c>
      <c r="R18">
        <v>1.3639432815665091</v>
      </c>
      <c r="S18">
        <v>42.322754895340985</v>
      </c>
      <c r="T18">
        <v>36.84210526315789</v>
      </c>
      <c r="U18">
        <v>0.37593984962406013</v>
      </c>
      <c r="V18">
        <v>62.781954887218049</v>
      </c>
      <c r="W18">
        <v>55.704125177809395</v>
      </c>
      <c r="X18">
        <v>1.3086770981507825</v>
      </c>
      <c r="Y18">
        <v>42.987197724039831</v>
      </c>
      <c r="AC18">
        <v>461.46943612877737</v>
      </c>
      <c r="AD18">
        <v>11.83555386057342</v>
      </c>
      <c r="AE18">
        <v>326.69501001064913</v>
      </c>
    </row>
    <row r="19" spans="1:31" x14ac:dyDescent="0.25">
      <c r="A19" s="395" t="s">
        <v>1108</v>
      </c>
      <c r="B19">
        <v>51.445086705202314</v>
      </c>
      <c r="C19">
        <v>2.3121387283236992</v>
      </c>
      <c r="D19">
        <v>46.24277456647399</v>
      </c>
      <c r="E19">
        <v>50.994108983799705</v>
      </c>
      <c r="F19">
        <v>0.81001472754050086</v>
      </c>
      <c r="G19">
        <v>48.195876288659797</v>
      </c>
      <c r="H19">
        <v>88.888888888888886</v>
      </c>
      <c r="I19">
        <v>1.8518518518518516</v>
      </c>
      <c r="J19">
        <v>9.2592592592592595</v>
      </c>
      <c r="K19">
        <v>58.681318681318686</v>
      </c>
      <c r="L19">
        <v>2.197802197802198</v>
      </c>
      <c r="M19">
        <v>39.120879120879124</v>
      </c>
      <c r="N19">
        <v>52.832879553999746</v>
      </c>
      <c r="O19">
        <v>1.1798262673408531</v>
      </c>
      <c r="P19">
        <v>45.987294178659404</v>
      </c>
      <c r="Q19">
        <v>53.749143248800543</v>
      </c>
      <c r="R19">
        <v>1.233721727210418</v>
      </c>
      <c r="S19">
        <v>45.017135023989034</v>
      </c>
      <c r="T19">
        <v>35.555555555555557</v>
      </c>
      <c r="U19">
        <v>0.37037037037037041</v>
      </c>
      <c r="V19">
        <v>64.074074074074076</v>
      </c>
      <c r="W19">
        <v>54.183614177803605</v>
      </c>
      <c r="X19">
        <v>1.2492736780941311</v>
      </c>
      <c r="Y19">
        <v>44.567112144102268</v>
      </c>
      <c r="AC19">
        <v>446.33059579536905</v>
      </c>
      <c r="AD19">
        <v>11.204999548534021</v>
      </c>
      <c r="AE19">
        <v>342.46440465609697</v>
      </c>
    </row>
    <row r="20" spans="1:31" x14ac:dyDescent="0.25">
      <c r="A20" s="395" t="s">
        <v>236</v>
      </c>
      <c r="B20">
        <v>872.98422503065137</v>
      </c>
      <c r="C20">
        <v>13.19979076970043</v>
      </c>
      <c r="D20">
        <v>513.61598419964821</v>
      </c>
      <c r="E20">
        <v>924.13813088710117</v>
      </c>
      <c r="F20">
        <v>10.124761890576517</v>
      </c>
      <c r="G20">
        <v>465.6371072223223</v>
      </c>
      <c r="H20">
        <v>439.60517120894485</v>
      </c>
      <c r="I20">
        <v>7.4423480083857427</v>
      </c>
      <c r="J20">
        <v>52.952480782669461</v>
      </c>
      <c r="K20">
        <v>886.43856877920791</v>
      </c>
      <c r="L20">
        <v>20.052254442572341</v>
      </c>
      <c r="M20">
        <v>493.50917677821968</v>
      </c>
      <c r="N20">
        <v>876.75999368745249</v>
      </c>
      <c r="O20">
        <v>12.915552408491335</v>
      </c>
      <c r="P20">
        <v>510.32445390405616</v>
      </c>
      <c r="Q20">
        <v>890.46014983393093</v>
      </c>
      <c r="R20">
        <v>13.13033397287783</v>
      </c>
      <c r="S20">
        <v>496.40951619319117</v>
      </c>
      <c r="T20">
        <v>576.3150739918234</v>
      </c>
      <c r="U20">
        <v>7.1942333486639667</v>
      </c>
      <c r="V20">
        <v>816.49069265951243</v>
      </c>
      <c r="W20">
        <v>864.53089810598021</v>
      </c>
      <c r="X20">
        <v>13.453592840224243</v>
      </c>
      <c r="Y20">
        <v>521.91550905379563</v>
      </c>
      <c r="AC20">
        <v>6331.2322115250918</v>
      </c>
      <c r="AD20">
        <v>97.512867681492409</v>
      </c>
      <c r="AE20">
        <v>3870.8549207934157</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9">
    <tabColor theme="9" tint="0.39997558519241921"/>
    <pageSetUpPr fitToPage="1"/>
  </sheetPr>
  <dimension ref="A1:Y28"/>
  <sheetViews>
    <sheetView showGridLines="0" zoomScaleNormal="100" workbookViewId="0">
      <pane ySplit="2" topLeftCell="A3" activePane="bottomLeft" state="frozen"/>
      <selection pane="bottomLeft" sqref="A1:C1"/>
    </sheetView>
  </sheetViews>
  <sheetFormatPr defaultColWidth="9.140625" defaultRowHeight="14.25" x14ac:dyDescent="0.2"/>
  <cols>
    <col min="1" max="1" width="17.140625" style="338" customWidth="1"/>
    <col min="2" max="25" width="8.85546875" style="338" customWidth="1"/>
    <col min="26" max="16384" width="9.140625" style="338"/>
  </cols>
  <sheetData>
    <row r="1" spans="1:25" ht="15.75" x14ac:dyDescent="0.2">
      <c r="A1" s="993" t="s">
        <v>450</v>
      </c>
      <c r="B1" s="993"/>
      <c r="C1" s="993"/>
    </row>
    <row r="2" spans="1:25" ht="15" x14ac:dyDescent="0.25">
      <c r="A2" s="507" t="s">
        <v>511</v>
      </c>
      <c r="B2"/>
      <c r="C2"/>
    </row>
    <row r="4" spans="1:25" ht="30" customHeight="1" x14ac:dyDescent="0.2">
      <c r="A4" s="1029" t="s">
        <v>482</v>
      </c>
      <c r="B4" s="1029"/>
      <c r="C4" s="1029"/>
      <c r="D4" s="1029"/>
      <c r="E4" s="1029"/>
      <c r="F4" s="1029"/>
      <c r="G4" s="1029"/>
      <c r="H4" s="1029"/>
      <c r="I4" s="1029"/>
      <c r="J4" s="1029"/>
      <c r="K4" s="1029"/>
      <c r="L4" s="1029"/>
      <c r="M4" s="1029"/>
      <c r="N4" s="1029"/>
      <c r="O4" s="1029"/>
      <c r="P4" s="1029"/>
      <c r="Q4" s="1029"/>
      <c r="R4" s="1029"/>
      <c r="S4" s="1029"/>
      <c r="T4" s="1029"/>
      <c r="U4" s="1029"/>
      <c r="V4" s="1029"/>
      <c r="W4" s="1029"/>
      <c r="X4" s="1029"/>
      <c r="Y4" s="1029"/>
    </row>
    <row r="5" spans="1:25" ht="15" customHeight="1" x14ac:dyDescent="0.25">
      <c r="A5" t="s">
        <v>328</v>
      </c>
      <c r="B5" t="s">
        <v>686</v>
      </c>
      <c r="C5" s="434"/>
      <c r="D5" s="434"/>
      <c r="E5" s="434"/>
      <c r="F5" s="434"/>
      <c r="G5" s="434"/>
      <c r="H5" s="434"/>
      <c r="I5" s="434"/>
      <c r="J5" s="434"/>
      <c r="K5" s="434"/>
      <c r="L5" s="434"/>
      <c r="M5" s="434"/>
      <c r="N5" s="434"/>
      <c r="O5" s="434"/>
      <c r="P5" s="434"/>
      <c r="Q5" s="434"/>
      <c r="R5" s="434"/>
      <c r="S5" s="434"/>
      <c r="T5" s="434"/>
      <c r="U5" s="434"/>
      <c r="V5" s="434"/>
      <c r="W5" s="434"/>
      <c r="X5" s="434"/>
      <c r="Y5" s="434"/>
    </row>
    <row r="6" spans="1:25" ht="15" customHeight="1" x14ac:dyDescent="0.25">
      <c r="A6" t="s">
        <v>329</v>
      </c>
      <c r="B6" t="s">
        <v>331</v>
      </c>
      <c r="C6" s="434"/>
      <c r="D6" s="434"/>
      <c r="E6" s="434"/>
      <c r="F6" s="434"/>
      <c r="G6" s="434"/>
      <c r="H6" s="434"/>
      <c r="I6" s="434"/>
      <c r="J6" s="434"/>
      <c r="K6" s="434"/>
      <c r="L6" s="434"/>
      <c r="M6" s="434"/>
      <c r="N6" s="434"/>
      <c r="O6" s="434"/>
      <c r="P6" s="434"/>
      <c r="Q6" s="434"/>
      <c r="R6" s="434"/>
      <c r="S6" s="434"/>
      <c r="T6" s="434"/>
      <c r="U6" s="434"/>
      <c r="V6" s="434"/>
      <c r="W6" s="434"/>
      <c r="X6" s="434"/>
      <c r="Y6" s="434"/>
    </row>
    <row r="7" spans="1:25" ht="15" customHeight="1" x14ac:dyDescent="0.25">
      <c r="A7" t="s">
        <v>330</v>
      </c>
      <c r="B7" t="s">
        <v>332</v>
      </c>
      <c r="C7" s="434"/>
      <c r="D7" s="434"/>
      <c r="E7" s="434"/>
      <c r="F7" s="434"/>
      <c r="G7" s="434"/>
      <c r="H7" s="434"/>
      <c r="I7" s="434"/>
      <c r="J7" s="434"/>
      <c r="K7" s="434"/>
      <c r="L7" s="434"/>
      <c r="M7" s="434"/>
      <c r="N7" s="434"/>
      <c r="O7" s="434"/>
      <c r="P7" s="434"/>
      <c r="Q7" s="434"/>
      <c r="R7" s="434"/>
      <c r="S7" s="434"/>
      <c r="T7" s="434"/>
      <c r="U7" s="434"/>
      <c r="V7" s="434"/>
      <c r="W7" s="434"/>
      <c r="X7" s="434"/>
      <c r="Y7" s="434"/>
    </row>
    <row r="8" spans="1:25" ht="15" customHeight="1" x14ac:dyDescent="0.25">
      <c r="A8"/>
      <c r="B8"/>
      <c r="C8" s="434"/>
      <c r="D8" s="434"/>
      <c r="E8" s="434"/>
      <c r="F8" s="434"/>
      <c r="G8" s="434"/>
      <c r="H8" s="434"/>
      <c r="I8" s="434"/>
      <c r="J8" s="434"/>
      <c r="K8" s="434"/>
      <c r="L8" s="434"/>
      <c r="M8" s="434"/>
      <c r="N8" s="434"/>
      <c r="O8" s="434"/>
      <c r="P8" s="434"/>
      <c r="Q8" s="434"/>
      <c r="R8" s="434"/>
      <c r="S8" s="434"/>
      <c r="T8" s="434"/>
      <c r="U8" s="434"/>
      <c r="V8" s="434"/>
      <c r="W8" s="434"/>
      <c r="X8" s="434"/>
      <c r="Y8" s="434"/>
    </row>
    <row r="9" spans="1:25" ht="27" customHeight="1" x14ac:dyDescent="0.2">
      <c r="A9" s="172"/>
      <c r="B9" s="1030" t="s">
        <v>27</v>
      </c>
      <c r="C9" s="1030"/>
      <c r="D9" s="1030"/>
      <c r="E9" s="1030" t="s">
        <v>28</v>
      </c>
      <c r="F9" s="1030"/>
      <c r="G9" s="1030"/>
      <c r="H9" s="1031" t="s">
        <v>831</v>
      </c>
      <c r="I9" s="1031"/>
      <c r="J9" s="1031"/>
      <c r="K9" s="1030" t="s">
        <v>2</v>
      </c>
      <c r="L9" s="1030"/>
      <c r="M9" s="1030"/>
      <c r="N9" s="1030" t="s">
        <v>86</v>
      </c>
      <c r="O9" s="1030"/>
      <c r="P9" s="1030"/>
      <c r="Q9" s="1030" t="s">
        <v>29</v>
      </c>
      <c r="R9" s="1030"/>
      <c r="S9" s="1030"/>
      <c r="T9" s="1030" t="s">
        <v>26</v>
      </c>
      <c r="U9" s="1030"/>
      <c r="V9" s="1030"/>
      <c r="W9" s="1030" t="s">
        <v>112</v>
      </c>
      <c r="X9" s="1030"/>
      <c r="Y9" s="1030"/>
    </row>
    <row r="10" spans="1:25" ht="25.5" x14ac:dyDescent="0.2">
      <c r="A10" s="436" t="s">
        <v>1</v>
      </c>
      <c r="B10" s="647" t="s">
        <v>113</v>
      </c>
      <c r="C10" s="648" t="s">
        <v>114</v>
      </c>
      <c r="D10" s="649" t="s">
        <v>348</v>
      </c>
      <c r="E10" s="647" t="s">
        <v>113</v>
      </c>
      <c r="F10" s="648" t="s">
        <v>114</v>
      </c>
      <c r="G10" s="649" t="s">
        <v>348</v>
      </c>
      <c r="H10" s="647" t="s">
        <v>113</v>
      </c>
      <c r="I10" s="648" t="s">
        <v>114</v>
      </c>
      <c r="J10" s="649" t="s">
        <v>348</v>
      </c>
      <c r="K10" s="648" t="s">
        <v>113</v>
      </c>
      <c r="L10" s="648" t="s">
        <v>114</v>
      </c>
      <c r="M10" s="649" t="s">
        <v>348</v>
      </c>
      <c r="N10" s="647" t="s">
        <v>113</v>
      </c>
      <c r="O10" s="648" t="s">
        <v>114</v>
      </c>
      <c r="P10" s="649" t="s">
        <v>348</v>
      </c>
      <c r="Q10" s="647" t="s">
        <v>113</v>
      </c>
      <c r="R10" s="648" t="s">
        <v>114</v>
      </c>
      <c r="S10" s="649" t="s">
        <v>348</v>
      </c>
      <c r="T10" s="494" t="s">
        <v>113</v>
      </c>
      <c r="U10" s="174" t="s">
        <v>114</v>
      </c>
      <c r="V10" s="495" t="s">
        <v>348</v>
      </c>
      <c r="W10" s="494" t="s">
        <v>113</v>
      </c>
      <c r="X10" s="174" t="s">
        <v>114</v>
      </c>
      <c r="Y10" s="495" t="s">
        <v>348</v>
      </c>
    </row>
    <row r="11" spans="1:25" ht="15.6" customHeight="1" x14ac:dyDescent="0.2">
      <c r="A11" s="650" t="s">
        <v>309</v>
      </c>
      <c r="B11" s="652">
        <f>GETPIVOTDATA("Sum of White",EthnicityPivot!$A$3,"FisYr",A11,"Type","WT")</f>
        <v>72.2</v>
      </c>
      <c r="C11" s="652">
        <f>GETPIVOTDATA("Sum of Ethnic Minority",EthnicityPivot!$A$3,"FisYr",A11,"Type","WT")</f>
        <v>0.8</v>
      </c>
      <c r="D11" s="653">
        <f>GETPIVOTDATA("Sum of Not Stated",EthnicityPivot!$A$3,"FisYr",A11,"Type","WT")</f>
        <v>27.1</v>
      </c>
      <c r="E11" s="496">
        <f>GETPIVOTDATA("Sum of White",EthnicityPivot!$A$3,"FisYr",A11,"Type","RDS")</f>
        <v>81.8</v>
      </c>
      <c r="F11" s="496">
        <f>GETPIVOTDATA("Sum of Ethnic Minority",EthnicityPivot!$A$3,"FisYr",A11,"Type","RDS")</f>
        <v>0.2</v>
      </c>
      <c r="G11" s="497">
        <f>GETPIVOTDATA("Sum of Not Stated",EthnicityPivot!$A$3,"FisYr",A11,"Type","RDS")</f>
        <v>18</v>
      </c>
      <c r="H11" s="496"/>
      <c r="I11" s="496"/>
      <c r="J11" s="497"/>
      <c r="K11" s="316">
        <f>GETPIVOTDATA("Sum of White",EthnicityPivot!$A$3,"FisYr",A11,"Type","Control")</f>
        <v>84.6</v>
      </c>
      <c r="L11" s="316">
        <f>GETPIVOTDATA("Sum of Ethnic Minority",EthnicityPivot!$A$3,"FisYr",A11,"Type","Control")</f>
        <v>0.4</v>
      </c>
      <c r="M11" s="499">
        <f>GETPIVOTDATA("Sum of Not Stated",EthnicityPivot!$A$3,"FisYr",A11,"Type","Control")</f>
        <v>15</v>
      </c>
      <c r="N11" s="316">
        <f>GETPIVOTDATA("Sum of White",EthnicityPivot!$A$3,"FisYr",A11,"Type","Support")</f>
        <v>65.5</v>
      </c>
      <c r="O11" s="316">
        <f>GETPIVOTDATA("Sum of Ethnic Minority",EthnicityPivot!$A$3,"FisYr",A11,"Type","Support")</f>
        <v>1</v>
      </c>
      <c r="P11" s="499">
        <f>GETPIVOTDATA("Sum of Not Stated",EthnicityPivot!$A$3,"FisYr",A11,"Type","Support")</f>
        <v>33.5</v>
      </c>
      <c r="Q11" s="316">
        <f>GETPIVOTDATA("Sum of White",EthnicityPivot!$A$3,"FisYr",A11,"Type","Vol")</f>
        <v>62.7</v>
      </c>
      <c r="R11" s="316">
        <f>GETPIVOTDATA("Sum of Ethnic Minority",EthnicityPivot!$A$3,"FisYr",A11,"Type","Vol")</f>
        <v>0.2</v>
      </c>
      <c r="S11" s="499">
        <f>GETPIVOTDATA("Sum of Not Stated",EthnicityPivot!$A$3,"FisYr",A11,"Type","Vol")</f>
        <v>37</v>
      </c>
      <c r="T11" s="863">
        <f>GETPIVOTDATA("Sum of White",EthnicityPivot!$A$3,"FisYr",A11,"Type","Total")</f>
        <v>74.400000000000006</v>
      </c>
      <c r="U11" s="179">
        <f>GETPIVOTDATA("Sum of Ethnic Minority",EthnicityPivot!$A$3,"FisYr",A11,"Type","Total")</f>
        <v>0.6</v>
      </c>
      <c r="V11" s="865">
        <f>GETPIVOTDATA("Sum of Not Stated",EthnicityPivot!$A$3,"FisYr",A11,"Type","Total")</f>
        <v>25</v>
      </c>
      <c r="W11" s="864">
        <f>GETPIVOTDATA("Sum of White",EthnicityPivot!$A$3,"FisYr",A11,"Type","Total (ex Vol)")</f>
        <v>75</v>
      </c>
      <c r="X11" s="180">
        <f>GETPIVOTDATA("Sum of Ethnic Minority",EthnicityPivot!$A$3,"FisYr",A11,"Type","Total (ex Vol)")</f>
        <v>0.6</v>
      </c>
      <c r="Y11" s="501">
        <f>GETPIVOTDATA("Sum of Not Stated",EthnicityPivot!$A$3,"FisYr",A11,"Type","Total (ex Vol)")</f>
        <v>24.4</v>
      </c>
    </row>
    <row r="12" spans="1:25" ht="15" customHeight="1" x14ac:dyDescent="0.2">
      <c r="A12" s="651" t="s">
        <v>193</v>
      </c>
      <c r="B12" s="654">
        <f>GETPIVOTDATA("Sum of White",EthnicityPivot!$A$3,"FisYr",A12,"Type","WT")</f>
        <v>81.2</v>
      </c>
      <c r="C12" s="654">
        <f>GETPIVOTDATA("Sum of Ethnic Minority",EthnicityPivot!$A$3,"FisYr",A12,"Type","WT")</f>
        <v>0.7</v>
      </c>
      <c r="D12" s="655">
        <f>GETPIVOTDATA("Sum of Not Stated",EthnicityPivot!$A$3,"FisYr",A12,"Type","WT")</f>
        <v>18</v>
      </c>
      <c r="E12" s="862">
        <f>GETPIVOTDATA("Sum of White",EthnicityPivot!$A$3,"FisYr",A12,"Type","RDS")</f>
        <v>80.900000000000006</v>
      </c>
      <c r="F12" s="862">
        <f>GETPIVOTDATA("Sum of Ethnic Minority",EthnicityPivot!$A$3,"FisYr",A12,"Type","RDS")</f>
        <v>0.2</v>
      </c>
      <c r="G12" s="498">
        <f>GETPIVOTDATA("Sum of Not Stated",EthnicityPivot!$A$3,"FisYr",A12,"Type","RDS")</f>
        <v>18.899999999999999</v>
      </c>
      <c r="H12" s="862"/>
      <c r="I12" s="862"/>
      <c r="J12" s="498"/>
      <c r="K12" s="177">
        <f>GETPIVOTDATA("Sum of White",EthnicityPivot!$A$3,"FisYr",A12,"Type","Control")</f>
        <v>89.7</v>
      </c>
      <c r="L12" s="177">
        <f>GETPIVOTDATA("Sum of Ethnic Minority",EthnicityPivot!$A$3,"FisYr",A12,"Type","Control")</f>
        <v>0.4</v>
      </c>
      <c r="M12" s="500">
        <f>GETPIVOTDATA("Sum of Not Stated",EthnicityPivot!$A$3,"FisYr",A12,"Type","Control")</f>
        <v>9.8000000000000007</v>
      </c>
      <c r="N12" s="177">
        <f>GETPIVOTDATA("Sum of White",EthnicityPivot!$A$3,"FisYr",A12,"Type","Support")</f>
        <v>78.400000000000006</v>
      </c>
      <c r="O12" s="177">
        <f>GETPIVOTDATA("Sum of Ethnic Minority",EthnicityPivot!$A$3,"FisYr",A12,"Type","Support")</f>
        <v>1</v>
      </c>
      <c r="P12" s="500">
        <f>GETPIVOTDATA("Sum of Not Stated",EthnicityPivot!$A$3,"FisYr",A12,"Type","Support")</f>
        <v>20.6</v>
      </c>
      <c r="Q12" s="177">
        <f>GETPIVOTDATA("Sum of White",EthnicityPivot!$A$3,"FisYr",A12,"Type","Vol")</f>
        <v>61.4</v>
      </c>
      <c r="R12" s="177">
        <f>GETPIVOTDATA("Sum of Ethnic Minority",EthnicityPivot!$A$3,"FisYr",A12,"Type","Vol")</f>
        <v>0.5</v>
      </c>
      <c r="S12" s="500">
        <f>GETPIVOTDATA("Sum of Not Stated",EthnicityPivot!$A$3,"FisYr",A12,"Type","Vol")</f>
        <v>38.1</v>
      </c>
      <c r="T12" s="179">
        <f>GETPIVOTDATA("Sum of White",EthnicityPivot!$A$3,"FisYr",A12,"Type","Total")</f>
        <v>80.099999999999994</v>
      </c>
      <c r="U12" s="179">
        <f>GETPIVOTDATA("Sum of Ethnic Minority",EthnicityPivot!$A$3,"FisYr",A12,"Type","Total")</f>
        <v>0.6</v>
      </c>
      <c r="V12" s="695">
        <f>GETPIVOTDATA("Sum of Not Stated",EthnicityPivot!$A$3,"FisYr",A12,"Type","Total")</f>
        <v>19.3</v>
      </c>
      <c r="W12" s="180">
        <f>GETPIVOTDATA("Sum of White",EthnicityPivot!$A$3,"FisYr",A12,"Type","Total (ex Vol)")</f>
        <v>81</v>
      </c>
      <c r="X12" s="180">
        <f>GETPIVOTDATA("Sum of Ethnic Minority",EthnicityPivot!$A$3,"FisYr",A12,"Type","Total (ex Vol)")</f>
        <v>0.6</v>
      </c>
      <c r="Y12" s="502">
        <f>GETPIVOTDATA("Sum of Not Stated",EthnicityPivot!$A$3,"FisYr",A12,"Type","Total (ex Vol)")</f>
        <v>18.399999999999999</v>
      </c>
    </row>
    <row r="13" spans="1:25" ht="15" customHeight="1" x14ac:dyDescent="0.2">
      <c r="A13" s="651" t="s">
        <v>192</v>
      </c>
      <c r="B13" s="654">
        <f>GETPIVOTDATA("Sum of White",EthnicityPivot!$A$3,"FisYr",A13,"Type","WT")</f>
        <v>59.8</v>
      </c>
      <c r="C13" s="654">
        <f>GETPIVOTDATA("Sum of Ethnic Minority",EthnicityPivot!$A$3,"FisYr",A13,"Type","WT")</f>
        <v>0.6</v>
      </c>
      <c r="D13" s="655">
        <f>GETPIVOTDATA("Sum of Not Stated",EthnicityPivot!$A$3,"FisYr",A13,"Type","WT")</f>
        <v>39.6</v>
      </c>
      <c r="E13" s="862">
        <f>GETPIVOTDATA("Sum of White",EthnicityPivot!$A$3,"FisYr",A13,"Type","RDS")</f>
        <v>69.599999999999994</v>
      </c>
      <c r="F13" s="862">
        <f>GETPIVOTDATA("Sum of Ethnic Minority",EthnicityPivot!$A$3,"FisYr",A13,"Type","RDS")</f>
        <v>1.1000000000000001</v>
      </c>
      <c r="G13" s="498">
        <f>GETPIVOTDATA("Sum of Not Stated",EthnicityPivot!$A$3,"FisYr",A13,"Type","RDS")</f>
        <v>29.3</v>
      </c>
      <c r="H13" s="862"/>
      <c r="I13" s="862"/>
      <c r="J13" s="498"/>
      <c r="K13" s="177">
        <f>GETPIVOTDATA("Sum of White",EthnicityPivot!$A$3,"FisYr",A13,"Type","Control")</f>
        <v>49.3</v>
      </c>
      <c r="L13" s="177">
        <f>GETPIVOTDATA("Sum of Ethnic Minority",EthnicityPivot!$A$3,"FisYr",A13,"Type","Control")</f>
        <v>0</v>
      </c>
      <c r="M13" s="500">
        <f>GETPIVOTDATA("Sum of Not Stated",EthnicityPivot!$A$3,"FisYr",A13,"Type","Control")</f>
        <v>50.7</v>
      </c>
      <c r="N13" s="177">
        <f>GETPIVOTDATA("Sum of White",EthnicityPivot!$A$3,"FisYr",A13,"Type","Support")</f>
        <v>55.2</v>
      </c>
      <c r="O13" s="177">
        <f>GETPIVOTDATA("Sum of Ethnic Minority",EthnicityPivot!$A$3,"FisYr",A13,"Type","Support")</f>
        <v>1</v>
      </c>
      <c r="P13" s="500">
        <f>GETPIVOTDATA("Sum of Not Stated",EthnicityPivot!$A$3,"FisYr",A13,"Type","Support")</f>
        <v>43.8</v>
      </c>
      <c r="Q13" s="177">
        <f>GETPIVOTDATA("Sum of White",EthnicityPivot!$A$3,"FisYr",A13,"Type","Vol")</f>
        <v>30.1</v>
      </c>
      <c r="R13" s="177">
        <f>GETPIVOTDATA("Sum of Ethnic Minority",EthnicityPivot!$A$3,"FisYr",A13,"Type","Vol")</f>
        <v>0.6</v>
      </c>
      <c r="S13" s="500">
        <f>GETPIVOTDATA("Sum of Not Stated",EthnicityPivot!$A$3,"FisYr",A13,"Type","Vol")</f>
        <v>69.400000000000006</v>
      </c>
      <c r="T13" s="179">
        <f>GETPIVOTDATA("Sum of White",EthnicityPivot!$A$3,"FisYr",A13,"Type","Total")</f>
        <v>61.1</v>
      </c>
      <c r="U13" s="179">
        <f>GETPIVOTDATA("Sum of Ethnic Minority",EthnicityPivot!$A$3,"FisYr",A13,"Type","Total")</f>
        <v>0.8</v>
      </c>
      <c r="V13" s="695">
        <f>GETPIVOTDATA("Sum of Not Stated",EthnicityPivot!$A$3,"FisYr",A13,"Type","Total")</f>
        <v>38.1</v>
      </c>
      <c r="W13" s="180">
        <f>GETPIVOTDATA("Sum of White",EthnicityPivot!$A$3,"FisYr",A13,"Type","Total (ex Vol)")</f>
        <v>62.5</v>
      </c>
      <c r="X13" s="180">
        <f>GETPIVOTDATA("Sum of Ethnic Minority",EthnicityPivot!$A$3,"FisYr",A13,"Type","Total (ex Vol)")</f>
        <v>0.8</v>
      </c>
      <c r="Y13" s="502">
        <f>GETPIVOTDATA("Sum of Not Stated",EthnicityPivot!$A$3,"FisYr",A13,"Type","Total (ex Vol)")</f>
        <v>36.700000000000003</v>
      </c>
    </row>
    <row r="14" spans="1:25" ht="15" customHeight="1" x14ac:dyDescent="0.2">
      <c r="A14" s="651" t="s">
        <v>191</v>
      </c>
      <c r="B14" s="654">
        <f>GETPIVOTDATA("Sum of White",EthnicityPivot!$A$3,"FisYr",A14,"Type","WT")</f>
        <v>59.5</v>
      </c>
      <c r="C14" s="654">
        <f>GETPIVOTDATA("Sum of Ethnic Minority",EthnicityPivot!$A$3,"FisYr",A14,"Type","WT")</f>
        <v>0.6</v>
      </c>
      <c r="D14" s="655">
        <f>GETPIVOTDATA("Sum of Not Stated",EthnicityPivot!$A$3,"FisYr",A14,"Type","WT")</f>
        <v>39.9</v>
      </c>
      <c r="E14" s="862">
        <f>GETPIVOTDATA("Sum of White",EthnicityPivot!$A$3,"FisYr",A14,"Type","RDS")</f>
        <v>67</v>
      </c>
      <c r="F14" s="862">
        <f>GETPIVOTDATA("Sum of Ethnic Minority",EthnicityPivot!$A$3,"FisYr",A14,"Type","RDS")</f>
        <v>0.1</v>
      </c>
      <c r="G14" s="498">
        <f>GETPIVOTDATA("Sum of Not Stated",EthnicityPivot!$A$3,"FisYr",A14,"Type","RDS")</f>
        <v>32.799999999999997</v>
      </c>
      <c r="H14" s="862"/>
      <c r="I14" s="862"/>
      <c r="J14" s="498"/>
      <c r="K14" s="177">
        <f>GETPIVOTDATA("Sum of White",EthnicityPivot!$A$3,"FisYr",A14,"Type","Control")</f>
        <v>63</v>
      </c>
      <c r="L14" s="177">
        <f>GETPIVOTDATA("Sum of Ethnic Minority",EthnicityPivot!$A$3,"FisYr",A14,"Type","Control")</f>
        <v>0.4</v>
      </c>
      <c r="M14" s="500">
        <f>GETPIVOTDATA("Sum of Not Stated",EthnicityPivot!$A$3,"FisYr",A14,"Type","Control")</f>
        <v>36.5</v>
      </c>
      <c r="N14" s="177">
        <f>GETPIVOTDATA("Sum of White",EthnicityPivot!$A$3,"FisYr",A14,"Type","Support")</f>
        <v>53.7</v>
      </c>
      <c r="O14" s="177">
        <f>GETPIVOTDATA("Sum of Ethnic Minority",EthnicityPivot!$A$3,"FisYr",A14,"Type","Support")</f>
        <v>1.2</v>
      </c>
      <c r="P14" s="500">
        <f>GETPIVOTDATA("Sum of Not Stated",EthnicityPivot!$A$3,"FisYr",A14,"Type","Support")</f>
        <v>45.1</v>
      </c>
      <c r="Q14" s="177">
        <f>GETPIVOTDATA("Sum of White",EthnicityPivot!$A$3,"FisYr",A14,"Type","Vol")</f>
        <v>26.7</v>
      </c>
      <c r="R14" s="177">
        <f>GETPIVOTDATA("Sum of Ethnic Minority",EthnicityPivot!$A$3,"FisYr",A14,"Type","Vol")</f>
        <v>0.5</v>
      </c>
      <c r="S14" s="500">
        <f>GETPIVOTDATA("Sum of Not Stated",EthnicityPivot!$A$3,"FisYr",A14,"Type","Vol")</f>
        <v>72.8</v>
      </c>
      <c r="T14" s="179">
        <f>GETPIVOTDATA("Sum of White",EthnicityPivot!$A$3,"FisYr",A14,"Type","Total")</f>
        <v>60.2</v>
      </c>
      <c r="U14" s="179">
        <f>GETPIVOTDATA("Sum of Ethnic Minority",EthnicityPivot!$A$3,"FisYr",A14,"Type","Total")</f>
        <v>0.5</v>
      </c>
      <c r="V14" s="695">
        <f>GETPIVOTDATA("Sum of Not Stated",EthnicityPivot!$A$3,"FisYr",A14,"Type","Total")</f>
        <v>39.299999999999997</v>
      </c>
      <c r="W14" s="180">
        <f>GETPIVOTDATA("Sum of White",EthnicityPivot!$A$3,"FisYr",A14,"Type","Total (ex Vol)")</f>
        <v>61.8</v>
      </c>
      <c r="X14" s="180">
        <f>GETPIVOTDATA("Sum of Ethnic Minority",EthnicityPivot!$A$3,"FisYr",A14,"Type","Total (ex Vol)")</f>
        <v>0.5</v>
      </c>
      <c r="Y14" s="502">
        <f>GETPIVOTDATA("Sum of Not Stated",EthnicityPivot!$A$3,"FisYr",A14,"Type","Total (ex Vol)")</f>
        <v>37.700000000000003</v>
      </c>
    </row>
    <row r="15" spans="1:25" ht="15" customHeight="1" x14ac:dyDescent="0.2">
      <c r="A15" s="651" t="s">
        <v>190</v>
      </c>
      <c r="B15" s="654">
        <f>GETPIVOTDATA("Sum of White",EthnicityPivot!$A$3,"FisYr",A15,"Type","WT")</f>
        <v>53.7</v>
      </c>
      <c r="C15" s="654">
        <f>GETPIVOTDATA("Sum of Ethnic Minority",EthnicityPivot!$A$3,"FisYr",A15,"Type","WT")</f>
        <v>0.5</v>
      </c>
      <c r="D15" s="655">
        <f>GETPIVOTDATA("Sum of Not Stated",EthnicityPivot!$A$3,"FisYr",A15,"Type","WT")</f>
        <v>45.7</v>
      </c>
      <c r="E15" s="862">
        <f>GETPIVOTDATA("Sum of White",EthnicityPivot!$A$3,"FisYr",A15,"Type","RDS")</f>
        <v>60</v>
      </c>
      <c r="F15" s="862">
        <f>GETPIVOTDATA("Sum of Ethnic Minority",EthnicityPivot!$A$3,"FisYr",A15,"Type","RDS")</f>
        <v>0.6</v>
      </c>
      <c r="G15" s="498">
        <f>GETPIVOTDATA("Sum of Not Stated",EthnicityPivot!$A$3,"FisYr",A15,"Type","RDS")</f>
        <v>39.4</v>
      </c>
      <c r="H15" s="862"/>
      <c r="I15" s="862"/>
      <c r="J15" s="498"/>
      <c r="K15" s="177">
        <f>GETPIVOTDATA("Sum of White",EthnicityPivot!$A$3,"FisYr",A15,"Type","Control")</f>
        <v>64</v>
      </c>
      <c r="L15" s="177">
        <f>GETPIVOTDATA("Sum of Ethnic Minority",EthnicityPivot!$A$3,"FisYr",A15,"Type","Control")</f>
        <v>0.5</v>
      </c>
      <c r="M15" s="500">
        <f>GETPIVOTDATA("Sum of Not Stated",EthnicityPivot!$A$3,"FisYr",A15,"Type","Control")</f>
        <v>35.5</v>
      </c>
      <c r="N15" s="177">
        <f>GETPIVOTDATA("Sum of White",EthnicityPivot!$A$3,"FisYr",A15,"Type","Support")</f>
        <v>53.4</v>
      </c>
      <c r="O15" s="177">
        <f>GETPIVOTDATA("Sum of Ethnic Minority",EthnicityPivot!$A$3,"FisYr",A15,"Type","Support")</f>
        <v>0.8</v>
      </c>
      <c r="P15" s="500">
        <f>GETPIVOTDATA("Sum of Not Stated",EthnicityPivot!$A$3,"FisYr",A15,"Type","Support")</f>
        <v>45.8</v>
      </c>
      <c r="Q15" s="177">
        <f>GETPIVOTDATA("Sum of White",EthnicityPivot!$A$3,"FisYr",A15,"Type","Vol")</f>
        <v>32.5</v>
      </c>
      <c r="R15" s="177">
        <f>GETPIVOTDATA("Sum of Ethnic Minority",EthnicityPivot!$A$3,"FisYr",A15,"Type","Vol")</f>
        <v>0.9</v>
      </c>
      <c r="S15" s="500">
        <f>GETPIVOTDATA("Sum of Not Stated",EthnicityPivot!$A$3,"FisYr",A15,"Type","Vol")</f>
        <v>66.7</v>
      </c>
      <c r="T15" s="179">
        <f>GETPIVOTDATA("Sum of White",EthnicityPivot!$A$3,"FisYr",A15,"Type","Total")</f>
        <v>55.3</v>
      </c>
      <c r="U15" s="179">
        <f>GETPIVOTDATA("Sum of Ethnic Minority",EthnicityPivot!$A$3,"FisYr",A15,"Type","Total")</f>
        <v>0.6</v>
      </c>
      <c r="V15" s="695">
        <f>GETPIVOTDATA("Sum of Not Stated",EthnicityPivot!$A$3,"FisYr",A15,"Type","Total")</f>
        <v>44.1</v>
      </c>
      <c r="W15" s="180">
        <f>GETPIVOTDATA("Sum of White",EthnicityPivot!$A$3,"FisYr",A15,"Type","Total (ex Vol)")</f>
        <v>56.3</v>
      </c>
      <c r="X15" s="180">
        <f>GETPIVOTDATA("Sum of Ethnic Minority",EthnicityPivot!$A$3,"FisYr",A15,"Type","Total (ex Vol)")</f>
        <v>0.6</v>
      </c>
      <c r="Y15" s="502">
        <f>GETPIVOTDATA("Sum of Not Stated",EthnicityPivot!$A$3,"FisYr",A15,"Type","Total (ex Vol)")</f>
        <v>43.1</v>
      </c>
    </row>
    <row r="16" spans="1:25" ht="15" customHeight="1" x14ac:dyDescent="0.2">
      <c r="A16" s="651" t="s">
        <v>257</v>
      </c>
      <c r="B16" s="654">
        <f>GETPIVOTDATA("Sum of White",EthnicityPivot!$A$3,"FisYr",A16,"Type","WT")</f>
        <v>51.2</v>
      </c>
      <c r="C16" s="654">
        <f>GETPIVOTDATA("Sum of Ethnic Minority",EthnicityPivot!$A$3,"FisYr",A16,"Type","WT")</f>
        <v>0.5</v>
      </c>
      <c r="D16" s="655">
        <f>GETPIVOTDATA("Sum of Not Stated",EthnicityPivot!$A$3,"FisYr",A16,"Type","WT")</f>
        <v>48.3</v>
      </c>
      <c r="E16" s="862">
        <f>GETPIVOTDATA("Sum of White",EthnicityPivot!$A$3,"FisYr",A16,"Type","RDS")</f>
        <v>58</v>
      </c>
      <c r="F16" s="862">
        <f>GETPIVOTDATA("Sum of Ethnic Minority",EthnicityPivot!$A$3,"FisYr",A16,"Type","RDS")</f>
        <v>0.6</v>
      </c>
      <c r="G16" s="498">
        <f>GETPIVOTDATA("Sum of Not Stated",EthnicityPivot!$A$3,"FisYr",A16,"Type","RDS")</f>
        <v>41.4</v>
      </c>
      <c r="H16" s="862"/>
      <c r="I16" s="862"/>
      <c r="J16" s="498"/>
      <c r="K16" s="177">
        <f>GETPIVOTDATA("Sum of White",EthnicityPivot!$A$3,"FisYr",A16,"Type","Control")</f>
        <v>55.8</v>
      </c>
      <c r="L16" s="177">
        <f>GETPIVOTDATA("Sum of Ethnic Minority",EthnicityPivot!$A$3,"FisYr",A16,"Type","Control")</f>
        <v>0.6</v>
      </c>
      <c r="M16" s="500">
        <f>GETPIVOTDATA("Sum of Not Stated",EthnicityPivot!$A$3,"FisYr",A16,"Type","Control")</f>
        <v>43.6</v>
      </c>
      <c r="N16" s="177">
        <f>GETPIVOTDATA("Sum of White",EthnicityPivot!$A$3,"FisYr",A16,"Type","Support")</f>
        <v>53.9</v>
      </c>
      <c r="O16" s="177">
        <f>GETPIVOTDATA("Sum of Ethnic Minority",EthnicityPivot!$A$3,"FisYr",A16,"Type","Support")</f>
        <v>0.6</v>
      </c>
      <c r="P16" s="500">
        <f>GETPIVOTDATA("Sum of Not Stated",EthnicityPivot!$A$3,"FisYr",A16,"Type","Support")</f>
        <v>45.5</v>
      </c>
      <c r="Q16" s="177">
        <f>GETPIVOTDATA("Sum of White",EthnicityPivot!$A$3,"FisYr",A16,"Type","Vol")</f>
        <v>42.7</v>
      </c>
      <c r="R16" s="177">
        <f>GETPIVOTDATA("Sum of Ethnic Minority",EthnicityPivot!$A$3,"FisYr",A16,"Type","Vol")</f>
        <v>0.3</v>
      </c>
      <c r="S16" s="500">
        <f>GETPIVOTDATA("Sum of Not Stated",EthnicityPivot!$A$3,"FisYr",A16,"Type","Vol")</f>
        <v>57</v>
      </c>
      <c r="T16" s="179">
        <f>GETPIVOTDATA("Sum of White",EthnicityPivot!$A$3,"FisYr",A16,"Type","Total")</f>
        <v>53.7</v>
      </c>
      <c r="U16" s="179">
        <f>GETPIVOTDATA("Sum of Ethnic Minority",EthnicityPivot!$A$3,"FisYr",A16,"Type","Total")</f>
        <v>0.6</v>
      </c>
      <c r="V16" s="695">
        <f>GETPIVOTDATA("Sum of Not Stated",EthnicityPivot!$A$3,"FisYr",A16,"Type","Total")</f>
        <v>45.7</v>
      </c>
      <c r="W16" s="180">
        <f>GETPIVOTDATA("Sum of White",EthnicityPivot!$A$3,"FisYr",A16,"Type","Total (ex Vol)")</f>
        <v>54.2</v>
      </c>
      <c r="X16" s="180">
        <f>GETPIVOTDATA("Sum of Ethnic Minority",EthnicityPivot!$A$3,"FisYr",A16,"Type","Total (ex Vol)")</f>
        <v>0.6</v>
      </c>
      <c r="Y16" s="502">
        <f>GETPIVOTDATA("Sum of Not Stated",EthnicityPivot!$A$3,"FisYr",A16,"Type","Total (ex Vol)")</f>
        <v>45.2</v>
      </c>
    </row>
    <row r="17" spans="1:25" ht="15" customHeight="1" x14ac:dyDescent="0.2">
      <c r="A17" s="651" t="s">
        <v>240</v>
      </c>
      <c r="B17" s="654">
        <f>GETPIVOTDATA("Sum of White",EthnicityPivot!$A$3,"FisYr",A17,"Type","WT")</f>
        <v>55.7</v>
      </c>
      <c r="C17" s="654">
        <f>GETPIVOTDATA("Sum of Ethnic Minority",EthnicityPivot!$A$3,"FisYr",A17,"Type","WT")</f>
        <v>1.2</v>
      </c>
      <c r="D17" s="655">
        <f>GETPIVOTDATA("Sum of Not Stated",EthnicityPivot!$A$3,"FisYr",A17,"Type","WT")</f>
        <v>43.1</v>
      </c>
      <c r="E17" s="862">
        <f>GETPIVOTDATA("Sum of White",EthnicityPivot!$A$3,"FisYr",A17,"Type","RDS")</f>
        <v>65.900000000000006</v>
      </c>
      <c r="F17" s="862">
        <f>GETPIVOTDATA("Sum of Ethnic Minority",EthnicityPivot!$A$3,"FisYr",A17,"Type","RDS")</f>
        <v>1.2</v>
      </c>
      <c r="G17" s="498">
        <f>GETPIVOTDATA("Sum of Not Stated",EthnicityPivot!$A$3,"FisYr",A17,"Type","RDS")</f>
        <v>32.9</v>
      </c>
      <c r="H17" s="862"/>
      <c r="I17" s="862"/>
      <c r="J17" s="498"/>
      <c r="K17" s="177">
        <f>GETPIVOTDATA("Sum of White",EthnicityPivot!$A$3,"FisYr",A17,"Type","Control")</f>
        <v>52.9</v>
      </c>
      <c r="L17" s="177">
        <f>GETPIVOTDATA("Sum of Ethnic Minority",EthnicityPivot!$A$3,"FisYr",A17,"Type","Control")</f>
        <v>0.5</v>
      </c>
      <c r="M17" s="500">
        <f>GETPIVOTDATA("Sum of Not Stated",EthnicityPivot!$A$3,"FisYr",A17,"Type","Control")</f>
        <v>46.6</v>
      </c>
      <c r="N17" s="177">
        <f>GETPIVOTDATA("Sum of White",EthnicityPivot!$A$3,"FisYr",A17,"Type","Support")</f>
        <v>61.2</v>
      </c>
      <c r="O17" s="177">
        <f>GETPIVOTDATA("Sum of Ethnic Minority",EthnicityPivot!$A$3,"FisYr",A17,"Type","Support")</f>
        <v>1.4</v>
      </c>
      <c r="P17" s="500">
        <f>GETPIVOTDATA("Sum of Not Stated",EthnicityPivot!$A$3,"FisYr",A17,"Type","Support")</f>
        <v>37.4</v>
      </c>
      <c r="Q17" s="177">
        <f>GETPIVOTDATA("Sum of White",EthnicityPivot!$A$3,"FisYr",A17,"Type","Vol")</f>
        <v>37.299999999999997</v>
      </c>
      <c r="R17" s="177">
        <f>GETPIVOTDATA("Sum of Ethnic Minority",EthnicityPivot!$A$3,"FisYr",A17,"Type","Vol")</f>
        <v>0.6</v>
      </c>
      <c r="S17" s="500">
        <f>GETPIVOTDATA("Sum of Not Stated",EthnicityPivot!$A$3,"FisYr",A17,"Type","Vol")</f>
        <v>62</v>
      </c>
      <c r="T17" s="179">
        <f>GETPIVOTDATA("Sum of White",EthnicityPivot!$A$3,"FisYr",A17,"Type","Total")</f>
        <v>59.2</v>
      </c>
      <c r="U17" s="179">
        <f>GETPIVOTDATA("Sum of Ethnic Minority",EthnicityPivot!$A$3,"FisYr",A17,"Type","Total")</f>
        <v>1.2</v>
      </c>
      <c r="V17" s="695">
        <f>GETPIVOTDATA("Sum of Not Stated",EthnicityPivot!$A$3,"FisYr",A17,"Type","Total")</f>
        <v>39.6</v>
      </c>
      <c r="W17" s="180">
        <f>GETPIVOTDATA("Sum of White",EthnicityPivot!$A$3,"FisYr",A17,"Type","Total (ex Vol)")</f>
        <v>60.2</v>
      </c>
      <c r="X17" s="180">
        <f>GETPIVOTDATA("Sum of Ethnic Minority",EthnicityPivot!$A$3,"FisYr",A17,"Type","Total (ex Vol)")</f>
        <v>1.2</v>
      </c>
      <c r="Y17" s="502">
        <f>GETPIVOTDATA("Sum of Not Stated",EthnicityPivot!$A$3,"FisYr",A17,"Type","Total (ex Vol)")</f>
        <v>38.6</v>
      </c>
    </row>
    <row r="18" spans="1:25" ht="15" customHeight="1" x14ac:dyDescent="0.2">
      <c r="A18" s="651" t="s">
        <v>239</v>
      </c>
      <c r="B18" s="654">
        <f>GETPIVOTDATA("Sum of White",EthnicityPivot!$A$3,"FisYr",A18,"Type","WT")</f>
        <v>60.406928787462199</v>
      </c>
      <c r="C18" s="654">
        <f>GETPIVOTDATA("Sum of Ethnic Minority",EthnicityPivot!$A$3,"FisYr",A18,"Type","WT")</f>
        <v>1.2372834753918065</v>
      </c>
      <c r="D18" s="655">
        <f>GETPIVOTDATA("Sum of Not Stated",EthnicityPivot!$A$3,"FisYr",A18,"Type","WT")</f>
        <v>38.355787737146002</v>
      </c>
      <c r="E18" s="862">
        <f>GETPIVOTDATA("Sum of White",EthnicityPivot!$A$3,"FisYr",A18,"Type","RDS")</f>
        <v>67.558415171012527</v>
      </c>
      <c r="F18" s="862">
        <f>GETPIVOTDATA("Sum of Ethnic Minority",EthnicityPivot!$A$3,"FisYr",A18,"Type","RDS")</f>
        <v>1.1175076193701321</v>
      </c>
      <c r="G18" s="498">
        <f>GETPIVOTDATA("Sum of Not Stated",EthnicityPivot!$A$3,"FisYr",A18,"Type","RDS")</f>
        <v>31.324077209617339</v>
      </c>
      <c r="H18" s="862"/>
      <c r="I18" s="862"/>
      <c r="J18" s="498"/>
      <c r="K18" s="177">
        <f>GETPIVOTDATA("Sum of White",EthnicityPivot!$A$3,"FisYr",A18,"Type","Control")</f>
        <v>53.623188405797109</v>
      </c>
      <c r="L18" s="177">
        <f>GETPIVOTDATA("Sum of Ethnic Minority",EthnicityPivot!$A$3,"FisYr",A18,"Type","Control")</f>
        <v>0.96618357487922701</v>
      </c>
      <c r="M18" s="500">
        <f>GETPIVOTDATA("Sum of Not Stated",EthnicityPivot!$A$3,"FisYr",A18,"Type","Control")</f>
        <v>45.410628019323674</v>
      </c>
      <c r="N18" s="177">
        <f>GETPIVOTDATA("Sum of White",EthnicityPivot!$A$3,"FisYr",A18,"Type","Support")</f>
        <v>68.055555555555557</v>
      </c>
      <c r="O18" s="177">
        <f>GETPIVOTDATA("Sum of Ethnic Minority",EthnicityPivot!$A$3,"FisYr",A18,"Type","Support")</f>
        <v>1.7676767676767675</v>
      </c>
      <c r="P18" s="500">
        <f>GETPIVOTDATA("Sum of Not Stated",EthnicityPivot!$A$3,"FisYr",A18,"Type","Support")</f>
        <v>30.176767676767675</v>
      </c>
      <c r="Q18" s="177">
        <f>GETPIVOTDATA("Sum of White",EthnicityPivot!$A$3,"FisYr",A18,"Type","Vol")</f>
        <v>36.277602523659311</v>
      </c>
      <c r="R18" s="177">
        <f>GETPIVOTDATA("Sum of Ethnic Minority",EthnicityPivot!$A$3,"FisYr",A18,"Type","Vol")</f>
        <v>0.63091482649842268</v>
      </c>
      <c r="S18" s="500">
        <f>GETPIVOTDATA("Sum of Not Stated",EthnicityPivot!$A$3,"FisYr",A18,"Type","Vol")</f>
        <v>63.09148264984227</v>
      </c>
      <c r="T18" s="179">
        <f>GETPIVOTDATA("Sum of White",EthnicityPivot!$A$3,"FisYr",A18,"Type","Total")</f>
        <v>62.699215785479382</v>
      </c>
      <c r="U18" s="179">
        <f>GETPIVOTDATA("Sum of Ethnic Minority",EthnicityPivot!$A$3,"FisYr",A18,"Type","Total")</f>
        <v>1.2142676448267138</v>
      </c>
      <c r="V18" s="695">
        <f>GETPIVOTDATA("Sum of Not Stated",EthnicityPivot!$A$3,"FisYr",A18,"Type","Total")</f>
        <v>36.086516569693906</v>
      </c>
      <c r="W18" s="180">
        <f>GETPIVOTDATA("Sum of White",EthnicityPivot!$A$3,"FisYr",A18,"Type","Total (ex Vol)")</f>
        <v>63.802872578732369</v>
      </c>
      <c r="X18" s="180">
        <f>GETPIVOTDATA("Sum of Ethnic Minority",EthnicityPivot!$A$3,"FisYr",A18,"Type","Total (ex Vol)")</f>
        <v>1.2386348662537885</v>
      </c>
      <c r="Y18" s="502">
        <f>GETPIVOTDATA("Sum of Not Stated",EthnicityPivot!$A$3,"FisYr",A18,"Type","Total (ex Vol)")</f>
        <v>34.958492555013834</v>
      </c>
    </row>
    <row r="19" spans="1:25" x14ac:dyDescent="0.2">
      <c r="A19" s="651" t="s">
        <v>760</v>
      </c>
      <c r="B19" s="654">
        <f>GETPIVOTDATA("Sum of White",EthnicityPivot!$A$3,"FisYr",A19,"Type","WT")</f>
        <v>60.478547854785482</v>
      </c>
      <c r="C19" s="654">
        <f>GETPIVOTDATA("Sum of Ethnic Minority",EthnicityPivot!$A$3,"FisYr",A19,"Type","WT")</f>
        <v>1.2376237623762376</v>
      </c>
      <c r="D19" s="655">
        <f>GETPIVOTDATA("Sum of Not Stated",EthnicityPivot!$A$3,"FisYr",A19,"Type","WT")</f>
        <v>38.283828382838287</v>
      </c>
      <c r="E19" s="862">
        <f>GETPIVOTDATA("Sum of White",EthnicityPivot!$A$3,"FisYr",A19,"Type","RDS")</f>
        <v>63.534218590398361</v>
      </c>
      <c r="F19" s="862">
        <f>GETPIVOTDATA("Sum of Ethnic Minority",EthnicityPivot!$A$3,"FisYr",A19,"Type","RDS")</f>
        <v>1.0554988083077972</v>
      </c>
      <c r="G19" s="498">
        <f>GETPIVOTDATA("Sum of Not Stated",EthnicityPivot!$A$3,"FisYr",A19,"Type","RDS")</f>
        <v>35.410282601293837</v>
      </c>
      <c r="H19" s="862">
        <f>GETPIVOTDATA("Sum of White",EthnicityPivot!$A$3,"FisYr",A19,"Type","RDS Fulltime")</f>
        <v>86.111111111111114</v>
      </c>
      <c r="I19" s="862">
        <f>GETPIVOTDATA("Sum of Ethnic Minority",EthnicityPivot!$A$3,"FisYr",A19,"Type","RDS Fulltime")</f>
        <v>0</v>
      </c>
      <c r="J19" s="498">
        <f>GETPIVOTDATA("Sum of Not Stated",EthnicityPivot!$A$3,"FisYr",A19,"Type","RDS Fulltime")</f>
        <v>13.888888888888889</v>
      </c>
      <c r="K19" s="177">
        <f>GETPIVOTDATA("Sum of White",EthnicityPivot!$A$3,"FisYr",A19,"Type","Control")</f>
        <v>53.191489361702125</v>
      </c>
      <c r="L19" s="177">
        <f>GETPIVOTDATA("Sum of Ethnic Minority",EthnicityPivot!$A$3,"FisYr",A19,"Type","Control")</f>
        <v>1.0638297872340425</v>
      </c>
      <c r="M19" s="500">
        <f>GETPIVOTDATA("Sum of Not Stated",EthnicityPivot!$A$3,"FisYr",A19,"Type","Control")</f>
        <v>45.744680851063826</v>
      </c>
      <c r="N19" s="177">
        <f>GETPIVOTDATA("Sum of White",EthnicityPivot!$A$3,"FisYr",A19,"Type","Support")</f>
        <v>66.992665036674808</v>
      </c>
      <c r="O19" s="177">
        <f>GETPIVOTDATA("Sum of Ethnic Minority",EthnicityPivot!$A$3,"FisYr",A19,"Type","Support")</f>
        <v>1.5892420537897312</v>
      </c>
      <c r="P19" s="500">
        <f>GETPIVOTDATA("Sum of Not Stated",EthnicityPivot!$A$3,"FisYr",A19,"Type","Support")</f>
        <v>31.418092909535449</v>
      </c>
      <c r="Q19" s="177">
        <f>GETPIVOTDATA("Sum of White",EthnicityPivot!$A$3,"FisYr",A19,"Type","Vol")</f>
        <v>34.603174603174601</v>
      </c>
      <c r="R19" s="177">
        <f>GETPIVOTDATA("Sum of Ethnic Minority",EthnicityPivot!$A$3,"FisYr",A19,"Type","Vol")</f>
        <v>0.63492063492063489</v>
      </c>
      <c r="S19" s="500">
        <f>GETPIVOTDATA("Sum of Not Stated",EthnicityPivot!$A$3,"FisYr",A19,"Type","Vol")</f>
        <v>64.761904761904759</v>
      </c>
      <c r="T19" s="179">
        <f>GETPIVOTDATA("Sum of White",EthnicityPivot!$A$3,"FisYr",A19,"Type","Total")</f>
        <v>61.197982345523329</v>
      </c>
      <c r="U19" s="179">
        <f>GETPIVOTDATA("Sum of Ethnic Minority",EthnicityPivot!$A$3,"FisYr",A19,"Type","Total")</f>
        <v>1.1727616645649432</v>
      </c>
      <c r="V19" s="695">
        <f>GETPIVOTDATA("Sum of Not Stated",EthnicityPivot!$A$3,"FisYr",A19,"Type","Total")</f>
        <v>37.629255989911726</v>
      </c>
      <c r="W19" s="180">
        <f>GETPIVOTDATA("Sum of White",EthnicityPivot!$A$3,"FisYr",A19,"Type","Total (ex Vol)")</f>
        <v>62.298095863427449</v>
      </c>
      <c r="X19" s="180">
        <f>GETPIVOTDATA("Sum of Ethnic Minority",EthnicityPivot!$A$3,"FisYr",A19,"Type","Total (ex Vol)")</f>
        <v>1.1950098489822718</v>
      </c>
      <c r="Y19" s="502">
        <f>GETPIVOTDATA("Sum of Not Stated",EthnicityPivot!$A$3,"FisYr",A19,"Type","Total (ex Vol)")</f>
        <v>36.506894287590278</v>
      </c>
    </row>
    <row r="20" spans="1:25" ht="15" customHeight="1" x14ac:dyDescent="0.2">
      <c r="A20" s="694" t="s">
        <v>917</v>
      </c>
      <c r="B20" s="654">
        <f>GETPIVOTDATA("Sum of White",EthnicityPivot!$A$3,"FisYr",A20,"Type","WT")</f>
        <v>59.5703125</v>
      </c>
      <c r="C20" s="654">
        <f>GETPIVOTDATA("Sum of Ethnic Minority",EthnicityPivot!$A$3,"FisYr",A20,"Type","WT")</f>
        <v>1.3392857142857142</v>
      </c>
      <c r="D20" s="655">
        <f>GETPIVOTDATA("Sum of Not Stated",EthnicityPivot!$A$3,"FisYr",A20,"Type","WT")</f>
        <v>39.090401785714285</v>
      </c>
      <c r="E20" s="862">
        <f>GETPIVOTDATA("Sum of White",EthnicityPivot!$A$3,"FisYr",A20,"Type","RDS")</f>
        <v>61.142061281337043</v>
      </c>
      <c r="F20" s="862">
        <f>GETPIVOTDATA("Sum of Ethnic Minority",EthnicityPivot!$A$3,"FisYr",A20,"Type","RDS")</f>
        <v>0.94011142061281339</v>
      </c>
      <c r="G20" s="498">
        <f>GETPIVOTDATA("Sum of Not Stated",EthnicityPivot!$A$3,"FisYr",A20,"Type","RDS")</f>
        <v>37.917827298050142</v>
      </c>
      <c r="H20" s="862">
        <f>GETPIVOTDATA("Sum of White",EthnicityPivot!$A$3,"FisYr",A20,"Type","RDS Fulltime")</f>
        <v>87.037037037037038</v>
      </c>
      <c r="I20" s="862">
        <f>GETPIVOTDATA("Sum of Ethnic Minority",EthnicityPivot!$A$3,"FisYr",A20,"Type","RDS Fulltime")</f>
        <v>1.8518518518518516</v>
      </c>
      <c r="J20" s="498">
        <f>GETPIVOTDATA("Sum of Not Stated",EthnicityPivot!$A$3,"FisYr",A20,"Type","RDS Fulltime")</f>
        <v>11.111111111111111</v>
      </c>
      <c r="K20" s="177">
        <f>GETPIVOTDATA("Sum of White",EthnicityPivot!$A$3,"FisYr",A20,"Type","Control")</f>
        <v>56.593406593406591</v>
      </c>
      <c r="L20" s="177">
        <f>GETPIVOTDATA("Sum of Ethnic Minority",EthnicityPivot!$A$3,"FisYr",A20,"Type","Control")</f>
        <v>1.098901098901099</v>
      </c>
      <c r="M20" s="500">
        <f>GETPIVOTDATA("Sum of Not Stated",EthnicityPivot!$A$3,"FisYr",A20,"Type","Control")</f>
        <v>42.307692307692307</v>
      </c>
      <c r="N20" s="177">
        <f>GETPIVOTDATA("Sum of White",EthnicityPivot!$A$3,"FisYr",A20,"Type","Support")</f>
        <v>66.746411483253581</v>
      </c>
      <c r="O20" s="177">
        <f>GETPIVOTDATA("Sum of Ethnic Minority",EthnicityPivot!$A$3,"FisYr",A20,"Type","Support")</f>
        <v>1.7942583732057416</v>
      </c>
      <c r="P20" s="500">
        <f>GETPIVOTDATA("Sum of Not Stated",EthnicityPivot!$A$3,"FisYr",A20,"Type","Support")</f>
        <v>31.459330143540669</v>
      </c>
      <c r="Q20" s="177">
        <f>GETPIVOTDATA("Sum of White",EthnicityPivot!$A$3,"FisYr",A20,"Type","Vol")</f>
        <v>35.313531353135311</v>
      </c>
      <c r="R20" s="177">
        <f>GETPIVOTDATA("Sum of Ethnic Minority",EthnicityPivot!$A$3,"FisYr",A20,"Type","Vol")</f>
        <v>0.66006600660066006</v>
      </c>
      <c r="S20" s="500">
        <f>GETPIVOTDATA("Sum of Not Stated",EthnicityPivot!$A$3,"FisYr",A20,"Type","Vol")</f>
        <v>64.026402640264024</v>
      </c>
      <c r="T20" s="179">
        <f>GETPIVOTDATA("Sum of White",EthnicityPivot!$A$3,"FisYr",A20,"Type","Total")</f>
        <v>60.094496232920449</v>
      </c>
      <c r="U20" s="179">
        <f>GETPIVOTDATA("Sum of Ethnic Minority",EthnicityPivot!$A$3,"FisYr",A20,"Type","Total")</f>
        <v>1.2131273145192185</v>
      </c>
      <c r="V20" s="695">
        <f>GETPIVOTDATA("Sum of Not Stated",EthnicityPivot!$A$3,"FisYr",A20,"Type","Total")</f>
        <v>38.692376452560339</v>
      </c>
      <c r="W20" s="180">
        <f>GETPIVOTDATA("Sum of White",EthnicityPivot!$A$3,"FisYr",A20,"Type","Total (ex Vol)")</f>
        <v>61.091923485653567</v>
      </c>
      <c r="X20" s="180">
        <f>GETPIVOTDATA("Sum of Ethnic Minority",EthnicityPivot!$A$3,"FisYr",A20,"Type","Total (ex Vol)")</f>
        <v>1.2353878852284803</v>
      </c>
      <c r="Y20" s="502">
        <f>GETPIVOTDATA("Sum of Not Stated",EthnicityPivot!$A$3,"FisYr",A20,"Type","Total (ex Vol)")</f>
        <v>37.672688629117964</v>
      </c>
    </row>
    <row r="21" spans="1:25" ht="15" customHeight="1" x14ac:dyDescent="0.2">
      <c r="A21" s="694" t="s">
        <v>1010</v>
      </c>
      <c r="B21" s="654">
        <f>GETPIVOTDATA("Sum of White",EthnicityPivot!$A$3,"FisYr",A21,"Type","WT")</f>
        <v>58.387369608119535</v>
      </c>
      <c r="C21" s="654">
        <f>GETPIVOTDATA("Sum of Ethnic Minority",EthnicityPivot!$A$3,"FisYr",A21,"Type","WT")</f>
        <v>1.381449111925571</v>
      </c>
      <c r="D21" s="655">
        <f>GETPIVOTDATA("Sum of Not Stated",EthnicityPivot!$A$3,"FisYr",A21,"Type","WT")</f>
        <v>40.231181279954889</v>
      </c>
      <c r="E21" s="862">
        <f>GETPIVOTDATA("Sum of White",EthnicityPivot!$A$3,"FisYr",A21,"Type","RDS")</f>
        <v>58.819268381021374</v>
      </c>
      <c r="F21" s="862">
        <f>GETPIVOTDATA("Sum of Ethnic Minority",EthnicityPivot!$A$3,"FisYr",A21,"Type","RDS")</f>
        <v>0.94168779427743576</v>
      </c>
      <c r="G21" s="498">
        <f>GETPIVOTDATA("Sum of Not Stated",EthnicityPivot!$A$3,"FisYr",A21,"Type","RDS")</f>
        <v>40.239043824701191</v>
      </c>
      <c r="H21" s="862">
        <f>GETPIVOTDATA("Sum of White",EthnicityPivot!$A$3,"FisYr",A21,"Type","RDS Fulltime")</f>
        <v>88.679245283018872</v>
      </c>
      <c r="I21" s="862">
        <f>GETPIVOTDATA("Sum of Ethnic Minority",EthnicityPivot!$A$3,"FisYr",A21,"Type","RDS Fulltime")</f>
        <v>1.8867924528301887</v>
      </c>
      <c r="J21" s="498">
        <f>GETPIVOTDATA("Sum of Not Stated",EthnicityPivot!$A$3,"FisYr",A21,"Type","RDS Fulltime")</f>
        <v>9.433962264150944</v>
      </c>
      <c r="K21" s="177">
        <f>GETPIVOTDATA("Sum of White",EthnicityPivot!$A$3,"FisYr",A21,"Type","Control")</f>
        <v>55.932203389830505</v>
      </c>
      <c r="L21" s="177">
        <f>GETPIVOTDATA("Sum of Ethnic Minority",EthnicityPivot!$A$3,"FisYr",A21,"Type","Control")</f>
        <v>2.2598870056497176</v>
      </c>
      <c r="M21" s="500">
        <f>GETPIVOTDATA("Sum of Not Stated",EthnicityPivot!$A$3,"FisYr",A21,"Type","Control")</f>
        <v>41.807909604519772</v>
      </c>
      <c r="N21" s="177">
        <f>GETPIVOTDATA("Sum of White",EthnicityPivot!$A$3,"FisYr",A21,"Type","Support")</f>
        <v>63.163481953290869</v>
      </c>
      <c r="O21" s="177">
        <f>GETPIVOTDATA("Sum of Ethnic Minority",EthnicityPivot!$A$3,"FisYr",A21,"Type","Support")</f>
        <v>2.335456475583864</v>
      </c>
      <c r="P21" s="500">
        <f>GETPIVOTDATA("Sum of Not Stated",EthnicityPivot!$A$3,"FisYr",A21,"Type","Support")</f>
        <v>34.501061571125263</v>
      </c>
      <c r="Q21" s="177">
        <f>GETPIVOTDATA("Sum of White",EthnicityPivot!$A$3,"FisYr",A21,"Type","Vol")</f>
        <v>36.823104693140799</v>
      </c>
      <c r="R21" s="177">
        <f>GETPIVOTDATA("Sum of Ethnic Minority",EthnicityPivot!$A$3,"FisYr",A21,"Type","Vol")</f>
        <v>0.72202166064981954</v>
      </c>
      <c r="S21" s="500">
        <f>GETPIVOTDATA("Sum of Not Stated",EthnicityPivot!$A$3,"FisYr",A21,"Type","Vol")</f>
        <v>62.454873646209386</v>
      </c>
      <c r="T21" s="179">
        <f>GETPIVOTDATA("Sum of White",EthnicityPivot!$A$3,"FisYr",A21,"Type","Total")</f>
        <v>58.402449917060096</v>
      </c>
      <c r="U21" s="179">
        <f>GETPIVOTDATA("Sum of Ethnic Minority",EthnicityPivot!$A$3,"FisYr",A21,"Type","Total")</f>
        <v>1.327038407553911</v>
      </c>
      <c r="V21" s="695">
        <f>GETPIVOTDATA("Sum of Not Stated",EthnicityPivot!$A$3,"FisYr",A21,"Type","Total")</f>
        <v>40.27051167538599</v>
      </c>
      <c r="W21" s="180">
        <f>GETPIVOTDATA("Sum of White",EthnicityPivot!$A$3,"FisYr",A21,"Type","Total (ex Vol)")</f>
        <v>59.304812834224599</v>
      </c>
      <c r="X21" s="180">
        <f>GETPIVOTDATA("Sum of Ethnic Minority",EthnicityPivot!$A$3,"FisYr",A21,"Type","Total (ex Vol)")</f>
        <v>1.3636363636363635</v>
      </c>
      <c r="Y21" s="502">
        <f>GETPIVOTDATA("Sum of Not Stated",EthnicityPivot!$A$3,"FisYr",A21,"Type","Total (ex Vol)")</f>
        <v>39.331550802139034</v>
      </c>
    </row>
    <row r="22" spans="1:25" ht="15" customHeight="1" x14ac:dyDescent="0.2">
      <c r="A22" s="694" t="s">
        <v>1061</v>
      </c>
      <c r="B22" s="654">
        <f>GETPIVOTDATA("Sum of White",EthnicityPivot!$A$3,"FisYr",A22,"Type","WT")</f>
        <v>55.704125177809395</v>
      </c>
      <c r="C22" s="654">
        <f>GETPIVOTDATA("Sum of Ethnic Minority",EthnicityPivot!$A$3,"FisYr",A22,"Type","WT")</f>
        <v>1.3086770981507825</v>
      </c>
      <c r="D22" s="655">
        <f>GETPIVOTDATA("Sum of Not Stated",EthnicityPivot!$A$3,"FisYr",A22,"Type","WT")</f>
        <v>42.987197724039831</v>
      </c>
      <c r="E22" s="862">
        <f>GETPIVOTDATA("Sum of White",EthnicityPivot!$A$3,"FisYr",A22,"Type","RDS")</f>
        <v>55.190058479532169</v>
      </c>
      <c r="F22" s="862">
        <f>GETPIVOTDATA("Sum of Ethnic Minority",EthnicityPivot!$A$3,"FisYr",A22,"Type","RDS")</f>
        <v>1.0599415204678362</v>
      </c>
      <c r="G22" s="498">
        <f>GETPIVOTDATA("Sum of Not Stated",EthnicityPivot!$A$3,"FisYr",A22,"Type","RDS")</f>
        <v>43.75</v>
      </c>
      <c r="H22" s="862">
        <f>GETPIVOTDATA("Sum of White",EthnicityPivot!$A$3,"FisYr",A22,"Type","RDS Fulltime")</f>
        <v>88.888888888888886</v>
      </c>
      <c r="I22" s="862">
        <f>GETPIVOTDATA("Sum of Ethnic Minority",EthnicityPivot!$A$3,"FisYr",A22,"Type","RDS Fulltime")</f>
        <v>1.8518518518518516</v>
      </c>
      <c r="J22" s="498">
        <f>GETPIVOTDATA("Sum of Not Stated",EthnicityPivot!$A$3,"FisYr",A22,"Type","RDS Fulltime")</f>
        <v>9.2592592592592595</v>
      </c>
      <c r="K22" s="177">
        <f>GETPIVOTDATA("Sum of White",EthnicityPivot!$A$3,"FisYr",A22,"Type","Control")</f>
        <v>52.298850574712638</v>
      </c>
      <c r="L22" s="177">
        <f>GETPIVOTDATA("Sum of Ethnic Minority",EthnicityPivot!$A$3,"FisYr",A22,"Type","Control")</f>
        <v>2.2988505747126435</v>
      </c>
      <c r="M22" s="500">
        <f>GETPIVOTDATA("Sum of Not Stated",EthnicityPivot!$A$3,"FisYr",A22,"Type","Control")</f>
        <v>45.402298850574709</v>
      </c>
      <c r="N22" s="177">
        <f>GETPIVOTDATA("Sum of White",EthnicityPivot!$A$3,"FisYr",A22,"Type","Support")</f>
        <v>60.799136069114468</v>
      </c>
      <c r="O22" s="177">
        <f>GETPIVOTDATA("Sum of Ethnic Minority",EthnicityPivot!$A$3,"FisYr",A22,"Type","Support")</f>
        <v>2.2678185745140391</v>
      </c>
      <c r="P22" s="500">
        <f>GETPIVOTDATA("Sum of Not Stated",EthnicityPivot!$A$3,"FisYr",A22,"Type","Support")</f>
        <v>36.933045356371494</v>
      </c>
      <c r="Q22" s="177">
        <f>GETPIVOTDATA("Sum of White",EthnicityPivot!$A$3,"FisYr",A22,"Type","Vol")</f>
        <v>36.84210526315789</v>
      </c>
      <c r="R22" s="177">
        <f>GETPIVOTDATA("Sum of Ethnic Minority",EthnicityPivot!$A$3,"FisYr",A22,"Type","Vol")</f>
        <v>0.37593984962406013</v>
      </c>
      <c r="S22" s="500">
        <f>GETPIVOTDATA("Sum of Not Stated",EthnicityPivot!$A$3,"FisYr",A22,"Type","Vol")</f>
        <v>62.781954887218049</v>
      </c>
      <c r="T22" s="179">
        <f>GETPIVOTDATA("Sum of White",EthnicityPivot!$A$3,"FisYr",A22,"Type","Total")</f>
        <v>55.432969852469526</v>
      </c>
      <c r="U22" s="179">
        <f>GETPIVOTDATA("Sum of Ethnic Minority",EthnicityPivot!$A$3,"FisYr",A22,"Type","Total")</f>
        <v>1.308531109685696</v>
      </c>
      <c r="V22" s="695">
        <f>GETPIVOTDATA("Sum of Not Stated",EthnicityPivot!$A$3,"FisYr",A22,"Type","Total")</f>
        <v>43.258499037844771</v>
      </c>
      <c r="W22" s="180">
        <f>GETPIVOTDATA("Sum of White",EthnicityPivot!$A$3,"FisYr",A22,"Type","Total (ex Vol)")</f>
        <v>56.313301823092509</v>
      </c>
      <c r="X22" s="180">
        <f>GETPIVOTDATA("Sum of Ethnic Minority",EthnicityPivot!$A$3,"FisYr",A22,"Type","Total (ex Vol)")</f>
        <v>1.3639432815665091</v>
      </c>
      <c r="Y22" s="502">
        <f>GETPIVOTDATA("Sum of Not Stated",EthnicityPivot!$A$3,"FisYr",A22,"Type","Total (ex Vol)")</f>
        <v>42.322754895340985</v>
      </c>
    </row>
    <row r="23" spans="1:25" ht="15" customHeight="1" x14ac:dyDescent="0.2">
      <c r="A23" s="874" t="s">
        <v>1108</v>
      </c>
      <c r="B23" s="875">
        <f>GETPIVOTDATA("Sum of White",EthnicityPivot!$A$3,"FisYr",A23,"Type","WT")</f>
        <v>54.183614177803605</v>
      </c>
      <c r="C23" s="875">
        <f>GETPIVOTDATA("Sum of Ethnic Minority",EthnicityPivot!$A$3,"FisYr",A23,"Type","WT")</f>
        <v>1.2492736780941311</v>
      </c>
      <c r="D23" s="876">
        <f>GETPIVOTDATA("Sum of Not Stated",EthnicityPivot!$A$3,"FisYr",A23,"Type","WT")</f>
        <v>44.567112144102268</v>
      </c>
      <c r="E23" s="877">
        <f>GETPIVOTDATA("Sum of White",EthnicityPivot!$A$3,"FisYr",A23,"Type","RDS")</f>
        <v>50.994108983799705</v>
      </c>
      <c r="F23" s="877">
        <f>GETPIVOTDATA("Sum of Ethnic Minority",EthnicityPivot!$A$3,"FisYr",A23,"Type","RDS")</f>
        <v>0.81001472754050086</v>
      </c>
      <c r="G23" s="878">
        <f>GETPIVOTDATA("Sum of Not Stated",EthnicityPivot!$A$3,"FisYr",A23,"Type","RDS")</f>
        <v>48.195876288659797</v>
      </c>
      <c r="H23" s="877">
        <f>GETPIVOTDATA("Sum of White",EthnicityPivot!$A$3,"FisYr",A23,"Type","RDS Fulltime")</f>
        <v>88.888888888888886</v>
      </c>
      <c r="I23" s="877">
        <f>GETPIVOTDATA("Sum of Ethnic Minority",EthnicityPivot!$A$3,"FisYr",A23,"Type","RDS Fulltime")</f>
        <v>1.8518518518518516</v>
      </c>
      <c r="J23" s="878">
        <f>GETPIVOTDATA("Sum of Not Stated",EthnicityPivot!$A$3,"FisYr",A23,"Type","RDS Fulltime")</f>
        <v>9.2592592592592595</v>
      </c>
      <c r="K23" s="506">
        <f>GETPIVOTDATA("Sum of White",EthnicityPivot!$A$3,"FisYr",A23,"Type","Control")</f>
        <v>51.445086705202314</v>
      </c>
      <c r="L23" s="506">
        <f>GETPIVOTDATA("Sum of Ethnic Minority",EthnicityPivot!$A$3,"FisYr",A23,"Type","Control")</f>
        <v>2.3121387283236992</v>
      </c>
      <c r="M23" s="879">
        <f>GETPIVOTDATA("Sum of Not Stated",EthnicityPivot!$A$3,"FisYr",A23,"Type","Control")</f>
        <v>46.24277456647399</v>
      </c>
      <c r="N23" s="506">
        <f>GETPIVOTDATA("Sum of White",EthnicityPivot!$A$3,"FisYr",A23,"Type","Support")</f>
        <v>58.681318681318686</v>
      </c>
      <c r="O23" s="506">
        <f>GETPIVOTDATA("Sum of Ethnic Minority",EthnicityPivot!$A$3,"FisYr",A23,"Type","Support")</f>
        <v>2.197802197802198</v>
      </c>
      <c r="P23" s="879">
        <f>GETPIVOTDATA("Sum of Not Stated",EthnicityPivot!$A$3,"FisYr",A23,"Type","Support")</f>
        <v>39.120879120879124</v>
      </c>
      <c r="Q23" s="506">
        <f>GETPIVOTDATA("Sum of White",EthnicityPivot!$A$3,"FisYr",A23,"Type","Vol")</f>
        <v>35.555555555555557</v>
      </c>
      <c r="R23" s="506">
        <f>GETPIVOTDATA("Sum of Ethnic Minority",EthnicityPivot!$A$3,"FisYr",A23,"Type","Vol")</f>
        <v>0.37037037037037041</v>
      </c>
      <c r="S23" s="879">
        <f>GETPIVOTDATA("Sum of Not Stated",EthnicityPivot!$A$3,"FisYr",A23,"Type","Vol")</f>
        <v>64.074074074074076</v>
      </c>
      <c r="T23" s="880">
        <f>GETPIVOTDATA("Sum of White",EthnicityPivot!$A$3,"FisYr",A23,"Type","Total")</f>
        <v>52.832879553999746</v>
      </c>
      <c r="U23" s="880">
        <f>GETPIVOTDATA("Sum of Ethnic Minority",EthnicityPivot!$A$3,"FisYr",A23,"Type","Total")</f>
        <v>1.1798262673408531</v>
      </c>
      <c r="V23" s="881">
        <f>GETPIVOTDATA("Sum of Not Stated",EthnicityPivot!$A$3,"FisYr",A23,"Type","Total")</f>
        <v>45.987294178659404</v>
      </c>
      <c r="W23" s="882">
        <f>GETPIVOTDATA("Sum of White",EthnicityPivot!$A$3,"FisYr",A23,"Type","Total (ex Vol)")</f>
        <v>53.749143248800543</v>
      </c>
      <c r="X23" s="882">
        <f>GETPIVOTDATA("Sum of Ethnic Minority",EthnicityPivot!$A$3,"FisYr",A23,"Type","Total (ex Vol)")</f>
        <v>1.233721727210418</v>
      </c>
      <c r="Y23" s="883">
        <f>GETPIVOTDATA("Sum of Not Stated",EthnicityPivot!$A$3,"FisYr",A23,"Type","Total (ex Vol)")</f>
        <v>45.017135023989034</v>
      </c>
    </row>
    <row r="24" spans="1:25" ht="15" customHeight="1" x14ac:dyDescent="0.2">
      <c r="A24" s="131"/>
      <c r="B24" s="654"/>
      <c r="C24" s="654"/>
      <c r="D24" s="654"/>
      <c r="E24" s="862"/>
      <c r="F24" s="862"/>
      <c r="G24" s="862"/>
      <c r="H24" s="862"/>
      <c r="I24" s="862"/>
      <c r="J24" s="862"/>
      <c r="K24" s="177"/>
      <c r="L24" s="177"/>
      <c r="M24" s="177"/>
      <c r="N24" s="177"/>
      <c r="O24" s="177"/>
      <c r="P24" s="177"/>
      <c r="Q24" s="177"/>
      <c r="R24" s="177"/>
      <c r="S24" s="177"/>
      <c r="T24" s="179"/>
      <c r="U24" s="179"/>
      <c r="V24" s="179"/>
      <c r="W24" s="180"/>
      <c r="X24" s="180"/>
      <c r="Y24" s="180"/>
    </row>
    <row r="25" spans="1:25" ht="15" x14ac:dyDescent="0.25">
      <c r="A25" s="339" t="s">
        <v>8</v>
      </c>
      <c r="B25" s="25"/>
      <c r="C25" s="181"/>
      <c r="D25" s="181"/>
      <c r="E25" s="181"/>
      <c r="F25" s="181"/>
      <c r="G25" s="25"/>
      <c r="H25" s="25"/>
      <c r="I25" s="25"/>
      <c r="J25" s="25"/>
      <c r="K25" s="25"/>
      <c r="L25" s="25"/>
      <c r="M25" s="25"/>
      <c r="N25" s="25"/>
      <c r="O25" s="25"/>
      <c r="P25" s="25"/>
      <c r="Q25" s="25"/>
      <c r="R25" s="25"/>
      <c r="S25" s="25"/>
      <c r="T25" s="25"/>
      <c r="U25" s="25"/>
      <c r="V25" s="25"/>
      <c r="W25" s="25"/>
      <c r="X25" s="25"/>
      <c r="Y25" s="25"/>
    </row>
    <row r="26" spans="1:25" ht="15" x14ac:dyDescent="0.25">
      <c r="A26" s="344" t="s">
        <v>222</v>
      </c>
      <c r="B26" s="25"/>
      <c r="C26" s="25"/>
      <c r="D26" s="25"/>
      <c r="E26" s="25"/>
      <c r="F26" s="25"/>
      <c r="G26" s="25"/>
      <c r="H26" s="25"/>
      <c r="I26" s="25"/>
      <c r="J26" s="25"/>
      <c r="K26" s="25"/>
      <c r="L26" s="25"/>
      <c r="M26" s="25"/>
      <c r="N26" s="25"/>
      <c r="O26" s="25"/>
      <c r="P26" s="25"/>
      <c r="Q26" s="25"/>
      <c r="R26" s="25"/>
      <c r="S26" s="25"/>
      <c r="T26" s="25"/>
      <c r="U26" s="25"/>
      <c r="W26" s="25"/>
      <c r="X26" s="25"/>
      <c r="Y26" s="25"/>
    </row>
    <row r="27" spans="1:25" ht="15" x14ac:dyDescent="0.25">
      <c r="A27" s="344" t="s">
        <v>852</v>
      </c>
      <c r="B27" s="25"/>
      <c r="C27" s="25"/>
      <c r="D27" s="25"/>
      <c r="E27" s="25"/>
      <c r="F27" s="25"/>
      <c r="G27" s="25"/>
      <c r="H27" s="25"/>
      <c r="I27" s="25"/>
      <c r="J27" s="25"/>
      <c r="K27" s="25"/>
      <c r="L27" s="25"/>
      <c r="M27" s="25"/>
      <c r="N27" s="25"/>
      <c r="O27" s="25"/>
      <c r="P27" s="25"/>
      <c r="Q27" s="25"/>
      <c r="R27" s="25"/>
      <c r="S27" s="25"/>
      <c r="T27" s="25"/>
      <c r="U27" s="25"/>
      <c r="V27" s="25"/>
      <c r="W27" s="25"/>
      <c r="X27" s="25"/>
      <c r="Y27" s="25"/>
    </row>
    <row r="28" spans="1:25" ht="30" customHeight="1" x14ac:dyDescent="0.25">
      <c r="A28" s="1028" t="s">
        <v>228</v>
      </c>
      <c r="B28" s="1028"/>
      <c r="C28" s="1028"/>
      <c r="D28" s="1028"/>
      <c r="E28" s="1028"/>
      <c r="F28" s="1028"/>
      <c r="G28" s="1028"/>
      <c r="H28" s="1028"/>
      <c r="I28" s="1028"/>
      <c r="J28" s="1028"/>
      <c r="K28" s="1028"/>
      <c r="L28" s="1028"/>
      <c r="M28" s="1028"/>
      <c r="N28" s="1028"/>
      <c r="O28" s="1028"/>
      <c r="P28" s="1028"/>
      <c r="Q28" s="1028"/>
      <c r="R28" s="1028"/>
      <c r="S28" s="1028"/>
      <c r="T28" s="1028"/>
      <c r="U28" s="1028"/>
      <c r="V28" s="1028"/>
      <c r="W28" s="1028"/>
      <c r="X28" s="1028"/>
      <c r="Y28" s="1028"/>
    </row>
  </sheetData>
  <sheetProtection algorithmName="SHA-512" hashValue="OyAk7P/k/66Kh5qsg+/6aXJNHvLmGaUcYoyIqfrKL0afJzTEFyOfQZTKHYs5NmAKTuNJrzULOWf6/ydpCRJYVg==" saltValue="isNAnyRf1CXeGQsltKZTXw==" spinCount="100000" sheet="1" scenarios="1" formatCells="0" sort="0" autoFilter="0" pivotTables="0"/>
  <mergeCells count="11">
    <mergeCell ref="A1:C1"/>
    <mergeCell ref="A28:Y28"/>
    <mergeCell ref="A4:Y4"/>
    <mergeCell ref="B9:D9"/>
    <mergeCell ref="E9:G9"/>
    <mergeCell ref="K9:M9"/>
    <mergeCell ref="N9:P9"/>
    <mergeCell ref="Q9:S9"/>
    <mergeCell ref="T9:V9"/>
    <mergeCell ref="W9:Y9"/>
    <mergeCell ref="H9:J9"/>
  </mergeCells>
  <hyperlinks>
    <hyperlink ref="A2" location="'Table of Contents'!A1" display="Back to Table of Contents" xr:uid="{00000000-0004-0000-6900-000000000000}"/>
  </hyperlinks>
  <pageMargins left="0.70866141732283472" right="0.70866141732283472" top="0.74803149606299213" bottom="0.74803149606299213" header="0.31496062992125984" footer="0.31496062992125984"/>
  <pageSetup paperSize="9" scale="72"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77A8D-1AC3-47D3-8C70-EC5DF04E4BB4}">
  <sheetPr>
    <tabColor theme="9" tint="0.39997558519241921"/>
  </sheetPr>
  <dimension ref="A1:I38"/>
  <sheetViews>
    <sheetView workbookViewId="0">
      <selection activeCell="C11" sqref="C11"/>
    </sheetView>
  </sheetViews>
  <sheetFormatPr defaultRowHeight="15" x14ac:dyDescent="0.25"/>
  <cols>
    <col min="1" max="1" width="12.42578125" bestFit="1" customWidth="1"/>
    <col min="2" max="2" width="27.140625" bestFit="1" customWidth="1"/>
    <col min="3" max="3" width="25.85546875" bestFit="1" customWidth="1"/>
    <col min="4" max="4" width="22" bestFit="1" customWidth="1"/>
    <col min="5" max="5" width="13.42578125" bestFit="1" customWidth="1"/>
    <col min="6" max="6" width="13.85546875" bestFit="1" customWidth="1"/>
    <col min="7" max="7" width="15.5703125" bestFit="1" customWidth="1"/>
    <col min="8" max="8" width="11.85546875" bestFit="1" customWidth="1"/>
    <col min="9" max="9" width="29.7109375" bestFit="1" customWidth="1"/>
  </cols>
  <sheetData>
    <row r="1" spans="1:9" x14ac:dyDescent="0.25">
      <c r="A1" s="394" t="s">
        <v>231</v>
      </c>
      <c r="B1" t="s">
        <v>977</v>
      </c>
      <c r="C1" t="s">
        <v>978</v>
      </c>
      <c r="D1" t="s">
        <v>1157</v>
      </c>
      <c r="E1" t="s">
        <v>246</v>
      </c>
      <c r="F1" t="s">
        <v>247</v>
      </c>
      <c r="G1" t="s">
        <v>316</v>
      </c>
      <c r="H1" t="s">
        <v>237</v>
      </c>
      <c r="I1" t="s">
        <v>1158</v>
      </c>
    </row>
    <row r="2" spans="1:9" x14ac:dyDescent="0.25">
      <c r="A2" s="395" t="s">
        <v>309</v>
      </c>
      <c r="B2">
        <v>0.4</v>
      </c>
      <c r="C2">
        <v>0.3</v>
      </c>
      <c r="E2">
        <v>2.1</v>
      </c>
      <c r="F2">
        <v>1.4</v>
      </c>
      <c r="G2">
        <v>0.4</v>
      </c>
      <c r="H2">
        <v>0.6</v>
      </c>
      <c r="I2">
        <v>0.6</v>
      </c>
    </row>
    <row r="3" spans="1:9" x14ac:dyDescent="0.25">
      <c r="A3" s="395" t="s">
        <v>193</v>
      </c>
      <c r="B3">
        <v>0.5</v>
      </c>
      <c r="C3">
        <v>0.3</v>
      </c>
      <c r="E3">
        <v>2.1</v>
      </c>
      <c r="F3">
        <v>1.5</v>
      </c>
      <c r="G3">
        <v>0.5</v>
      </c>
      <c r="H3">
        <v>0.6</v>
      </c>
      <c r="I3">
        <v>0.6</v>
      </c>
    </row>
    <row r="4" spans="1:9" x14ac:dyDescent="0.25">
      <c r="A4" s="395" t="s">
        <v>192</v>
      </c>
      <c r="B4">
        <v>0.2</v>
      </c>
      <c r="C4">
        <v>0.2</v>
      </c>
      <c r="E4">
        <v>1.8</v>
      </c>
      <c r="F4">
        <v>0.7</v>
      </c>
      <c r="H4">
        <v>0.3</v>
      </c>
      <c r="I4">
        <v>0.3</v>
      </c>
    </row>
    <row r="5" spans="1:9" x14ac:dyDescent="0.25">
      <c r="A5" s="395" t="s">
        <v>191</v>
      </c>
      <c r="B5">
        <v>0.2</v>
      </c>
      <c r="C5">
        <v>0.2</v>
      </c>
      <c r="E5">
        <v>2.2000000000000002</v>
      </c>
      <c r="F5">
        <v>0.8</v>
      </c>
      <c r="H5">
        <v>0.3</v>
      </c>
      <c r="I5">
        <v>0.3</v>
      </c>
    </row>
    <row r="6" spans="1:9" x14ac:dyDescent="0.25">
      <c r="A6" s="395" t="s">
        <v>190</v>
      </c>
      <c r="B6">
        <v>0</v>
      </c>
      <c r="C6">
        <v>0.1</v>
      </c>
      <c r="E6">
        <v>0</v>
      </c>
      <c r="F6">
        <v>0.5</v>
      </c>
      <c r="G6">
        <v>0.3</v>
      </c>
      <c r="H6">
        <v>0.1</v>
      </c>
      <c r="I6">
        <v>0.1</v>
      </c>
    </row>
    <row r="7" spans="1:9" x14ac:dyDescent="0.25">
      <c r="A7" s="395" t="s">
        <v>257</v>
      </c>
      <c r="B7">
        <v>0</v>
      </c>
      <c r="C7">
        <v>0.1</v>
      </c>
      <c r="E7">
        <v>0</v>
      </c>
      <c r="F7">
        <v>0.4</v>
      </c>
      <c r="G7">
        <v>0.3</v>
      </c>
      <c r="H7">
        <v>0.1</v>
      </c>
      <c r="I7">
        <v>0.1</v>
      </c>
    </row>
    <row r="8" spans="1:9" x14ac:dyDescent="0.25">
      <c r="A8" s="395" t="s">
        <v>240</v>
      </c>
      <c r="B8">
        <v>0.3</v>
      </c>
      <c r="C8">
        <v>0.3</v>
      </c>
      <c r="E8">
        <v>0</v>
      </c>
      <c r="F8">
        <v>1.2</v>
      </c>
      <c r="G8">
        <v>0.3</v>
      </c>
      <c r="H8">
        <v>0.4</v>
      </c>
      <c r="I8">
        <v>0.4</v>
      </c>
    </row>
    <row r="9" spans="1:9" x14ac:dyDescent="0.25">
      <c r="A9" s="395" t="s">
        <v>239</v>
      </c>
      <c r="B9">
        <v>0.68737970855100361</v>
      </c>
      <c r="C9">
        <v>0.44023027429732475</v>
      </c>
      <c r="D9">
        <v>0</v>
      </c>
      <c r="E9">
        <v>0.48309178743961351</v>
      </c>
      <c r="F9">
        <v>2.1464646464646462</v>
      </c>
      <c r="G9">
        <v>0.31545741324921134</v>
      </c>
      <c r="H9">
        <v>0.7209714141158613</v>
      </c>
      <c r="I9">
        <v>0.73791013308736331</v>
      </c>
    </row>
    <row r="10" spans="1:9" x14ac:dyDescent="0.25">
      <c r="A10" s="395" t="s">
        <v>760</v>
      </c>
      <c r="B10">
        <v>0.74257425742574257</v>
      </c>
      <c r="C10">
        <v>0.40858018386108275</v>
      </c>
      <c r="D10">
        <v>0</v>
      </c>
      <c r="E10">
        <v>0.53191489361702127</v>
      </c>
      <c r="F10">
        <v>2.3227383863080684</v>
      </c>
      <c r="G10">
        <v>0.31746031746031744</v>
      </c>
      <c r="H10">
        <v>0.75662042875157631</v>
      </c>
      <c r="I10">
        <v>0.77478660538411037</v>
      </c>
    </row>
    <row r="11" spans="1:9" x14ac:dyDescent="0.25">
      <c r="A11" s="395" t="s">
        <v>917</v>
      </c>
      <c r="B11">
        <v>0.78125</v>
      </c>
      <c r="C11">
        <v>0.45264623955431754</v>
      </c>
      <c r="D11">
        <v>0</v>
      </c>
      <c r="E11">
        <v>1.098901098901099</v>
      </c>
      <c r="F11">
        <v>3.1100478468899522</v>
      </c>
      <c r="G11">
        <v>0.33003300330033003</v>
      </c>
      <c r="H11">
        <v>0.89388328438258202</v>
      </c>
      <c r="I11">
        <v>0.91657810839532416</v>
      </c>
    </row>
    <row r="12" spans="1:9" x14ac:dyDescent="0.25">
      <c r="A12" s="395" t="s">
        <v>1010</v>
      </c>
      <c r="B12">
        <v>0.76120665351000849</v>
      </c>
      <c r="C12">
        <v>0.43462513582035489</v>
      </c>
      <c r="D12">
        <v>0</v>
      </c>
      <c r="E12">
        <v>0.56497175141242939</v>
      </c>
      <c r="F12">
        <v>2.7600849256900215</v>
      </c>
      <c r="G12">
        <v>0.36101083032490977</v>
      </c>
      <c r="H12">
        <v>0.85491897409723094</v>
      </c>
      <c r="I12">
        <v>0.88235294117647056</v>
      </c>
    </row>
    <row r="13" spans="1:9" x14ac:dyDescent="0.25">
      <c r="A13" s="395" t="s">
        <v>1061</v>
      </c>
      <c r="B13">
        <v>0.96728307254623047</v>
      </c>
      <c r="C13">
        <v>0.40204678362573099</v>
      </c>
      <c r="D13">
        <v>0</v>
      </c>
      <c r="E13">
        <v>1.1494252873563218</v>
      </c>
      <c r="F13">
        <v>2.5917926565874732</v>
      </c>
      <c r="G13">
        <v>0.37593984962406013</v>
      </c>
      <c r="H13">
        <v>0.92366901860166761</v>
      </c>
      <c r="I13">
        <v>0.95881161377447677</v>
      </c>
    </row>
    <row r="14" spans="1:9" x14ac:dyDescent="0.25">
      <c r="A14" s="395" t="s">
        <v>1108</v>
      </c>
      <c r="B14">
        <v>0.92969203951191159</v>
      </c>
      <c r="C14">
        <v>0.33136966126656847</v>
      </c>
      <c r="D14">
        <v>0</v>
      </c>
      <c r="E14">
        <v>1.1560693641618496</v>
      </c>
      <c r="F14">
        <v>2.7472527472527473</v>
      </c>
      <c r="G14">
        <v>0.37037037037037041</v>
      </c>
      <c r="H14">
        <v>0.89459354336833918</v>
      </c>
      <c r="I14">
        <v>0.93214530500342707</v>
      </c>
    </row>
    <row r="15" spans="1:9" x14ac:dyDescent="0.25">
      <c r="A15" s="395" t="s">
        <v>236</v>
      </c>
      <c r="B15">
        <v>6.4693857315448966</v>
      </c>
      <c r="C15">
        <v>3.9694982784253794</v>
      </c>
      <c r="D15">
        <v>0</v>
      </c>
      <c r="E15">
        <v>13.184374182888332</v>
      </c>
      <c r="F15">
        <v>22.17838120919291</v>
      </c>
      <c r="G15">
        <v>3.8702717843291992</v>
      </c>
      <c r="H15">
        <v>7.4446566633172573</v>
      </c>
      <c r="I15">
        <v>7.6025847068211716</v>
      </c>
    </row>
    <row r="27" spans="1:9" x14ac:dyDescent="0.25">
      <c r="A27" s="394" t="s">
        <v>231</v>
      </c>
      <c r="B27" t="s">
        <v>977</v>
      </c>
      <c r="C27" t="s">
        <v>978</v>
      </c>
      <c r="D27" t="s">
        <v>1157</v>
      </c>
      <c r="E27" t="s">
        <v>246</v>
      </c>
      <c r="F27" t="s">
        <v>247</v>
      </c>
      <c r="G27" t="s">
        <v>316</v>
      </c>
      <c r="H27" t="s">
        <v>237</v>
      </c>
      <c r="I27" t="s">
        <v>1158</v>
      </c>
    </row>
    <row r="28" spans="1:9" x14ac:dyDescent="0.25">
      <c r="A28" s="395" t="s">
        <v>191</v>
      </c>
      <c r="B28">
        <v>80.8</v>
      </c>
      <c r="C28">
        <v>96.9</v>
      </c>
      <c r="E28">
        <v>60.4</v>
      </c>
      <c r="F28">
        <v>77.900000000000006</v>
      </c>
      <c r="G28">
        <v>47.4</v>
      </c>
      <c r="H28">
        <v>84.1</v>
      </c>
      <c r="I28">
        <v>85.9</v>
      </c>
    </row>
    <row r="29" spans="1:9" x14ac:dyDescent="0.25">
      <c r="A29" s="395" t="s">
        <v>190</v>
      </c>
      <c r="B29">
        <v>100</v>
      </c>
      <c r="C29">
        <v>98</v>
      </c>
      <c r="E29">
        <v>100</v>
      </c>
      <c r="F29">
        <v>95</v>
      </c>
      <c r="G29">
        <v>94</v>
      </c>
      <c r="H29">
        <v>99</v>
      </c>
      <c r="I29">
        <v>99</v>
      </c>
    </row>
    <row r="30" spans="1:9" x14ac:dyDescent="0.25">
      <c r="A30" s="395" t="s">
        <v>257</v>
      </c>
      <c r="B30">
        <v>99.5</v>
      </c>
      <c r="C30">
        <v>95.2</v>
      </c>
      <c r="E30">
        <v>99.4</v>
      </c>
      <c r="F30">
        <v>90.9</v>
      </c>
      <c r="G30">
        <v>96.2</v>
      </c>
      <c r="H30">
        <v>96.8</v>
      </c>
      <c r="I30">
        <v>96.9</v>
      </c>
    </row>
    <row r="31" spans="1:9" x14ac:dyDescent="0.25">
      <c r="A31" s="395" t="s">
        <v>240</v>
      </c>
      <c r="B31">
        <v>91.4</v>
      </c>
      <c r="C31">
        <v>80.599999999999994</v>
      </c>
      <c r="E31">
        <v>87.3</v>
      </c>
      <c r="F31">
        <v>75.099999999999994</v>
      </c>
      <c r="G31">
        <v>96.4</v>
      </c>
      <c r="H31">
        <v>85.8</v>
      </c>
      <c r="I31">
        <v>85.3</v>
      </c>
    </row>
    <row r="32" spans="1:9" x14ac:dyDescent="0.25">
      <c r="A32" s="395" t="s">
        <v>239</v>
      </c>
      <c r="B32">
        <v>78.828704976629098</v>
      </c>
      <c r="C32">
        <v>73.789366745682358</v>
      </c>
      <c r="E32">
        <v>78.260869565217391</v>
      </c>
      <c r="F32">
        <v>60.101010101010097</v>
      </c>
      <c r="G32">
        <v>95.899053627760253</v>
      </c>
      <c r="H32">
        <v>75.739944346066281</v>
      </c>
      <c r="I32">
        <v>74.89787850836737</v>
      </c>
    </row>
    <row r="33" spans="1:9" x14ac:dyDescent="0.25">
      <c r="A33" s="395" t="s">
        <v>760</v>
      </c>
      <c r="B33">
        <v>75.880088008800882</v>
      </c>
      <c r="C33">
        <v>74.08920667347634</v>
      </c>
      <c r="D33">
        <v>55.555555555555557</v>
      </c>
      <c r="E33">
        <v>78.723404255319153</v>
      </c>
      <c r="F33">
        <v>59.29095354523227</v>
      </c>
      <c r="G33">
        <v>94.92063492063491</v>
      </c>
      <c r="H33">
        <v>74.237074401008826</v>
      </c>
      <c r="I33">
        <v>73.381483913328964</v>
      </c>
    </row>
    <row r="34" spans="1:9" x14ac:dyDescent="0.25">
      <c r="A34" s="395" t="s">
        <v>917</v>
      </c>
      <c r="B34">
        <v>74.469866071428569</v>
      </c>
      <c r="C34">
        <v>73.850974930362113</v>
      </c>
      <c r="D34">
        <v>59.259259259259252</v>
      </c>
      <c r="E34">
        <v>71.428571428571431</v>
      </c>
      <c r="F34">
        <v>57.41626794258373</v>
      </c>
      <c r="G34">
        <v>94.38943894389439</v>
      </c>
      <c r="H34">
        <v>73.017494572851476</v>
      </c>
      <c r="I34">
        <v>72.157279489904354</v>
      </c>
    </row>
    <row r="35" spans="1:9" x14ac:dyDescent="0.25">
      <c r="A35" s="395" t="s">
        <v>1010</v>
      </c>
      <c r="B35">
        <v>72.963067380885263</v>
      </c>
      <c r="C35">
        <v>74.139804418688882</v>
      </c>
      <c r="D35">
        <v>60.377358490566039</v>
      </c>
      <c r="E35">
        <v>67.2316384180791</v>
      </c>
      <c r="F35">
        <v>59.023354564755834</v>
      </c>
      <c r="G35">
        <v>93.501805054151617</v>
      </c>
      <c r="H35">
        <v>71.468674237590918</v>
      </c>
      <c r="I35">
        <v>71.417112299465231</v>
      </c>
    </row>
    <row r="36" spans="1:9" x14ac:dyDescent="0.25">
      <c r="A36" s="395" t="s">
        <v>1061</v>
      </c>
      <c r="B36">
        <v>70.981507823613086</v>
      </c>
      <c r="C36">
        <v>74.232456140350877</v>
      </c>
      <c r="D36">
        <v>62.962962962962962</v>
      </c>
      <c r="E36">
        <v>68.965517241379317</v>
      </c>
      <c r="F36">
        <v>60.151187904967607</v>
      </c>
      <c r="G36">
        <v>93.609022556390968</v>
      </c>
      <c r="H36">
        <v>70.378447722899296</v>
      </c>
      <c r="I36">
        <v>70.722484807562452</v>
      </c>
    </row>
    <row r="37" spans="1:9" x14ac:dyDescent="0.25">
      <c r="A37" s="395" t="s">
        <v>1108</v>
      </c>
      <c r="B37">
        <v>70.976176641487513</v>
      </c>
      <c r="C37">
        <v>75.662739322533128</v>
      </c>
      <c r="D37">
        <v>64.81481481481481</v>
      </c>
      <c r="E37">
        <v>70.520231213872833</v>
      </c>
      <c r="F37">
        <v>61.208791208791212</v>
      </c>
      <c r="G37">
        <v>93.333333333333329</v>
      </c>
      <c r="H37">
        <v>70.841436535718913</v>
      </c>
      <c r="I37">
        <v>71.446196024674435</v>
      </c>
    </row>
    <row r="38" spans="1:9" x14ac:dyDescent="0.25">
      <c r="A38" s="395" t="s">
        <v>236</v>
      </c>
      <c r="B38">
        <v>815.79941090284444</v>
      </c>
      <c r="C38">
        <v>816.46454823109366</v>
      </c>
      <c r="D38">
        <v>302.96995108315861</v>
      </c>
      <c r="E38">
        <v>782.23023212243925</v>
      </c>
      <c r="F38">
        <v>696.0915652673408</v>
      </c>
      <c r="G38">
        <v>899.65328843616555</v>
      </c>
      <c r="H38">
        <v>801.38307181613561</v>
      </c>
      <c r="I38">
        <v>801.12243504330286</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6DE45-B9F2-4619-8F89-3A0CF377B2D2}">
  <sheetPr>
    <tabColor theme="9" tint="0.39997558519241921"/>
  </sheetPr>
  <dimension ref="A1:I35"/>
  <sheetViews>
    <sheetView workbookViewId="0">
      <selection activeCell="C10" sqref="C10"/>
    </sheetView>
  </sheetViews>
  <sheetFormatPr defaultRowHeight="15" x14ac:dyDescent="0.25"/>
  <cols>
    <col min="1" max="1" width="7.5703125" bestFit="1" customWidth="1"/>
    <col min="2" max="2" width="23" bestFit="1" customWidth="1"/>
    <col min="3" max="3" width="21.5703125" bestFit="1" customWidth="1"/>
    <col min="4" max="4" width="17.85546875" bestFit="1" customWidth="1"/>
    <col min="5" max="8" width="11.85546875" bestFit="1" customWidth="1"/>
    <col min="9" max="9" width="25.5703125" bestFit="1" customWidth="1"/>
  </cols>
  <sheetData>
    <row r="1" spans="1:9" x14ac:dyDescent="0.25">
      <c r="A1" t="s">
        <v>1</v>
      </c>
      <c r="B1" t="s">
        <v>27</v>
      </c>
      <c r="C1" t="s">
        <v>28</v>
      </c>
      <c r="D1" t="s">
        <v>1156</v>
      </c>
      <c r="E1" t="s">
        <v>2</v>
      </c>
      <c r="F1" t="s">
        <v>3</v>
      </c>
      <c r="G1" t="s">
        <v>29</v>
      </c>
      <c r="H1" t="s">
        <v>26</v>
      </c>
      <c r="I1" t="s">
        <v>1008</v>
      </c>
    </row>
    <row r="2" spans="1:9" x14ac:dyDescent="0.25">
      <c r="A2" t="s">
        <v>309</v>
      </c>
      <c r="B2">
        <v>0.4</v>
      </c>
      <c r="C2">
        <v>0.3</v>
      </c>
      <c r="E2">
        <v>2.1</v>
      </c>
      <c r="F2">
        <v>1.4</v>
      </c>
      <c r="G2">
        <v>0.4</v>
      </c>
      <c r="H2">
        <v>0.6</v>
      </c>
      <c r="I2">
        <v>0.6</v>
      </c>
    </row>
    <row r="3" spans="1:9" x14ac:dyDescent="0.25">
      <c r="A3" t="s">
        <v>193</v>
      </c>
      <c r="B3">
        <v>0.5</v>
      </c>
      <c r="C3">
        <v>0.3</v>
      </c>
      <c r="E3">
        <v>2.1</v>
      </c>
      <c r="F3">
        <v>1.5</v>
      </c>
      <c r="G3">
        <v>0.5</v>
      </c>
      <c r="H3">
        <v>0.6</v>
      </c>
      <c r="I3">
        <v>0.6</v>
      </c>
    </row>
    <row r="4" spans="1:9" x14ac:dyDescent="0.25">
      <c r="A4" t="s">
        <v>192</v>
      </c>
      <c r="B4">
        <v>0.2</v>
      </c>
      <c r="C4">
        <v>0.2</v>
      </c>
      <c r="E4">
        <v>1.8</v>
      </c>
      <c r="F4">
        <v>0.7</v>
      </c>
      <c r="H4">
        <v>0.3</v>
      </c>
      <c r="I4">
        <v>0.3</v>
      </c>
    </row>
    <row r="5" spans="1:9" x14ac:dyDescent="0.25">
      <c r="A5" t="s">
        <v>191</v>
      </c>
      <c r="B5">
        <v>0.2</v>
      </c>
      <c r="C5">
        <v>0.2</v>
      </c>
      <c r="E5">
        <v>2.2000000000000002</v>
      </c>
      <c r="F5">
        <v>0.8</v>
      </c>
      <c r="H5">
        <v>0.3</v>
      </c>
      <c r="I5">
        <v>0.3</v>
      </c>
    </row>
    <row r="6" spans="1:9" x14ac:dyDescent="0.25">
      <c r="A6" t="s">
        <v>190</v>
      </c>
      <c r="B6">
        <v>0</v>
      </c>
      <c r="C6">
        <v>0.1</v>
      </c>
      <c r="E6">
        <v>0</v>
      </c>
      <c r="F6">
        <v>0.5</v>
      </c>
      <c r="G6">
        <v>0.3</v>
      </c>
      <c r="H6">
        <v>0.1</v>
      </c>
      <c r="I6">
        <v>0.1</v>
      </c>
    </row>
    <row r="7" spans="1:9" x14ac:dyDescent="0.25">
      <c r="A7" t="s">
        <v>257</v>
      </c>
      <c r="B7">
        <v>0</v>
      </c>
      <c r="C7">
        <v>0.1</v>
      </c>
      <c r="E7">
        <v>0</v>
      </c>
      <c r="F7">
        <v>0.4</v>
      </c>
      <c r="G7">
        <v>0.3</v>
      </c>
      <c r="H7">
        <v>0.1</v>
      </c>
      <c r="I7">
        <v>0.1</v>
      </c>
    </row>
    <row r="8" spans="1:9" x14ac:dyDescent="0.25">
      <c r="A8" t="s">
        <v>240</v>
      </c>
      <c r="B8">
        <v>0.3</v>
      </c>
      <c r="C8">
        <v>0.3</v>
      </c>
      <c r="E8">
        <v>0</v>
      </c>
      <c r="F8">
        <v>1.2</v>
      </c>
      <c r="G8">
        <v>0.3</v>
      </c>
      <c r="H8">
        <v>0.4</v>
      </c>
      <c r="I8">
        <v>0.4</v>
      </c>
    </row>
    <row r="9" spans="1:9" x14ac:dyDescent="0.25">
      <c r="A9" t="s">
        <v>239</v>
      </c>
      <c r="B9">
        <v>0.68737970855100361</v>
      </c>
      <c r="C9">
        <v>0.44023027429732475</v>
      </c>
      <c r="D9">
        <v>0</v>
      </c>
      <c r="E9">
        <v>0.48309178743961351</v>
      </c>
      <c r="F9">
        <v>2.1464646464646462</v>
      </c>
      <c r="G9">
        <v>0.31545741324921134</v>
      </c>
      <c r="H9">
        <v>0.7209714141158613</v>
      </c>
      <c r="I9">
        <v>0.73791013308736331</v>
      </c>
    </row>
    <row r="10" spans="1:9" x14ac:dyDescent="0.25">
      <c r="A10" t="s">
        <v>760</v>
      </c>
      <c r="B10">
        <v>0.74257425742574257</v>
      </c>
      <c r="C10">
        <v>0.40858018386108275</v>
      </c>
      <c r="D10">
        <v>0</v>
      </c>
      <c r="E10">
        <v>0.53191489361702127</v>
      </c>
      <c r="F10">
        <v>2.3227383863080684</v>
      </c>
      <c r="G10">
        <v>0.31746031746031744</v>
      </c>
      <c r="H10">
        <v>0.75662042875157631</v>
      </c>
      <c r="I10">
        <v>0.77478660538411037</v>
      </c>
    </row>
    <row r="11" spans="1:9" x14ac:dyDescent="0.25">
      <c r="A11" t="s">
        <v>917</v>
      </c>
      <c r="B11">
        <v>0.78125</v>
      </c>
      <c r="C11">
        <v>0.45264623955431754</v>
      </c>
      <c r="D11">
        <v>0</v>
      </c>
      <c r="E11">
        <v>1.098901098901099</v>
      </c>
      <c r="F11">
        <v>3.1100478468899522</v>
      </c>
      <c r="G11">
        <v>0.33003300330033003</v>
      </c>
      <c r="H11">
        <v>0.89388328438258202</v>
      </c>
      <c r="I11">
        <v>0.91657810839532416</v>
      </c>
    </row>
    <row r="12" spans="1:9" x14ac:dyDescent="0.25">
      <c r="A12" t="s">
        <v>1010</v>
      </c>
      <c r="B12">
        <v>0.76120665351000849</v>
      </c>
      <c r="C12">
        <v>0.43462513582035489</v>
      </c>
      <c r="D12">
        <v>0</v>
      </c>
      <c r="E12">
        <v>0.56497175141242939</v>
      </c>
      <c r="F12">
        <v>2.7600849256900215</v>
      </c>
      <c r="G12">
        <v>0.36101083032490977</v>
      </c>
      <c r="H12">
        <v>0.85491897409723094</v>
      </c>
      <c r="I12">
        <v>0.88235294117647056</v>
      </c>
    </row>
    <row r="13" spans="1:9" x14ac:dyDescent="0.25">
      <c r="A13" t="s">
        <v>1061</v>
      </c>
      <c r="B13">
        <v>0.96728307254623047</v>
      </c>
      <c r="C13">
        <v>0.40204678362573099</v>
      </c>
      <c r="D13">
        <v>0</v>
      </c>
      <c r="E13">
        <v>1.1494252873563218</v>
      </c>
      <c r="F13">
        <v>2.5917926565874732</v>
      </c>
      <c r="G13">
        <v>0.37593984962406013</v>
      </c>
      <c r="H13">
        <v>0.92366901860166761</v>
      </c>
      <c r="I13">
        <v>0.95881161377447677</v>
      </c>
    </row>
    <row r="14" spans="1:9" x14ac:dyDescent="0.25">
      <c r="A14" t="s">
        <v>1108</v>
      </c>
      <c r="B14">
        <v>0.92969203951191159</v>
      </c>
      <c r="C14">
        <v>0.33136966126656847</v>
      </c>
      <c r="D14">
        <v>0</v>
      </c>
      <c r="E14">
        <v>1.1560693641618496</v>
      </c>
      <c r="F14">
        <v>2.7472527472527473</v>
      </c>
      <c r="G14">
        <v>0.37037037037037041</v>
      </c>
      <c r="H14">
        <v>0.89459354336833918</v>
      </c>
      <c r="I14">
        <v>0.93214530500342707</v>
      </c>
    </row>
    <row r="25" spans="1:9" x14ac:dyDescent="0.25">
      <c r="A25" t="s">
        <v>1</v>
      </c>
      <c r="B25" t="s">
        <v>27</v>
      </c>
      <c r="C25" t="s">
        <v>28</v>
      </c>
      <c r="D25" t="s">
        <v>1156</v>
      </c>
      <c r="E25" t="s">
        <v>2</v>
      </c>
      <c r="F25" t="s">
        <v>3</v>
      </c>
      <c r="G25" t="s">
        <v>29</v>
      </c>
      <c r="H25" t="s">
        <v>26</v>
      </c>
      <c r="I25" t="s">
        <v>1008</v>
      </c>
    </row>
    <row r="26" spans="1:9" x14ac:dyDescent="0.25">
      <c r="A26" t="s">
        <v>191</v>
      </c>
      <c r="B26">
        <v>80.8</v>
      </c>
      <c r="C26">
        <v>96.9</v>
      </c>
      <c r="E26">
        <v>60.4</v>
      </c>
      <c r="F26">
        <v>77.900000000000006</v>
      </c>
      <c r="G26">
        <v>47.4</v>
      </c>
      <c r="H26">
        <v>84.1</v>
      </c>
      <c r="I26">
        <v>85.9</v>
      </c>
    </row>
    <row r="27" spans="1:9" x14ac:dyDescent="0.25">
      <c r="A27" t="s">
        <v>190</v>
      </c>
      <c r="B27">
        <v>100</v>
      </c>
      <c r="C27">
        <v>98</v>
      </c>
      <c r="E27">
        <v>100</v>
      </c>
      <c r="F27">
        <v>95</v>
      </c>
      <c r="G27">
        <v>94</v>
      </c>
      <c r="H27">
        <v>99</v>
      </c>
      <c r="I27">
        <v>99</v>
      </c>
    </row>
    <row r="28" spans="1:9" x14ac:dyDescent="0.25">
      <c r="A28" t="s">
        <v>257</v>
      </c>
      <c r="B28">
        <v>99.5</v>
      </c>
      <c r="C28">
        <v>95.2</v>
      </c>
      <c r="E28">
        <v>99.4</v>
      </c>
      <c r="F28">
        <v>90.9</v>
      </c>
      <c r="G28">
        <v>96.2</v>
      </c>
      <c r="H28">
        <v>96.8</v>
      </c>
      <c r="I28">
        <v>96.9</v>
      </c>
    </row>
    <row r="29" spans="1:9" x14ac:dyDescent="0.25">
      <c r="A29" t="s">
        <v>240</v>
      </c>
      <c r="B29">
        <v>91.4</v>
      </c>
      <c r="C29">
        <v>80.599999999999994</v>
      </c>
      <c r="E29">
        <v>87.3</v>
      </c>
      <c r="F29">
        <v>75.099999999999994</v>
      </c>
      <c r="G29">
        <v>96.4</v>
      </c>
      <c r="H29">
        <v>85.8</v>
      </c>
      <c r="I29">
        <v>85.3</v>
      </c>
    </row>
    <row r="30" spans="1:9" x14ac:dyDescent="0.25">
      <c r="A30" t="s">
        <v>239</v>
      </c>
      <c r="B30">
        <v>78.828704976629098</v>
      </c>
      <c r="C30">
        <v>73.789366745682358</v>
      </c>
      <c r="E30">
        <v>78.260869565217391</v>
      </c>
      <c r="F30">
        <v>60.101010101010097</v>
      </c>
      <c r="G30">
        <v>95.899053627760253</v>
      </c>
      <c r="H30">
        <v>75.739944346066281</v>
      </c>
      <c r="I30">
        <v>74.89787850836737</v>
      </c>
    </row>
    <row r="31" spans="1:9" x14ac:dyDescent="0.25">
      <c r="A31" t="s">
        <v>760</v>
      </c>
      <c r="B31">
        <v>75.880088008800882</v>
      </c>
      <c r="C31">
        <v>74.08920667347634</v>
      </c>
      <c r="D31">
        <v>55.555555555555557</v>
      </c>
      <c r="E31">
        <v>78.723404255319153</v>
      </c>
      <c r="F31">
        <v>59.29095354523227</v>
      </c>
      <c r="G31">
        <v>94.92063492063491</v>
      </c>
      <c r="H31">
        <v>74.237074401008826</v>
      </c>
      <c r="I31">
        <v>73.381483913328964</v>
      </c>
    </row>
    <row r="32" spans="1:9" x14ac:dyDescent="0.25">
      <c r="A32" t="s">
        <v>917</v>
      </c>
      <c r="B32">
        <v>74.469866071428569</v>
      </c>
      <c r="C32">
        <v>73.850974930362113</v>
      </c>
      <c r="D32">
        <v>59.259259259259252</v>
      </c>
      <c r="E32">
        <v>71.428571428571431</v>
      </c>
      <c r="F32">
        <v>57.41626794258373</v>
      </c>
      <c r="G32">
        <v>94.38943894389439</v>
      </c>
      <c r="H32">
        <v>73.017494572851476</v>
      </c>
      <c r="I32">
        <v>72.157279489904354</v>
      </c>
    </row>
    <row r="33" spans="1:9" x14ac:dyDescent="0.25">
      <c r="A33" t="s">
        <v>1010</v>
      </c>
      <c r="B33">
        <v>72.963067380885263</v>
      </c>
      <c r="C33">
        <v>74.139804418688882</v>
      </c>
      <c r="D33">
        <v>60.377358490566039</v>
      </c>
      <c r="E33">
        <v>67.2316384180791</v>
      </c>
      <c r="F33">
        <v>59.023354564755834</v>
      </c>
      <c r="G33">
        <v>93.501805054151617</v>
      </c>
      <c r="H33">
        <v>71.468674237590918</v>
      </c>
      <c r="I33">
        <v>71.417112299465231</v>
      </c>
    </row>
    <row r="34" spans="1:9" x14ac:dyDescent="0.25">
      <c r="A34" t="s">
        <v>1061</v>
      </c>
      <c r="B34">
        <v>70.981507823613086</v>
      </c>
      <c r="C34">
        <v>74.232456140350877</v>
      </c>
      <c r="D34">
        <v>62.962962962962962</v>
      </c>
      <c r="E34">
        <v>68.965517241379317</v>
      </c>
      <c r="F34">
        <v>60.151187904967607</v>
      </c>
      <c r="G34">
        <v>93.609022556390968</v>
      </c>
      <c r="H34">
        <v>70.378447722899296</v>
      </c>
      <c r="I34">
        <v>70.722484807562452</v>
      </c>
    </row>
    <row r="35" spans="1:9" x14ac:dyDescent="0.25">
      <c r="A35" t="s">
        <v>1108</v>
      </c>
      <c r="B35">
        <v>70.976176641487513</v>
      </c>
      <c r="C35">
        <v>75.662739322533128</v>
      </c>
      <c r="D35">
        <v>64.81481481481481</v>
      </c>
      <c r="E35">
        <v>70.520231213872833</v>
      </c>
      <c r="F35">
        <v>61.208791208791212</v>
      </c>
      <c r="G35">
        <v>93.333333333333329</v>
      </c>
      <c r="H35">
        <v>70.841436535718913</v>
      </c>
      <c r="I35">
        <v>71.446196024674435</v>
      </c>
    </row>
  </sheetData>
  <pageMargins left="0.7" right="0.7" top="0.75" bottom="0.75" header="0.3" footer="0.3"/>
  <tableParts count="2">
    <tablePart r:id="rId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20">
    <tabColor theme="9" tint="0.39997558519241921"/>
    <pageSetUpPr fitToPage="1"/>
  </sheetPr>
  <dimension ref="A1:L47"/>
  <sheetViews>
    <sheetView showGridLines="0" zoomScaleNormal="100" workbookViewId="0">
      <pane ySplit="2" topLeftCell="A3" activePane="bottomLeft" state="frozen"/>
      <selection pane="bottomLeft" sqref="A1:C1"/>
    </sheetView>
  </sheetViews>
  <sheetFormatPr defaultRowHeight="15" x14ac:dyDescent="0.25"/>
  <cols>
    <col min="1" max="1" width="18" customWidth="1"/>
    <col min="2" max="2" width="21.5703125" bestFit="1" customWidth="1"/>
    <col min="3" max="3" width="19.7109375" bestFit="1" customWidth="1"/>
    <col min="4" max="4" width="18.28515625" customWidth="1"/>
    <col min="5" max="5" width="7.140625" bestFit="1" customWidth="1"/>
    <col min="6" max="6" width="7.5703125" bestFit="1" customWidth="1"/>
    <col min="7" max="7" width="9.5703125" bestFit="1" customWidth="1"/>
    <col min="8" max="8" width="8.42578125" customWidth="1"/>
    <col min="9" max="9" width="24" bestFit="1" customWidth="1"/>
  </cols>
  <sheetData>
    <row r="1" spans="1:12" ht="15.75" x14ac:dyDescent="0.25">
      <c r="A1" s="993" t="s">
        <v>450</v>
      </c>
      <c r="B1" s="993"/>
      <c r="C1" s="993"/>
      <c r="D1" s="449"/>
    </row>
    <row r="2" spans="1:12" x14ac:dyDescent="0.25">
      <c r="A2" s="507" t="s">
        <v>511</v>
      </c>
    </row>
    <row r="3" spans="1:12" x14ac:dyDescent="0.25">
      <c r="A3" s="25"/>
      <c r="B3" s="25"/>
      <c r="C3" s="25"/>
      <c r="D3" s="25"/>
      <c r="E3" s="25"/>
      <c r="F3" s="25"/>
      <c r="G3" s="25"/>
      <c r="H3" s="25"/>
      <c r="I3" s="25"/>
    </row>
    <row r="4" spans="1:12" ht="15.75" customHeight="1" x14ac:dyDescent="0.25">
      <c r="A4" s="994" t="s">
        <v>483</v>
      </c>
      <c r="B4" s="994"/>
      <c r="C4" s="994"/>
      <c r="D4" s="994"/>
      <c r="E4" s="994"/>
      <c r="F4" s="994"/>
      <c r="G4" s="994"/>
      <c r="H4" s="994"/>
      <c r="I4" s="994"/>
    </row>
    <row r="5" spans="1:12" ht="15.75" customHeight="1" x14ac:dyDescent="0.25">
      <c r="A5" t="s">
        <v>328</v>
      </c>
      <c r="B5" t="s">
        <v>687</v>
      </c>
      <c r="C5" s="234"/>
      <c r="D5" s="234"/>
      <c r="E5" s="234"/>
      <c r="F5" s="234"/>
      <c r="G5" s="234"/>
      <c r="H5" s="234"/>
      <c r="I5" s="234"/>
    </row>
    <row r="6" spans="1:12" ht="15.75" customHeight="1" x14ac:dyDescent="0.25">
      <c r="A6" t="s">
        <v>329</v>
      </c>
      <c r="B6" t="s">
        <v>331</v>
      </c>
      <c r="C6" s="234"/>
      <c r="D6" s="25"/>
      <c r="E6" s="25"/>
      <c r="F6" s="25"/>
      <c r="G6" s="25"/>
      <c r="H6" s="25"/>
      <c r="I6" s="25"/>
      <c r="J6" s="25"/>
      <c r="K6" s="25"/>
      <c r="L6" s="25"/>
    </row>
    <row r="7" spans="1:12" ht="15.75" customHeight="1" x14ac:dyDescent="0.25">
      <c r="A7" t="s">
        <v>330</v>
      </c>
      <c r="B7" t="s">
        <v>332</v>
      </c>
      <c r="C7" s="234"/>
      <c r="D7" s="234"/>
      <c r="E7" s="234"/>
      <c r="F7" s="234"/>
      <c r="G7" s="234"/>
      <c r="H7" s="234"/>
      <c r="I7" s="234"/>
    </row>
    <row r="8" spans="1:12" ht="15.75" x14ac:dyDescent="0.25">
      <c r="A8" s="234"/>
      <c r="B8" s="234"/>
      <c r="C8" s="234"/>
      <c r="D8" s="234"/>
      <c r="E8" s="234"/>
      <c r="F8" s="234"/>
      <c r="G8" s="234"/>
      <c r="H8" s="234"/>
      <c r="I8" s="866" t="s">
        <v>7</v>
      </c>
    </row>
    <row r="9" spans="1:12" x14ac:dyDescent="0.25">
      <c r="A9" s="677" t="s">
        <v>1</v>
      </c>
      <c r="B9" s="677" t="s">
        <v>27</v>
      </c>
      <c r="C9" s="677" t="s">
        <v>28</v>
      </c>
      <c r="D9" s="677" t="s">
        <v>831</v>
      </c>
      <c r="E9" s="677" t="s">
        <v>2</v>
      </c>
      <c r="F9" s="677" t="s">
        <v>3</v>
      </c>
      <c r="G9" s="677" t="s">
        <v>29</v>
      </c>
      <c r="H9" s="677" t="s">
        <v>26</v>
      </c>
      <c r="I9" s="677" t="s">
        <v>87</v>
      </c>
    </row>
    <row r="10" spans="1:12" x14ac:dyDescent="0.25">
      <c r="A10" s="317" t="s">
        <v>309</v>
      </c>
      <c r="B10" s="774">
        <f>GETPIVOTDATA("Sum of Wholetime Operational",DisabilityPivot!$A$1,"Year",A10)</f>
        <v>0.4</v>
      </c>
      <c r="C10" s="774">
        <f>GETPIVOTDATA("Sum of Retained Duty System",DisabilityPivot!$A$1,"Year",A10)</f>
        <v>0.3</v>
      </c>
      <c r="D10" s="774"/>
      <c r="E10" s="774">
        <f>GETPIVOTDATA("Sum of Control",DisabilityPivot!$A$1,"Year",A10)</f>
        <v>2.1</v>
      </c>
      <c r="F10" s="774">
        <f>GETPIVOTDATA("Sum of Support",DisabilityPivot!$A$1,"Year",A10)</f>
        <v>1.4</v>
      </c>
      <c r="G10" s="774">
        <f>GETPIVOTDATA("Sum of Volunteer",DisabilityPivot!$A$1,"Year",A10)</f>
        <v>0.4</v>
      </c>
      <c r="H10" s="774">
        <f>GETPIVOTDATA("Sum of Total",DisabilityPivot!$A$1,"Year",A10)</f>
        <v>0.6</v>
      </c>
      <c r="I10" s="774">
        <f>GETPIVOTDATA("Sum of Total (excluding volunters)",DisabilityPivot!$A$1,"Year",A10)</f>
        <v>0.6</v>
      </c>
    </row>
    <row r="11" spans="1:12" x14ac:dyDescent="0.25">
      <c r="A11" s="317" t="s">
        <v>193</v>
      </c>
      <c r="B11" s="774">
        <f>GETPIVOTDATA("Sum of Wholetime Operational",DisabilityPivot!$A$1,"Year",A11)</f>
        <v>0.5</v>
      </c>
      <c r="C11" s="774">
        <f>GETPIVOTDATA("Sum of Retained Duty System",DisabilityPivot!$A$1,"Year",A11)</f>
        <v>0.3</v>
      </c>
      <c r="D11" s="774"/>
      <c r="E11" s="774">
        <f>GETPIVOTDATA("Sum of Control",DisabilityPivot!$A$1,"Year",A11)</f>
        <v>2.1</v>
      </c>
      <c r="F11" s="774">
        <f>GETPIVOTDATA("Sum of Support",DisabilityPivot!$A$1,"Year",A11)</f>
        <v>1.5</v>
      </c>
      <c r="G11" s="774">
        <f>GETPIVOTDATA("Sum of Volunteer",DisabilityPivot!$A$1,"Year",A11)</f>
        <v>0.5</v>
      </c>
      <c r="H11" s="774">
        <f>GETPIVOTDATA("Sum of Total",DisabilityPivot!$A$1,"Year",A11)</f>
        <v>0.6</v>
      </c>
      <c r="I11" s="774">
        <f>GETPIVOTDATA("Sum of Total (excluding volunters)",DisabilityPivot!$A$1,"Year",A11)</f>
        <v>0.6</v>
      </c>
    </row>
    <row r="12" spans="1:12" x14ac:dyDescent="0.25">
      <c r="A12" s="317" t="s">
        <v>192</v>
      </c>
      <c r="B12" s="774">
        <f>GETPIVOTDATA("Sum of Wholetime Operational",DisabilityPivot!$A$1,"Year",A12)</f>
        <v>0.2</v>
      </c>
      <c r="C12" s="774">
        <f>GETPIVOTDATA("Sum of Retained Duty System",DisabilityPivot!$A$1,"Year",A12)</f>
        <v>0.2</v>
      </c>
      <c r="D12" s="774"/>
      <c r="E12" s="774">
        <f>GETPIVOTDATA("Sum of Control",DisabilityPivot!$A$1,"Year",A12)</f>
        <v>1.8</v>
      </c>
      <c r="F12" s="774">
        <f>GETPIVOTDATA("Sum of Support",DisabilityPivot!$A$1,"Year",A12)</f>
        <v>0.7</v>
      </c>
      <c r="G12" s="774">
        <f>GETPIVOTDATA("Sum of Volunteer",DisabilityPivot!$A$1,"Year",A12)</f>
        <v>0</v>
      </c>
      <c r="H12" s="774">
        <f>GETPIVOTDATA("Sum of Total",DisabilityPivot!$A$1,"Year",A12)</f>
        <v>0.3</v>
      </c>
      <c r="I12" s="774">
        <f>GETPIVOTDATA("Sum of Total (excluding volunters)",DisabilityPivot!$A$1,"Year",A12)</f>
        <v>0.3</v>
      </c>
    </row>
    <row r="13" spans="1:12" x14ac:dyDescent="0.25">
      <c r="A13" s="317" t="s">
        <v>191</v>
      </c>
      <c r="B13" s="774">
        <f>GETPIVOTDATA("Sum of Wholetime Operational",DisabilityPivot!$A$1,"Year",A13)</f>
        <v>0.2</v>
      </c>
      <c r="C13" s="774">
        <f>GETPIVOTDATA("Sum of Retained Duty System",DisabilityPivot!$A$1,"Year",A13)</f>
        <v>0.2</v>
      </c>
      <c r="D13" s="774"/>
      <c r="E13" s="774">
        <f>GETPIVOTDATA("Sum of Control",DisabilityPivot!$A$1,"Year",A13)</f>
        <v>2.2000000000000002</v>
      </c>
      <c r="F13" s="774">
        <f>GETPIVOTDATA("Sum of Support",DisabilityPivot!$A$1,"Year",A13)</f>
        <v>0.8</v>
      </c>
      <c r="G13" s="774">
        <f>GETPIVOTDATA("Sum of Volunteer",DisabilityPivot!$A$1,"Year",A13)</f>
        <v>0</v>
      </c>
      <c r="H13" s="774">
        <f>GETPIVOTDATA("Sum of Total",DisabilityPivot!$A$1,"Year",A13)</f>
        <v>0.3</v>
      </c>
      <c r="I13" s="774">
        <f>GETPIVOTDATA("Sum of Total (excluding volunters)",DisabilityPivot!$A$1,"Year",A13)</f>
        <v>0.3</v>
      </c>
    </row>
    <row r="14" spans="1:12" x14ac:dyDescent="0.25">
      <c r="A14" s="317" t="s">
        <v>190</v>
      </c>
      <c r="B14" s="774">
        <f>GETPIVOTDATA("Sum of Wholetime Operational",DisabilityPivot!$A$1,"Year",A14)</f>
        <v>0</v>
      </c>
      <c r="C14" s="774">
        <f>GETPIVOTDATA("Sum of Retained Duty System",DisabilityPivot!$A$1,"Year",A14)</f>
        <v>0.1</v>
      </c>
      <c r="D14" s="774"/>
      <c r="E14" s="774">
        <f>GETPIVOTDATA("Sum of Control",DisabilityPivot!$A$1,"Year",A14)</f>
        <v>0</v>
      </c>
      <c r="F14" s="774">
        <f>GETPIVOTDATA("Sum of Support",DisabilityPivot!$A$1,"Year",A14)</f>
        <v>0.5</v>
      </c>
      <c r="G14" s="774">
        <f>GETPIVOTDATA("Sum of Volunteer",DisabilityPivot!$A$1,"Year",A14)</f>
        <v>0.3</v>
      </c>
      <c r="H14" s="774">
        <f>GETPIVOTDATA("Sum of Total",DisabilityPivot!$A$1,"Year",A14)</f>
        <v>0.1</v>
      </c>
      <c r="I14" s="774">
        <f>GETPIVOTDATA("Sum of Total (excluding volunters)",DisabilityPivot!$A$1,"Year",A14)</f>
        <v>0.1</v>
      </c>
    </row>
    <row r="15" spans="1:12" x14ac:dyDescent="0.25">
      <c r="A15" s="317" t="s">
        <v>257</v>
      </c>
      <c r="B15" s="774">
        <f>GETPIVOTDATA("Sum of Wholetime Operational",DisabilityPivot!$A$1,"Year",A15)</f>
        <v>0</v>
      </c>
      <c r="C15" s="774">
        <f>GETPIVOTDATA("Sum of Retained Duty System",DisabilityPivot!$A$1,"Year",A15)</f>
        <v>0.1</v>
      </c>
      <c r="D15" s="774"/>
      <c r="E15" s="774">
        <f>GETPIVOTDATA("Sum of Control",DisabilityPivot!$A$1,"Year",A15)</f>
        <v>0</v>
      </c>
      <c r="F15" s="774">
        <f>GETPIVOTDATA("Sum of Support",DisabilityPivot!$A$1,"Year",A15)</f>
        <v>0.4</v>
      </c>
      <c r="G15" s="774">
        <f>GETPIVOTDATA("Sum of Volunteer",DisabilityPivot!$A$1,"Year",A15)</f>
        <v>0.3</v>
      </c>
      <c r="H15" s="774">
        <f>GETPIVOTDATA("Sum of Total",DisabilityPivot!$A$1,"Year",A15)</f>
        <v>0.1</v>
      </c>
      <c r="I15" s="774">
        <f>GETPIVOTDATA("Sum of Total (excluding volunters)",DisabilityPivot!$A$1,"Year",A15)</f>
        <v>0.1</v>
      </c>
    </row>
    <row r="16" spans="1:12" x14ac:dyDescent="0.25">
      <c r="A16" s="317" t="s">
        <v>240</v>
      </c>
      <c r="B16" s="774">
        <f>GETPIVOTDATA("Sum of Wholetime Operational",DisabilityPivot!$A$1,"Year",A16)</f>
        <v>0.3</v>
      </c>
      <c r="C16" s="774">
        <f>GETPIVOTDATA("Sum of Retained Duty System",DisabilityPivot!$A$1,"Year",A16)</f>
        <v>0.3</v>
      </c>
      <c r="D16" s="774"/>
      <c r="E16" s="774">
        <f>GETPIVOTDATA("Sum of Control",DisabilityPivot!$A$1,"Year",A16)</f>
        <v>0</v>
      </c>
      <c r="F16" s="774">
        <f>GETPIVOTDATA("Sum of Support",DisabilityPivot!$A$1,"Year",A16)</f>
        <v>1.2</v>
      </c>
      <c r="G16" s="774">
        <f>GETPIVOTDATA("Sum of Volunteer",DisabilityPivot!$A$1,"Year",A16)</f>
        <v>0.3</v>
      </c>
      <c r="H16" s="774">
        <f>GETPIVOTDATA("Sum of Total",DisabilityPivot!$A$1,"Year",A16)</f>
        <v>0.4</v>
      </c>
      <c r="I16" s="774">
        <f>GETPIVOTDATA("Sum of Total (excluding volunters)",DisabilityPivot!$A$1,"Year",A16)</f>
        <v>0.4</v>
      </c>
    </row>
    <row r="17" spans="1:9" x14ac:dyDescent="0.25">
      <c r="A17" s="317" t="s">
        <v>239</v>
      </c>
      <c r="B17" s="774">
        <f>GETPIVOTDATA("Sum of Wholetime Operational",DisabilityPivot!$A$1,"Year",A17)</f>
        <v>0.68737970855100361</v>
      </c>
      <c r="C17" s="774">
        <f>GETPIVOTDATA("Sum of Retained Duty System",DisabilityPivot!$A$1,"Year",A17)</f>
        <v>0.44023027429732475</v>
      </c>
      <c r="D17" s="774"/>
      <c r="E17" s="774">
        <f>GETPIVOTDATA("Sum of Control",DisabilityPivot!$A$1,"Year",A17)</f>
        <v>0.48309178743961351</v>
      </c>
      <c r="F17" s="774">
        <f>GETPIVOTDATA("Sum of Support",DisabilityPivot!$A$1,"Year",A17)</f>
        <v>2.1464646464646462</v>
      </c>
      <c r="G17" s="774">
        <f>GETPIVOTDATA("Sum of Volunteer",DisabilityPivot!$A$1,"Year",A17)</f>
        <v>0.31545741324921134</v>
      </c>
      <c r="H17" s="774">
        <f>GETPIVOTDATA("Sum of Total",DisabilityPivot!$A$1,"Year",A17)</f>
        <v>0.7209714141158613</v>
      </c>
      <c r="I17" s="774">
        <f>GETPIVOTDATA("Sum of Total (excluding volunters)",DisabilityPivot!$A$1,"Year",A17)</f>
        <v>0.73791013308736331</v>
      </c>
    </row>
    <row r="18" spans="1:9" x14ac:dyDescent="0.25">
      <c r="A18" s="317" t="s">
        <v>760</v>
      </c>
      <c r="B18" s="774">
        <f>GETPIVOTDATA("Sum of Wholetime Operational",DisabilityPivot!$A$1,"Year",A18)</f>
        <v>0.74257425742574257</v>
      </c>
      <c r="C18" s="774">
        <f>GETPIVOTDATA("Sum of Retained Duty System",DisabilityPivot!$A$1,"Year",A18)</f>
        <v>0.40858018386108275</v>
      </c>
      <c r="D18" s="774">
        <f>GETPIVOTDATA("Sum of Retained Fulltime",DisabilityPivot!$A$1,"Year",A18)</f>
        <v>0</v>
      </c>
      <c r="E18" s="774">
        <f>GETPIVOTDATA("Sum of Control",DisabilityPivot!$A$1,"Year",A18)</f>
        <v>0.53191489361702127</v>
      </c>
      <c r="F18" s="774">
        <f>GETPIVOTDATA("Sum of Support",DisabilityPivot!$A$1,"Year",A18)</f>
        <v>2.3227383863080684</v>
      </c>
      <c r="G18" s="774">
        <f>GETPIVOTDATA("Sum of Volunteer",DisabilityPivot!$A$1,"Year",A18)</f>
        <v>0.31746031746031744</v>
      </c>
      <c r="H18" s="774">
        <f>GETPIVOTDATA("Sum of Total",DisabilityPivot!$A$1,"Year",A18)</f>
        <v>0.75662042875157631</v>
      </c>
      <c r="I18" s="774">
        <f>GETPIVOTDATA("Sum of Total (excluding volunters)",DisabilityPivot!$A$1,"Year",A18)</f>
        <v>0.77478660538411037</v>
      </c>
    </row>
    <row r="19" spans="1:9" x14ac:dyDescent="0.25">
      <c r="A19" s="317" t="s">
        <v>917</v>
      </c>
      <c r="B19" s="774">
        <f>GETPIVOTDATA("Sum of Wholetime Operational",DisabilityPivot!$A$1,"Year",A19)</f>
        <v>0.78125</v>
      </c>
      <c r="C19" s="774">
        <f>GETPIVOTDATA("Sum of Retained Duty System",DisabilityPivot!$A$1,"Year",A19)</f>
        <v>0.45264623955431754</v>
      </c>
      <c r="D19" s="774">
        <f>GETPIVOTDATA("Sum of Retained Fulltime",DisabilityPivot!$A$1,"Year",A19)</f>
        <v>0</v>
      </c>
      <c r="E19" s="774">
        <f>GETPIVOTDATA("Sum of Control",DisabilityPivot!$A$1,"Year",A19)</f>
        <v>1.098901098901099</v>
      </c>
      <c r="F19" s="774">
        <f>GETPIVOTDATA("Sum of Support",DisabilityPivot!$A$1,"Year",A19)</f>
        <v>3.1100478468899522</v>
      </c>
      <c r="G19" s="774">
        <f>GETPIVOTDATA("Sum of Volunteer",DisabilityPivot!$A$1,"Year",A19)</f>
        <v>0.33003300330033003</v>
      </c>
      <c r="H19" s="774">
        <f>GETPIVOTDATA("Sum of Total",DisabilityPivot!$A$1,"Year",A19)</f>
        <v>0.89388328438258202</v>
      </c>
      <c r="I19" s="774">
        <f>GETPIVOTDATA("Sum of Total (excluding volunters)",DisabilityPivot!$A$1,"Year",A19)</f>
        <v>0.91657810839532416</v>
      </c>
    </row>
    <row r="20" spans="1:9" x14ac:dyDescent="0.25">
      <c r="A20" s="317" t="s">
        <v>1010</v>
      </c>
      <c r="B20" s="774">
        <f>GETPIVOTDATA("Sum of Wholetime Operational",DisabilityPivot!$A$1,"Year",A20)</f>
        <v>0.76120665351000849</v>
      </c>
      <c r="C20" s="774">
        <f>GETPIVOTDATA("Sum of Retained Duty System",DisabilityPivot!$A$1,"Year",A20)</f>
        <v>0.43462513582035489</v>
      </c>
      <c r="D20" s="774">
        <f>GETPIVOTDATA("Sum of Retained Fulltime",DisabilityPivot!$A$1,"Year",A20)</f>
        <v>0</v>
      </c>
      <c r="E20" s="774">
        <f>GETPIVOTDATA("Sum of Control",DisabilityPivot!$A$1,"Year",A20)</f>
        <v>0.56497175141242939</v>
      </c>
      <c r="F20" s="774">
        <f>GETPIVOTDATA("Sum of Support",DisabilityPivot!$A$1,"Year",A20)</f>
        <v>2.7600849256900215</v>
      </c>
      <c r="G20" s="774">
        <f>GETPIVOTDATA("Sum of Volunteer",DisabilityPivot!$A$1,"Year",A20)</f>
        <v>0.36101083032490977</v>
      </c>
      <c r="H20" s="774">
        <f>GETPIVOTDATA("Sum of Total",DisabilityPivot!$A$1,"Year",A20)</f>
        <v>0.85491897409723094</v>
      </c>
      <c r="I20" s="774">
        <f>GETPIVOTDATA("Sum of Total (excluding volunters)",DisabilityPivot!$A$1,"Year",A20)</f>
        <v>0.88235294117647056</v>
      </c>
    </row>
    <row r="21" spans="1:9" x14ac:dyDescent="0.25">
      <c r="A21" s="317" t="s">
        <v>1061</v>
      </c>
      <c r="B21" s="774">
        <f>GETPIVOTDATA("Sum of Wholetime Operational",DisabilityPivot!$A$1,"Year",A21)</f>
        <v>0.96728307254623047</v>
      </c>
      <c r="C21" s="774">
        <f>GETPIVOTDATA("Sum of Retained Duty System",DisabilityPivot!$A$1,"Year",A21)</f>
        <v>0.40204678362573099</v>
      </c>
      <c r="D21" s="774">
        <f>GETPIVOTDATA("Sum of Retained Fulltime",DisabilityPivot!$A$1,"Year",A21)</f>
        <v>0</v>
      </c>
      <c r="E21" s="774">
        <f>GETPIVOTDATA("Sum of Control",DisabilityPivot!$A$1,"Year",A21)</f>
        <v>1.1494252873563218</v>
      </c>
      <c r="F21" s="774">
        <f>GETPIVOTDATA("Sum of Support",DisabilityPivot!$A$1,"Year",A21)</f>
        <v>2.5917926565874732</v>
      </c>
      <c r="G21" s="774">
        <f>GETPIVOTDATA("Sum of Volunteer",DisabilityPivot!$A$1,"Year",A21)</f>
        <v>0.37593984962406013</v>
      </c>
      <c r="H21" s="774">
        <f>GETPIVOTDATA("Sum of Total",DisabilityPivot!$A$1,"Year",A21)</f>
        <v>0.92366901860166761</v>
      </c>
      <c r="I21" s="774">
        <f>GETPIVOTDATA("Sum of Total (excluding volunters)",DisabilityPivot!$A$1,"Year",A21)</f>
        <v>0.95881161377447677</v>
      </c>
    </row>
    <row r="22" spans="1:9" ht="15" customHeight="1" thickBot="1" x14ac:dyDescent="0.3">
      <c r="A22" s="884" t="s">
        <v>1108</v>
      </c>
      <c r="B22" s="776">
        <f>GETPIVOTDATA("Sum of Wholetime Operational",DisabilityPivot!$A$1,"Year",A22)</f>
        <v>0.92969203951191159</v>
      </c>
      <c r="C22" s="776">
        <f>GETPIVOTDATA("Sum of Retained Duty System",DisabilityPivot!$A$1,"Year",A22)</f>
        <v>0.33136966126656847</v>
      </c>
      <c r="D22" s="776">
        <f>GETPIVOTDATA("Sum of Retained Fulltime",DisabilityPivot!$A$1,"Year",A22)</f>
        <v>0</v>
      </c>
      <c r="E22" s="776">
        <f>GETPIVOTDATA("Sum of Control",DisabilityPivot!$A$1,"Year",A22)</f>
        <v>1.1560693641618496</v>
      </c>
      <c r="F22" s="776">
        <f>GETPIVOTDATA("Sum of Support",DisabilityPivot!$A$1,"Year",A22)</f>
        <v>2.7472527472527473</v>
      </c>
      <c r="G22" s="776">
        <f>GETPIVOTDATA("Sum of Volunteer",DisabilityPivot!$A$1,"Year",A22)</f>
        <v>0.37037037037037041</v>
      </c>
      <c r="H22" s="776">
        <f>GETPIVOTDATA("Sum of Total",DisabilityPivot!$A$1,"Year",A22)</f>
        <v>0.89459354336833918</v>
      </c>
      <c r="I22" s="776">
        <f>GETPIVOTDATA("Sum of Total (excluding volunters)",DisabilityPivot!$A$1,"Year",A22)</f>
        <v>0.93214530500342707</v>
      </c>
    </row>
    <row r="23" spans="1:9" ht="15" customHeight="1" x14ac:dyDescent="0.25">
      <c r="A23" s="25"/>
      <c r="B23" s="25"/>
      <c r="C23" s="25"/>
      <c r="D23" s="25"/>
      <c r="E23" s="25"/>
      <c r="F23" s="25"/>
      <c r="G23" s="25"/>
      <c r="H23" s="25"/>
      <c r="I23" s="25"/>
    </row>
    <row r="24" spans="1:9" ht="15" customHeight="1" x14ac:dyDescent="0.25">
      <c r="A24" s="339" t="s">
        <v>8</v>
      </c>
      <c r="B24" s="25"/>
      <c r="C24" s="25"/>
      <c r="D24" s="25"/>
      <c r="E24" s="25"/>
      <c r="F24" s="25"/>
      <c r="G24" s="25"/>
      <c r="H24" s="25"/>
      <c r="I24" s="25"/>
    </row>
    <row r="25" spans="1:9" x14ac:dyDescent="0.25">
      <c r="A25" s="1032" t="s">
        <v>732</v>
      </c>
      <c r="B25" s="1032"/>
      <c r="C25" s="1032"/>
      <c r="D25" s="1032"/>
      <c r="E25" s="1032"/>
      <c r="F25" s="1032"/>
      <c r="G25" s="1032"/>
      <c r="H25" s="1032"/>
      <c r="I25" s="1032"/>
    </row>
    <row r="26" spans="1:9" ht="15.75" customHeight="1" x14ac:dyDescent="0.25">
      <c r="A26" s="344" t="s">
        <v>853</v>
      </c>
      <c r="B26" s="580"/>
      <c r="C26" s="580"/>
      <c r="D26" s="580"/>
      <c r="E26" s="580"/>
      <c r="F26" s="580"/>
      <c r="G26" s="580"/>
      <c r="H26" s="580"/>
      <c r="I26" s="580"/>
    </row>
    <row r="27" spans="1:9" ht="15.75" customHeight="1" x14ac:dyDescent="0.25">
      <c r="A27" s="378"/>
      <c r="B27" s="25"/>
      <c r="C27" s="25"/>
      <c r="D27" s="25"/>
      <c r="E27" s="25"/>
      <c r="F27" s="25"/>
      <c r="G27" s="25"/>
      <c r="H27" s="25"/>
      <c r="I27" s="25"/>
    </row>
    <row r="28" spans="1:9" ht="15.75" customHeight="1" x14ac:dyDescent="0.25">
      <c r="A28" s="1024" t="s">
        <v>484</v>
      </c>
      <c r="B28" s="1024"/>
      <c r="C28" s="1024"/>
      <c r="D28" s="1024"/>
      <c r="E28" s="1024"/>
      <c r="F28" s="1024"/>
      <c r="G28" s="1024"/>
      <c r="H28" s="1024"/>
      <c r="I28" s="1024"/>
    </row>
    <row r="29" spans="1:9" ht="15.75" customHeight="1" x14ac:dyDescent="0.25">
      <c r="A29" t="s">
        <v>328</v>
      </c>
      <c r="B29" t="s">
        <v>688</v>
      </c>
      <c r="C29" s="302"/>
      <c r="D29" s="302"/>
      <c r="E29" s="302"/>
      <c r="F29" s="302"/>
      <c r="G29" s="302"/>
      <c r="H29" s="302"/>
      <c r="I29" s="302"/>
    </row>
    <row r="30" spans="1:9" ht="15.75" x14ac:dyDescent="0.25">
      <c r="A30" t="s">
        <v>329</v>
      </c>
      <c r="B30" t="s">
        <v>331</v>
      </c>
      <c r="C30" s="302"/>
      <c r="D30" s="302"/>
      <c r="E30" s="302"/>
      <c r="F30" s="302"/>
      <c r="G30" s="302"/>
      <c r="H30" s="302"/>
      <c r="I30" s="302"/>
    </row>
    <row r="31" spans="1:9" ht="15.75" x14ac:dyDescent="0.25">
      <c r="A31" t="s">
        <v>330</v>
      </c>
      <c r="B31" t="s">
        <v>332</v>
      </c>
      <c r="C31" s="302"/>
      <c r="D31" s="302"/>
      <c r="E31" s="302"/>
      <c r="F31" s="302"/>
      <c r="G31" s="302"/>
      <c r="H31" s="302"/>
      <c r="I31" s="302"/>
    </row>
    <row r="32" spans="1:9" ht="15.75" x14ac:dyDescent="0.25">
      <c r="C32" s="234"/>
      <c r="D32" s="234"/>
      <c r="E32" s="234"/>
      <c r="F32" s="234"/>
      <c r="G32" s="234"/>
      <c r="H32" s="234"/>
      <c r="I32" s="866" t="s">
        <v>7</v>
      </c>
    </row>
    <row r="33" spans="1:9" x14ac:dyDescent="0.25">
      <c r="A33" s="677" t="s">
        <v>1</v>
      </c>
      <c r="B33" s="677" t="s">
        <v>27</v>
      </c>
      <c r="C33" s="677" t="s">
        <v>28</v>
      </c>
      <c r="D33" s="677" t="s">
        <v>831</v>
      </c>
      <c r="E33" s="677" t="s">
        <v>2</v>
      </c>
      <c r="F33" s="677" t="s">
        <v>3</v>
      </c>
      <c r="G33" s="677" t="s">
        <v>29</v>
      </c>
      <c r="H33" s="677" t="s">
        <v>26</v>
      </c>
      <c r="I33" s="677" t="s">
        <v>1159</v>
      </c>
    </row>
    <row r="34" spans="1:9" x14ac:dyDescent="0.25">
      <c r="A34" s="317" t="s">
        <v>191</v>
      </c>
      <c r="B34" s="774">
        <f>GETPIVOTDATA("Sum of Wholetime Operational",DisabilityPivot!$A$27,"Year",A34)</f>
        <v>80.8</v>
      </c>
      <c r="C34" s="774">
        <f>GETPIVOTDATA("Sum of Retained Duty System",DisabilityPivot!$A$27,"Year",A34)</f>
        <v>96.9</v>
      </c>
      <c r="D34" s="774"/>
      <c r="E34" s="774">
        <f>GETPIVOTDATA("Sum of Control",DisabilityPivot!$A$27,"Year",A34)</f>
        <v>60.4</v>
      </c>
      <c r="F34" s="774">
        <f>GETPIVOTDATA("Sum of Control",DisabilityPivot!$A$27,"Year",A34)</f>
        <v>60.4</v>
      </c>
      <c r="G34" s="774">
        <f>GETPIVOTDATA("Sum of Volunteer",DisabilityPivot!$A$27,"Year",A34)</f>
        <v>47.4</v>
      </c>
      <c r="H34" s="775">
        <f>GETPIVOTDATA("Sum of Total",DisabilityPivot!$A$27,"Year",A34)</f>
        <v>84.1</v>
      </c>
      <c r="I34" s="775">
        <f>GETPIVOTDATA("Sum of Total (excluding volunters)",DisabilityPivot!$A$27,"Year",A34)</f>
        <v>85.9</v>
      </c>
    </row>
    <row r="35" spans="1:9" x14ac:dyDescent="0.25">
      <c r="A35" s="317" t="s">
        <v>190</v>
      </c>
      <c r="B35" s="774">
        <f>GETPIVOTDATA("Sum of Wholetime Operational",DisabilityPivot!$A$27,"Year",A35)</f>
        <v>100</v>
      </c>
      <c r="C35" s="774">
        <f>GETPIVOTDATA("Sum of Retained Duty System",DisabilityPivot!$A$27,"Year",A35)</f>
        <v>98</v>
      </c>
      <c r="D35" s="774"/>
      <c r="E35" s="774">
        <f>GETPIVOTDATA("Sum of Control",DisabilityPivot!$A$27,"Year",A35)</f>
        <v>100</v>
      </c>
      <c r="F35" s="774">
        <f>GETPIVOTDATA("Sum of Control",DisabilityPivot!$A$27,"Year",A35)</f>
        <v>100</v>
      </c>
      <c r="G35" s="774">
        <f>GETPIVOTDATA("Sum of Volunteer",DisabilityPivot!$A$27,"Year",A35)</f>
        <v>94</v>
      </c>
      <c r="H35" s="775">
        <f>GETPIVOTDATA("Sum of Total",DisabilityPivot!$A$27,"Year",A35)</f>
        <v>99</v>
      </c>
      <c r="I35" s="775">
        <f>GETPIVOTDATA("Sum of Total (excluding volunters)",DisabilityPivot!$A$27,"Year",A35)</f>
        <v>99</v>
      </c>
    </row>
    <row r="36" spans="1:9" x14ac:dyDescent="0.25">
      <c r="A36" s="317" t="s">
        <v>257</v>
      </c>
      <c r="B36" s="774">
        <f>GETPIVOTDATA("Sum of Wholetime Operational",DisabilityPivot!$A$27,"Year",A36)</f>
        <v>99.5</v>
      </c>
      <c r="C36" s="774">
        <f>GETPIVOTDATA("Sum of Retained Duty System",DisabilityPivot!$A$27,"Year",A36)</f>
        <v>95.2</v>
      </c>
      <c r="D36" s="774"/>
      <c r="E36" s="774">
        <f>GETPIVOTDATA("Sum of Control",DisabilityPivot!$A$27,"Year",A36)</f>
        <v>99.4</v>
      </c>
      <c r="F36" s="774">
        <f>GETPIVOTDATA("Sum of Control",DisabilityPivot!$A$27,"Year",A36)</f>
        <v>99.4</v>
      </c>
      <c r="G36" s="774">
        <f>GETPIVOTDATA("Sum of Volunteer",DisabilityPivot!$A$27,"Year",A36)</f>
        <v>96.2</v>
      </c>
      <c r="H36" s="775">
        <f>GETPIVOTDATA("Sum of Total",DisabilityPivot!$A$27,"Year",A36)</f>
        <v>96.8</v>
      </c>
      <c r="I36" s="775">
        <f>GETPIVOTDATA("Sum of Total (excluding volunters)",DisabilityPivot!$A$27,"Year",A36)</f>
        <v>96.9</v>
      </c>
    </row>
    <row r="37" spans="1:9" x14ac:dyDescent="0.25">
      <c r="A37" s="317" t="s">
        <v>240</v>
      </c>
      <c r="B37" s="774">
        <f>GETPIVOTDATA("Sum of Wholetime Operational",DisabilityPivot!$A$27,"Year",A37)</f>
        <v>91.4</v>
      </c>
      <c r="C37" s="774">
        <f>GETPIVOTDATA("Sum of Retained Duty System",DisabilityPivot!$A$27,"Year",A37)</f>
        <v>80.599999999999994</v>
      </c>
      <c r="D37" s="774"/>
      <c r="E37" s="774">
        <f>GETPIVOTDATA("Sum of Control",DisabilityPivot!$A$27,"Year",A37)</f>
        <v>87.3</v>
      </c>
      <c r="F37" s="774">
        <f>GETPIVOTDATA("Sum of Control",DisabilityPivot!$A$27,"Year",A37)</f>
        <v>87.3</v>
      </c>
      <c r="G37" s="774">
        <f>GETPIVOTDATA("Sum of Volunteer",DisabilityPivot!$A$27,"Year",A37)</f>
        <v>96.4</v>
      </c>
      <c r="H37" s="775">
        <f>GETPIVOTDATA("Sum of Total",DisabilityPivot!$A$27,"Year",A37)</f>
        <v>85.8</v>
      </c>
      <c r="I37" s="775">
        <f>GETPIVOTDATA("Sum of Total (excluding volunters)",DisabilityPivot!$A$27,"Year",A37)</f>
        <v>85.3</v>
      </c>
    </row>
    <row r="38" spans="1:9" x14ac:dyDescent="0.25">
      <c r="A38" s="317" t="s">
        <v>239</v>
      </c>
      <c r="B38" s="774">
        <f>GETPIVOTDATA("Sum of Wholetime Operational",DisabilityPivot!$A$27,"Year",A38)</f>
        <v>78.828704976629098</v>
      </c>
      <c r="C38" s="774">
        <f>GETPIVOTDATA("Sum of Retained Duty System",DisabilityPivot!$A$27,"Year",A38)</f>
        <v>73.789366745682358</v>
      </c>
      <c r="D38" s="774"/>
      <c r="E38" s="774">
        <f>GETPIVOTDATA("Sum of Control",DisabilityPivot!$A$27,"Year",A38)</f>
        <v>78.260869565217391</v>
      </c>
      <c r="F38" s="774">
        <f>GETPIVOTDATA("Sum of Control",DisabilityPivot!$A$27,"Year",A38)</f>
        <v>78.260869565217391</v>
      </c>
      <c r="G38" s="774">
        <f>GETPIVOTDATA("Sum of Volunteer",DisabilityPivot!$A$27,"Year",A38)</f>
        <v>95.899053627760253</v>
      </c>
      <c r="H38" s="775">
        <f>GETPIVOTDATA("Sum of Total",DisabilityPivot!$A$27,"Year",A38)</f>
        <v>75.739944346066281</v>
      </c>
      <c r="I38" s="775">
        <f>GETPIVOTDATA("Sum of Total (excluding volunters)",DisabilityPivot!$A$27,"Year",A38)</f>
        <v>74.89787850836737</v>
      </c>
    </row>
    <row r="39" spans="1:9" x14ac:dyDescent="0.25">
      <c r="A39" s="317" t="s">
        <v>760</v>
      </c>
      <c r="B39" s="774">
        <f>GETPIVOTDATA("Sum of Wholetime Operational",DisabilityPivot!$A$27,"Year",A39)</f>
        <v>75.880088008800882</v>
      </c>
      <c r="C39" s="774">
        <f>GETPIVOTDATA("Sum of Retained Duty System",DisabilityPivot!$A$27,"Year",A39)</f>
        <v>74.08920667347634</v>
      </c>
      <c r="D39" s="774">
        <f>GETPIVOTDATA("Sum of Retained Fulltime",DisabilityPivot!$A$27,"Year",A39)</f>
        <v>55.555555555555557</v>
      </c>
      <c r="E39" s="774">
        <f>GETPIVOTDATA("Sum of Control",DisabilityPivot!$A$27,"Year",A39)</f>
        <v>78.723404255319153</v>
      </c>
      <c r="F39" s="774">
        <f>GETPIVOTDATA("Sum of Control",DisabilityPivot!$A$27,"Year",A39)</f>
        <v>78.723404255319153</v>
      </c>
      <c r="G39" s="774">
        <f>GETPIVOTDATA("Sum of Volunteer",DisabilityPivot!$A$27,"Year",A39)</f>
        <v>94.92063492063491</v>
      </c>
      <c r="H39" s="775">
        <f>GETPIVOTDATA("Sum of Total",DisabilityPivot!$A$27,"Year",A39)</f>
        <v>74.237074401008826</v>
      </c>
      <c r="I39" s="775">
        <f>GETPIVOTDATA("Sum of Total (excluding volunters)",DisabilityPivot!$A$27,"Year",A39)</f>
        <v>73.381483913328964</v>
      </c>
    </row>
    <row r="40" spans="1:9" x14ac:dyDescent="0.25">
      <c r="A40" s="317" t="s">
        <v>917</v>
      </c>
      <c r="B40" s="774">
        <f>GETPIVOTDATA("Sum of Wholetime Operational",DisabilityPivot!$A$27,"Year",A40)</f>
        <v>74.469866071428569</v>
      </c>
      <c r="C40" s="774">
        <f>GETPIVOTDATA("Sum of Retained Duty System",DisabilityPivot!$A$27,"Year",A40)</f>
        <v>73.850974930362113</v>
      </c>
      <c r="D40" s="774">
        <f>GETPIVOTDATA("Sum of Retained Fulltime",DisabilityPivot!$A$27,"Year",A40)</f>
        <v>59.259259259259252</v>
      </c>
      <c r="E40" s="774">
        <f>GETPIVOTDATA("Sum of Control",DisabilityPivot!$A$27,"Year",A40)</f>
        <v>71.428571428571431</v>
      </c>
      <c r="F40" s="774">
        <f>GETPIVOTDATA("Sum of Control",DisabilityPivot!$A$27,"Year",A40)</f>
        <v>71.428571428571431</v>
      </c>
      <c r="G40" s="774">
        <f>GETPIVOTDATA("Sum of Volunteer",DisabilityPivot!$A$27,"Year",A40)</f>
        <v>94.38943894389439</v>
      </c>
      <c r="H40" s="775">
        <f>GETPIVOTDATA("Sum of Total",DisabilityPivot!$A$27,"Year",A40)</f>
        <v>73.017494572851476</v>
      </c>
      <c r="I40" s="775">
        <f>GETPIVOTDATA("Sum of Total (excluding volunters)",DisabilityPivot!$A$27,"Year",A40)</f>
        <v>72.157279489904354</v>
      </c>
    </row>
    <row r="41" spans="1:9" x14ac:dyDescent="0.25">
      <c r="A41" s="317" t="s">
        <v>1010</v>
      </c>
      <c r="B41" s="774">
        <f>GETPIVOTDATA("Sum of Wholetime Operational",DisabilityPivot!$A$27,"Year",A41)</f>
        <v>72.963067380885263</v>
      </c>
      <c r="C41" s="774">
        <f>GETPIVOTDATA("Sum of Retained Duty System",DisabilityPivot!$A$27,"Year",A41)</f>
        <v>74.139804418688882</v>
      </c>
      <c r="D41" s="774">
        <f>GETPIVOTDATA("Sum of Retained Fulltime",DisabilityPivot!$A$27,"Year",A41)</f>
        <v>60.377358490566039</v>
      </c>
      <c r="E41" s="774">
        <f>GETPIVOTDATA("Sum of Control",DisabilityPivot!$A$27,"Year",A41)</f>
        <v>67.2316384180791</v>
      </c>
      <c r="F41" s="774">
        <f>GETPIVOTDATA("Sum of Control",DisabilityPivot!$A$27,"Year",A41)</f>
        <v>67.2316384180791</v>
      </c>
      <c r="G41" s="774">
        <f>GETPIVOTDATA("Sum of Volunteer",DisabilityPivot!$A$27,"Year",A41)</f>
        <v>93.501805054151617</v>
      </c>
      <c r="H41" s="775">
        <f>GETPIVOTDATA("Sum of Total",DisabilityPivot!$A$27,"Year",A41)</f>
        <v>71.468674237590918</v>
      </c>
      <c r="I41" s="775">
        <f>GETPIVOTDATA("Sum of Total (excluding volunters)",DisabilityPivot!$A$27,"Year",A41)</f>
        <v>71.417112299465231</v>
      </c>
    </row>
    <row r="42" spans="1:9" x14ac:dyDescent="0.25">
      <c r="A42" s="317" t="s">
        <v>1061</v>
      </c>
      <c r="B42" s="774">
        <f>GETPIVOTDATA("Sum of Wholetime Operational",DisabilityPivot!$A$27,"Year",A42)</f>
        <v>70.981507823613086</v>
      </c>
      <c r="C42" s="774">
        <f>GETPIVOTDATA("Sum of Retained Duty System",DisabilityPivot!$A$27,"Year",A42)</f>
        <v>74.232456140350877</v>
      </c>
      <c r="D42" s="774">
        <f>GETPIVOTDATA("Sum of Retained Fulltime",DisabilityPivot!$A$27,"Year",A42)</f>
        <v>62.962962962962962</v>
      </c>
      <c r="E42" s="774">
        <f>GETPIVOTDATA("Sum of Control",DisabilityPivot!$A$27,"Year",A42)</f>
        <v>68.965517241379317</v>
      </c>
      <c r="F42" s="774">
        <f>GETPIVOTDATA("Sum of Control",DisabilityPivot!$A$27,"Year",A42)</f>
        <v>68.965517241379317</v>
      </c>
      <c r="G42" s="774">
        <f>GETPIVOTDATA("Sum of Volunteer",DisabilityPivot!$A$27,"Year",A42)</f>
        <v>93.609022556390968</v>
      </c>
      <c r="H42" s="775">
        <f>GETPIVOTDATA("Sum of Total",DisabilityPivot!$A$27,"Year",A42)</f>
        <v>70.378447722899296</v>
      </c>
      <c r="I42" s="775">
        <f>GETPIVOTDATA("Sum of Total (excluding volunters)",DisabilityPivot!$A$27,"Year",A42)</f>
        <v>70.722484807562452</v>
      </c>
    </row>
    <row r="43" spans="1:9" ht="15.75" thickBot="1" x14ac:dyDescent="0.3">
      <c r="A43" s="885" t="s">
        <v>1108</v>
      </c>
      <c r="B43" s="886">
        <f>GETPIVOTDATA("Sum of Wholetime Operational",DisabilityPivot!$A$27,"Year",A43)</f>
        <v>70.976176641487513</v>
      </c>
      <c r="C43" s="886">
        <f>GETPIVOTDATA("Sum of Retained Duty System",DisabilityPivot!$A$27,"Year",A43)</f>
        <v>75.662739322533128</v>
      </c>
      <c r="D43" s="886"/>
      <c r="E43" s="886">
        <f>GETPIVOTDATA("Sum of Control",DisabilityPivot!$A$27,"Year",A43)</f>
        <v>70.520231213872833</v>
      </c>
      <c r="F43" s="886">
        <f>GETPIVOTDATA("Sum of Control",DisabilityPivot!$A$27,"Year",A43)</f>
        <v>70.520231213872833</v>
      </c>
      <c r="G43" s="886">
        <f>GETPIVOTDATA("Sum of Volunteer",DisabilityPivot!$A$27,"Year",A43)</f>
        <v>93.333333333333329</v>
      </c>
      <c r="H43" s="887">
        <f>GETPIVOTDATA("Sum of Total",DisabilityPivot!$A$27,"Year",A43)</f>
        <v>70.841436535718913</v>
      </c>
      <c r="I43" s="887">
        <f>GETPIVOTDATA("Sum of Total (excluding volunters)",DisabilityPivot!$A$27,"Year",A43)</f>
        <v>71.446196024674435</v>
      </c>
    </row>
    <row r="44" spans="1:9" x14ac:dyDescent="0.25">
      <c r="A44" s="185"/>
      <c r="B44" s="186"/>
      <c r="C44" s="186"/>
      <c r="D44" s="186"/>
      <c r="E44" s="186"/>
      <c r="F44" s="186"/>
      <c r="G44" s="186"/>
      <c r="H44" s="186"/>
      <c r="I44" s="186"/>
    </row>
    <row r="45" spans="1:9" x14ac:dyDescent="0.25">
      <c r="A45" s="340" t="s">
        <v>8</v>
      </c>
      <c r="B45" s="186"/>
      <c r="C45" s="186"/>
      <c r="D45" s="186"/>
      <c r="E45" s="186"/>
      <c r="F45" s="186"/>
      <c r="G45" s="186"/>
      <c r="H45" s="186"/>
      <c r="I45" s="186"/>
    </row>
    <row r="46" spans="1:9" x14ac:dyDescent="0.25">
      <c r="A46" s="1032" t="s">
        <v>733</v>
      </c>
      <c r="B46" s="1032"/>
      <c r="C46" s="1032"/>
      <c r="D46" s="1032"/>
      <c r="E46" s="1032"/>
      <c r="F46" s="1032"/>
      <c r="G46" s="1032"/>
      <c r="H46" s="1032"/>
      <c r="I46" s="1032"/>
    </row>
    <row r="47" spans="1:9" x14ac:dyDescent="0.25">
      <c r="A47" s="1032" t="s">
        <v>853</v>
      </c>
      <c r="B47" s="1032"/>
      <c r="C47" s="1032"/>
      <c r="D47" s="1032"/>
      <c r="E47" s="1032"/>
      <c r="F47" s="1032"/>
      <c r="G47" s="1032"/>
      <c r="H47" s="1032"/>
      <c r="I47" s="1032"/>
    </row>
  </sheetData>
  <sheetProtection algorithmName="SHA-512" hashValue="bHlBUK/OPxpQe3mKBVJMP6mdwkm4Ux2Whs4Wym8oPDojfE91z/NAtxoC1nFMW67UjrUJwZWZL8b23tbZLeHEUg==" saltValue="Jn3zpN3qqKw1UbZGZQ+Ycw==" spinCount="100000" sheet="1" scenarios="1" formatCells="0" sort="0" autoFilter="0" pivotTables="0"/>
  <mergeCells count="6">
    <mergeCell ref="A1:C1"/>
    <mergeCell ref="A47:I47"/>
    <mergeCell ref="A4:I4"/>
    <mergeCell ref="A28:I28"/>
    <mergeCell ref="A25:I25"/>
    <mergeCell ref="A46:I46"/>
  </mergeCells>
  <hyperlinks>
    <hyperlink ref="A2" location="'Table of Contents'!A1" display="Back to Table of Contents" xr:uid="{00000000-0004-0000-6B00-000000000000}"/>
  </hyperlinks>
  <pageMargins left="0.70866141732283472" right="0.70866141732283472" top="0.74803149606299213" bottom="0.74803149606299213" header="0.31496062992125984" footer="0.31496062992125984"/>
  <pageSetup scale="83" orientation="portrait" r:id="rId1"/>
  <tableParts count="1">
    <tablePart r:id="rId2"/>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9" tint="0.39997558519241921"/>
  </sheetPr>
  <dimension ref="A1:AH75"/>
  <sheetViews>
    <sheetView showGridLines="0" zoomScaleNormal="100" workbookViewId="0">
      <pane ySplit="2" topLeftCell="A3" activePane="bottomLeft" state="frozen"/>
      <selection pane="bottomLeft" sqref="A1:C1"/>
    </sheetView>
  </sheetViews>
  <sheetFormatPr defaultRowHeight="15" x14ac:dyDescent="0.25"/>
  <cols>
    <col min="1" max="1" width="17.5703125" customWidth="1"/>
    <col min="2" max="2" width="24" customWidth="1"/>
    <col min="3" max="3" width="23" bestFit="1" customWidth="1"/>
    <col min="4" max="4" width="21.5703125" bestFit="1" customWidth="1"/>
    <col min="5" max="5" width="9.42578125" bestFit="1" customWidth="1"/>
    <col min="6" max="6" width="10.85546875" customWidth="1"/>
    <col min="7" max="7" width="12.28515625" bestFit="1" customWidth="1"/>
    <col min="8" max="8" width="12.85546875" customWidth="1"/>
    <col min="9" max="9" width="25.140625" bestFit="1" customWidth="1"/>
    <col min="10" max="17" width="12.5703125" customWidth="1"/>
    <col min="18" max="18" width="14.5703125" bestFit="1" customWidth="1"/>
    <col min="19" max="19" width="12.42578125" bestFit="1" customWidth="1"/>
  </cols>
  <sheetData>
    <row r="1" spans="1:16" ht="15.75" x14ac:dyDescent="0.25">
      <c r="A1" s="993" t="s">
        <v>450</v>
      </c>
      <c r="B1" s="993"/>
      <c r="C1" s="993"/>
      <c r="I1" s="993"/>
      <c r="J1" s="993"/>
      <c r="K1" s="993"/>
    </row>
    <row r="2" spans="1:16" x14ac:dyDescent="0.25">
      <c r="A2" s="507" t="s">
        <v>511</v>
      </c>
      <c r="I2" s="507"/>
    </row>
    <row r="3" spans="1:16" x14ac:dyDescent="0.25">
      <c r="A3" s="25"/>
      <c r="B3" s="25"/>
      <c r="C3" s="25"/>
      <c r="D3" s="25"/>
      <c r="E3" s="25"/>
      <c r="F3" s="25"/>
      <c r="G3" s="25"/>
      <c r="H3" s="25"/>
      <c r="I3" s="25"/>
      <c r="J3" s="25"/>
      <c r="K3" s="25"/>
      <c r="L3" s="25"/>
      <c r="M3" s="25"/>
      <c r="N3" s="25"/>
      <c r="O3" s="25"/>
      <c r="P3" s="25"/>
    </row>
    <row r="4" spans="1:16" ht="15.75" x14ac:dyDescent="0.25">
      <c r="A4" s="994" t="s">
        <v>488</v>
      </c>
      <c r="B4" s="994"/>
      <c r="C4" s="994"/>
      <c r="D4" s="994"/>
      <c r="E4" s="994"/>
      <c r="F4" s="994"/>
      <c r="G4" s="994"/>
      <c r="H4" s="994"/>
      <c r="I4" s="994"/>
      <c r="J4" s="994"/>
      <c r="K4" s="994"/>
      <c r="L4" s="994"/>
      <c r="M4" s="994"/>
      <c r="N4" s="994"/>
      <c r="O4" s="994"/>
      <c r="P4" s="994"/>
    </row>
    <row r="5" spans="1:16" ht="15.75" x14ac:dyDescent="0.25">
      <c r="A5" t="s">
        <v>328</v>
      </c>
      <c r="B5" t="s">
        <v>689</v>
      </c>
      <c r="C5" s="234"/>
      <c r="D5" s="234"/>
      <c r="E5" s="234"/>
      <c r="F5" s="234"/>
      <c r="G5" s="234"/>
      <c r="H5" s="234"/>
      <c r="K5" s="234"/>
      <c r="L5" s="234"/>
      <c r="M5" s="234"/>
      <c r="N5" s="234"/>
      <c r="O5" s="234"/>
      <c r="P5" s="234"/>
    </row>
    <row r="6" spans="1:16" ht="15.75" x14ac:dyDescent="0.25">
      <c r="A6" t="s">
        <v>329</v>
      </c>
      <c r="B6" t="s">
        <v>331</v>
      </c>
      <c r="C6" s="234"/>
      <c r="D6" s="234"/>
      <c r="E6" s="234"/>
      <c r="F6" s="234"/>
      <c r="G6" s="234"/>
      <c r="H6" s="234"/>
      <c r="K6" s="234"/>
      <c r="L6" s="234"/>
      <c r="M6" s="234"/>
      <c r="N6" s="234"/>
      <c r="O6" s="234"/>
      <c r="P6" s="234"/>
    </row>
    <row r="7" spans="1:16" x14ac:dyDescent="0.25">
      <c r="A7" t="s">
        <v>330</v>
      </c>
      <c r="B7" t="s">
        <v>332</v>
      </c>
    </row>
    <row r="8" spans="1:16" x14ac:dyDescent="0.25">
      <c r="A8" s="317"/>
      <c r="I8" s="317"/>
    </row>
    <row r="9" spans="1:16" x14ac:dyDescent="0.25">
      <c r="A9" s="317" t="s">
        <v>1</v>
      </c>
      <c r="B9" s="317" t="str">
        <f>EntrantsPivot!$B$15</f>
        <v>2023-24</v>
      </c>
      <c r="I9" s="317"/>
    </row>
    <row r="10" spans="1:16" x14ac:dyDescent="0.25">
      <c r="A10" s="317"/>
      <c r="B10" s="317"/>
      <c r="I10" s="317"/>
    </row>
    <row r="11" spans="1:16" s="468" customFormat="1" ht="30" x14ac:dyDescent="0.25">
      <c r="A11" s="504" t="s">
        <v>198</v>
      </c>
      <c r="B11" s="511" t="s">
        <v>27</v>
      </c>
      <c r="C11" s="511" t="s">
        <v>28</v>
      </c>
      <c r="D11" s="511" t="s">
        <v>2</v>
      </c>
      <c r="E11" s="511" t="s">
        <v>3</v>
      </c>
      <c r="F11" s="511" t="s">
        <v>29</v>
      </c>
      <c r="G11" s="511" t="s">
        <v>10</v>
      </c>
      <c r="H11"/>
      <c r="I11"/>
      <c r="J11"/>
      <c r="K11"/>
      <c r="L11"/>
      <c r="M11"/>
      <c r="N11"/>
    </row>
    <row r="12" spans="1:16" x14ac:dyDescent="0.25">
      <c r="A12" s="317" t="s">
        <v>305</v>
      </c>
      <c r="B12" s="376">
        <f>GETPIVOTDATA("Sum of Wholetime Operational",EntrantsPivot!$A$17,"Age Range","Under 20")</f>
        <v>0</v>
      </c>
      <c r="C12" s="376">
        <f>GETPIVOTDATA("Sum of Retained Duty System",EntrantsPivot!$A$17,"Age Range","Under 20")</f>
        <v>9</v>
      </c>
      <c r="D12" s="376">
        <f>GETPIVOTDATA("Sum of Control",EntrantsPivot!$A$17,"Age Range","Under 20")</f>
        <v>0</v>
      </c>
      <c r="E12" s="376">
        <f>GETPIVOTDATA("Sum of Support",EntrantsPivot!$A$17,"Age Range","Under 20")</f>
        <v>3</v>
      </c>
      <c r="F12" s="376">
        <f>GETPIVOTDATA("Sum of Volunteers",EntrantsPivot!$A$17,"Age Range","Under 20")</f>
        <v>0</v>
      </c>
      <c r="G12" s="772">
        <f>SUM(B12:F12)</f>
        <v>12</v>
      </c>
    </row>
    <row r="13" spans="1:16" x14ac:dyDescent="0.25">
      <c r="A13" s="317" t="s">
        <v>101</v>
      </c>
      <c r="B13" s="376">
        <f>GETPIVOTDATA("Sum of Wholetime Operational",EntrantsPivot!$A$17,"Age Range","20-24")</f>
        <v>10</v>
      </c>
      <c r="C13" s="376">
        <f>GETPIVOTDATA("Sum of Retained Duty System",EntrantsPivot!$A$17,"Age Range","20-24")</f>
        <v>58</v>
      </c>
      <c r="D13" s="376">
        <f>GETPIVOTDATA("Sum of Control",EntrantsPivot!$A$17,"Age Range","20-24")</f>
        <v>1</v>
      </c>
      <c r="E13" s="376">
        <f>GETPIVOTDATA("Sum of Support",EntrantsPivot!$A$17,"Age Range","20-24")</f>
        <v>2</v>
      </c>
      <c r="F13" s="376">
        <f>GETPIVOTDATA("Sum of Volunteers",EntrantsPivot!$A$17,"Age Range","20-24")</f>
        <v>1</v>
      </c>
      <c r="G13" s="772">
        <f t="shared" ref="G13:G23" si="0">SUM(B13:F13)</f>
        <v>72</v>
      </c>
    </row>
    <row r="14" spans="1:16" x14ac:dyDescent="0.25">
      <c r="A14" s="317" t="s">
        <v>102</v>
      </c>
      <c r="B14" s="376">
        <f>GETPIVOTDATA("Sum of Wholetime Operational",EntrantsPivot!$A$17,"Age Range","25-29")</f>
        <v>34</v>
      </c>
      <c r="C14" s="376">
        <f>GETPIVOTDATA("Sum of Retained Duty System",EntrantsPivot!$A$17,"Age Range","25-29")</f>
        <v>51</v>
      </c>
      <c r="D14" s="376">
        <f>GETPIVOTDATA("Sum of Control",EntrantsPivot!$A$17,"Age Range","25-29")</f>
        <v>0</v>
      </c>
      <c r="E14" s="376">
        <f>GETPIVOTDATA("Sum of Support",EntrantsPivot!$A$17,"Age Range","25-29")</f>
        <v>8</v>
      </c>
      <c r="F14" s="376">
        <f>GETPIVOTDATA("Sum of Volunteers",EntrantsPivot!$A$17,"Age Range","25-29")</f>
        <v>4</v>
      </c>
      <c r="G14" s="772">
        <f t="shared" si="0"/>
        <v>97</v>
      </c>
    </row>
    <row r="15" spans="1:16" x14ac:dyDescent="0.25">
      <c r="A15" s="317" t="s">
        <v>103</v>
      </c>
      <c r="B15" s="376">
        <f>GETPIVOTDATA("Sum of Wholetime Operational",EntrantsPivot!$A$17,"Age Range","30-34")</f>
        <v>20</v>
      </c>
      <c r="C15" s="376">
        <f>GETPIVOTDATA("Sum of Retained Duty System",EntrantsPivot!$A$17,"Age Range","30-34")</f>
        <v>44</v>
      </c>
      <c r="D15" s="376">
        <f>GETPIVOTDATA("Sum of Control",EntrantsPivot!$A$17,"Age Range","30-34")</f>
        <v>0</v>
      </c>
      <c r="E15" s="376">
        <f>GETPIVOTDATA("Sum of Support",EntrantsPivot!$A$17,"Age Range","30-34")</f>
        <v>10</v>
      </c>
      <c r="F15" s="376">
        <f>GETPIVOTDATA("Sum of Volunteers",EntrantsPivot!$A$17,"Age Range","30-34")</f>
        <v>1</v>
      </c>
      <c r="G15" s="772">
        <f t="shared" si="0"/>
        <v>75</v>
      </c>
    </row>
    <row r="16" spans="1:16" x14ac:dyDescent="0.25">
      <c r="A16" s="317" t="s">
        <v>104</v>
      </c>
      <c r="B16" s="376">
        <f>GETPIVOTDATA("Sum of Wholetime Operational",EntrantsPivot!$A$17,"Age Range","35-39")</f>
        <v>17</v>
      </c>
      <c r="C16" s="376">
        <f>GETPIVOTDATA("Sum of Retained Duty System",EntrantsPivot!$A$17,"Age Range","35-39")</f>
        <v>34</v>
      </c>
      <c r="D16" s="376">
        <f>GETPIVOTDATA("Sum of Control",EntrantsPivot!$A$17,"Age Range","35-39")</f>
        <v>0</v>
      </c>
      <c r="E16" s="376">
        <f>GETPIVOTDATA("Sum of Support",EntrantsPivot!$A$17,"Age Range","35-39")</f>
        <v>6</v>
      </c>
      <c r="F16" s="376">
        <f>GETPIVOTDATA("Sum of Volunteers",EntrantsPivot!$A$17,"Age Range","35-39")</f>
        <v>2</v>
      </c>
      <c r="G16" s="772">
        <f t="shared" si="0"/>
        <v>59</v>
      </c>
    </row>
    <row r="17" spans="1:15" x14ac:dyDescent="0.25">
      <c r="A17" s="317" t="s">
        <v>105</v>
      </c>
      <c r="B17" s="376">
        <f>GETPIVOTDATA("Sum of Wholetime Operational",EntrantsPivot!$A$17,"Age Range","40-44")</f>
        <v>4</v>
      </c>
      <c r="C17" s="376">
        <f>GETPIVOTDATA("Sum of Retained Duty System",EntrantsPivot!$A$17,"Age Range","40-44")</f>
        <v>23</v>
      </c>
      <c r="D17" s="376">
        <f>GETPIVOTDATA("Sum of Control",EntrantsPivot!$A$17,"Age Range","40-44")</f>
        <v>0</v>
      </c>
      <c r="E17" s="376">
        <f>GETPIVOTDATA("Sum of Support",EntrantsPivot!$A$17,"Age Range","40-44")</f>
        <v>6</v>
      </c>
      <c r="F17" s="376">
        <f>GETPIVOTDATA("Sum of Volunteers",EntrantsPivot!$A$17,"Age Range","40-44")</f>
        <v>2</v>
      </c>
      <c r="G17" s="772">
        <f t="shared" si="0"/>
        <v>35</v>
      </c>
    </row>
    <row r="18" spans="1:15" x14ac:dyDescent="0.25">
      <c r="A18" s="317" t="s">
        <v>106</v>
      </c>
      <c r="B18" s="376">
        <f>GETPIVOTDATA("Sum of Wholetime Operational",EntrantsPivot!$A$17,"Age Range","45-49")</f>
        <v>2</v>
      </c>
      <c r="C18" s="376">
        <f>GETPIVOTDATA("Sum of Retained Duty System",EntrantsPivot!$A$17,"Age Range","45-49")</f>
        <v>16</v>
      </c>
      <c r="D18" s="376">
        <f>GETPIVOTDATA("Sum of Control",EntrantsPivot!$A$17,"Age Range","45-49")</f>
        <v>0</v>
      </c>
      <c r="E18" s="376">
        <f>GETPIVOTDATA("Sum of Support",EntrantsPivot!$A$17,"Age Range","45-49")</f>
        <v>11</v>
      </c>
      <c r="F18" s="376">
        <f>GETPIVOTDATA("Sum of Volunteers",EntrantsPivot!$A$17,"Age Range","45-49")</f>
        <v>4</v>
      </c>
      <c r="G18" s="772">
        <f t="shared" si="0"/>
        <v>33</v>
      </c>
    </row>
    <row r="19" spans="1:15" x14ac:dyDescent="0.25">
      <c r="A19" s="317" t="s">
        <v>107</v>
      </c>
      <c r="B19" s="376">
        <f>GETPIVOTDATA("Sum of Wholetime Operational",EntrantsPivot!$A$17,"Age Range","50-54")</f>
        <v>4</v>
      </c>
      <c r="C19" s="376">
        <f>GETPIVOTDATA("Sum of Retained Duty System",EntrantsPivot!$A$17,"Age Range","50-54")</f>
        <v>6</v>
      </c>
      <c r="D19" s="376">
        <f>GETPIVOTDATA("Sum of Control",EntrantsPivot!$A$17,"Age Range","50-54")</f>
        <v>0</v>
      </c>
      <c r="E19" s="376">
        <f>GETPIVOTDATA("Sum of Support",EntrantsPivot!$A$17,"Age Range","50-54")</f>
        <v>10</v>
      </c>
      <c r="F19" s="376">
        <f>GETPIVOTDATA("Sum of Volunteers",EntrantsPivot!$A$17,"Age Range","50-54")</f>
        <v>2</v>
      </c>
      <c r="G19" s="772">
        <f t="shared" si="0"/>
        <v>22</v>
      </c>
    </row>
    <row r="20" spans="1:15" x14ac:dyDescent="0.25">
      <c r="A20" s="317" t="s">
        <v>108</v>
      </c>
      <c r="B20" s="376">
        <f>GETPIVOTDATA("Sum of Wholetime Operational",EntrantsPivot!$A$17,"Age Range","55-59")</f>
        <v>1</v>
      </c>
      <c r="C20" s="376">
        <f>GETPIVOTDATA("Sum of Retained Duty System",EntrantsPivot!$A$17,"Age Range","55-59")</f>
        <v>4</v>
      </c>
      <c r="D20" s="376">
        <f>GETPIVOTDATA("Sum of Control",EntrantsPivot!$A$17,"Age Range","55-59")</f>
        <v>0</v>
      </c>
      <c r="E20" s="376">
        <f>GETPIVOTDATA("Sum of Support",EntrantsPivot!$A$17,"Age Range","55-59")</f>
        <v>15</v>
      </c>
      <c r="F20" s="376">
        <f>GETPIVOTDATA("Sum of Volunteers",EntrantsPivot!$A$17,"Age Range","55-59")</f>
        <v>2</v>
      </c>
      <c r="G20" s="772">
        <f t="shared" si="0"/>
        <v>22</v>
      </c>
    </row>
    <row r="21" spans="1:15" x14ac:dyDescent="0.25">
      <c r="A21" s="317" t="s">
        <v>109</v>
      </c>
      <c r="B21" s="376">
        <f>GETPIVOTDATA("Sum of Wholetime Operational",EntrantsPivot!$A$17,"Age Range","60-64")</f>
        <v>0</v>
      </c>
      <c r="C21" s="376">
        <f>GETPIVOTDATA("Sum of Retained Duty System",EntrantsPivot!$A$17,"Age Range","60-64")</f>
        <v>1</v>
      </c>
      <c r="D21" s="376">
        <f>GETPIVOTDATA("Sum of Control",EntrantsPivot!$A$17,"Age Range","60-64")</f>
        <v>0</v>
      </c>
      <c r="E21" s="376">
        <f>GETPIVOTDATA("Sum of Support",EntrantsPivot!$A$17,"Age Range","60-64")</f>
        <v>2</v>
      </c>
      <c r="F21" s="376">
        <f>GETPIVOTDATA("Sum of Volunteers",EntrantsPivot!$A$17,"Age Range","60-64")</f>
        <v>0</v>
      </c>
      <c r="G21" s="772">
        <f t="shared" si="0"/>
        <v>3</v>
      </c>
    </row>
    <row r="22" spans="1:15" x14ac:dyDescent="0.25">
      <c r="A22" s="317" t="s">
        <v>110</v>
      </c>
      <c r="B22" s="376">
        <f>IFERROR(GETPIVOTDATA("Sum of Wholetime Operational",EntrantsPivot!$A$17,"Age Range","65-69"), "-")</f>
        <v>0</v>
      </c>
      <c r="C22" s="376">
        <f>IFERROR(GETPIVOTDATA("Sum of Retained Duty System",EntrantsPivot!$A$17,"Age Range","65-69"), "-")</f>
        <v>1</v>
      </c>
      <c r="D22" s="376">
        <f>IFERROR(GETPIVOTDATA("Sum of Control",EntrantsPivot!$A$17,"Age Range","65-69"), "-")</f>
        <v>0</v>
      </c>
      <c r="E22" s="376">
        <f>IFERROR(GETPIVOTDATA("Sum of Support",EntrantsPivot!$A$17,"Age Range","65-69"), "-")</f>
        <v>0</v>
      </c>
      <c r="F22" s="376">
        <f>IFERROR(GETPIVOTDATA("Sum of Volunteers",EntrantsPivot!$A$17,"Age Range","65-69"), "-")</f>
        <v>0</v>
      </c>
      <c r="G22" s="772">
        <f t="shared" si="0"/>
        <v>1</v>
      </c>
    </row>
    <row r="23" spans="1:15" x14ac:dyDescent="0.25">
      <c r="A23" s="317" t="s">
        <v>111</v>
      </c>
      <c r="B23" s="890">
        <f>IFERROR(GETPIVOTDATA("Sum of Wholetime Operational",EntrantsPivot!$A$17,"Age Range","70-74"), "-")</f>
        <v>0</v>
      </c>
      <c r="C23" s="890">
        <f>IFERROR(GETPIVOTDATA("Sum of Retained Duty System",EntrantsPivot!$A$17,"Age Range","70-74"), "-")</f>
        <v>1</v>
      </c>
      <c r="D23" s="890">
        <f>IFERROR(GETPIVOTDATA("Sum of Control",EntrantsPivot!$A$17,"Age Range","70-74"), "-")</f>
        <v>0</v>
      </c>
      <c r="E23" s="890">
        <f>IFERROR(GETPIVOTDATA("Sum of Support",EntrantsPivot!$A$17,"Age Range","70-74"), "-")</f>
        <v>0</v>
      </c>
      <c r="F23" s="890">
        <f>IFERROR(GETPIVOTDATA("Sum of Volunteers",EntrantsPivot!$A$17,"Age Range","70-74"), "-")</f>
        <v>0</v>
      </c>
      <c r="G23" s="772">
        <f t="shared" si="0"/>
        <v>1</v>
      </c>
    </row>
    <row r="24" spans="1:15" ht="15.75" thickBot="1" x14ac:dyDescent="0.3">
      <c r="A24" s="503" t="s">
        <v>365</v>
      </c>
      <c r="B24" s="503">
        <f>SUM(B12:B22)</f>
        <v>92</v>
      </c>
      <c r="C24" s="503">
        <f t="shared" ref="C24:F24" si="1">SUM(C12:C22)</f>
        <v>247</v>
      </c>
      <c r="D24" s="503">
        <f t="shared" si="1"/>
        <v>1</v>
      </c>
      <c r="E24" s="503">
        <f t="shared" si="1"/>
        <v>73</v>
      </c>
      <c r="F24" s="503">
        <f t="shared" si="1"/>
        <v>18</v>
      </c>
      <c r="G24" s="891">
        <f>SUM(G12:G23)</f>
        <v>432</v>
      </c>
    </row>
    <row r="25" spans="1:15" x14ac:dyDescent="0.25">
      <c r="I25" s="317"/>
      <c r="J25" s="317"/>
      <c r="K25" s="317"/>
      <c r="L25" s="317"/>
      <c r="M25" s="317"/>
      <c r="N25" s="317"/>
      <c r="O25" s="317"/>
    </row>
    <row r="26" spans="1:15" ht="15" customHeight="1" x14ac:dyDescent="0.25">
      <c r="A26" s="339" t="s">
        <v>8</v>
      </c>
      <c r="B26" s="317"/>
      <c r="C26" s="317"/>
      <c r="D26" s="317"/>
      <c r="E26" s="317"/>
      <c r="F26" s="317"/>
      <c r="G26" s="317"/>
    </row>
    <row r="27" spans="1:15" ht="45" customHeight="1" x14ac:dyDescent="0.25">
      <c r="A27" s="996" t="s">
        <v>734</v>
      </c>
      <c r="B27" s="996"/>
      <c r="C27" s="996"/>
      <c r="D27" s="996"/>
      <c r="E27" s="996"/>
      <c r="F27" s="996"/>
      <c r="G27" s="996"/>
      <c r="H27" s="996"/>
    </row>
    <row r="28" spans="1:15" ht="15" customHeight="1" x14ac:dyDescent="0.25"/>
    <row r="29" spans="1:15" ht="15.6" customHeight="1" x14ac:dyDescent="0.25">
      <c r="A29" s="994" t="s">
        <v>1255</v>
      </c>
      <c r="B29" s="994"/>
      <c r="C29" s="994"/>
      <c r="D29" s="994"/>
      <c r="E29" s="994"/>
      <c r="F29" s="994"/>
      <c r="G29" s="994"/>
      <c r="H29" s="994"/>
    </row>
    <row r="30" spans="1:15" ht="15.75" x14ac:dyDescent="0.25">
      <c r="A30" t="s">
        <v>328</v>
      </c>
      <c r="B30" t="s">
        <v>690</v>
      </c>
      <c r="C30" s="234"/>
      <c r="D30" s="234"/>
      <c r="E30" s="234"/>
      <c r="F30" s="234"/>
      <c r="G30" s="234"/>
      <c r="H30" s="234"/>
    </row>
    <row r="31" spans="1:15" ht="15.75" x14ac:dyDescent="0.25">
      <c r="A31" t="s">
        <v>329</v>
      </c>
      <c r="B31" t="s">
        <v>331</v>
      </c>
      <c r="C31" s="234"/>
      <c r="D31" s="234"/>
      <c r="E31" s="234"/>
      <c r="F31" s="234"/>
      <c r="G31" s="234"/>
      <c r="H31" s="234"/>
    </row>
    <row r="32" spans="1:15" x14ac:dyDescent="0.25">
      <c r="A32" t="s">
        <v>330</v>
      </c>
      <c r="B32" t="s">
        <v>332</v>
      </c>
    </row>
    <row r="34" spans="1:34" x14ac:dyDescent="0.25">
      <c r="A34" s="317" t="s">
        <v>1</v>
      </c>
      <c r="B34" s="317" t="str">
        <f>EntrantsPivot!$B$1</f>
        <v>2023-24</v>
      </c>
    </row>
    <row r="35" spans="1:34" ht="45" customHeight="1" x14ac:dyDescent="0.25">
      <c r="A35" s="534" t="s">
        <v>1</v>
      </c>
      <c r="B35" s="511" t="s">
        <v>27</v>
      </c>
      <c r="C35" s="511" t="s">
        <v>28</v>
      </c>
      <c r="D35" s="511" t="s">
        <v>2</v>
      </c>
      <c r="E35" s="511" t="s">
        <v>3</v>
      </c>
      <c r="F35" s="511" t="s">
        <v>485</v>
      </c>
      <c r="G35" s="511" t="s">
        <v>26</v>
      </c>
    </row>
    <row r="36" spans="1:34" x14ac:dyDescent="0.25">
      <c r="A36" s="317" t="s">
        <v>88</v>
      </c>
      <c r="B36" s="614">
        <f>GETPIVOTDATA("Sum of Wholetime Operational",EntrantsPivot!$A$3,"Gender","Female")</f>
        <v>13</v>
      </c>
      <c r="C36" s="614">
        <f>GETPIVOTDATA("Sum of Retained Duty System",EntrantsPivot!$A$3,"Gender","Female")</f>
        <v>26</v>
      </c>
      <c r="D36" s="614">
        <f>GETPIVOTDATA("Sum of Control",EntrantsPivot!$A$3,"Gender","Female")</f>
        <v>1</v>
      </c>
      <c r="E36" s="614">
        <f>GETPIVOTDATA("Sum of Support",EntrantsPivot!$A$3,"Gender","Female")</f>
        <v>32</v>
      </c>
      <c r="F36" s="614">
        <f>GETPIVOTDATA("Sum of Volunteers",EntrantsPivot!$A$3,"Gender","Female")</f>
        <v>3</v>
      </c>
      <c r="G36" s="614">
        <f>GETPIVOTDATA("Sum of Total",EntrantsPivot!$A$3,"Gender","Female")</f>
        <v>75</v>
      </c>
      <c r="H36" s="468"/>
    </row>
    <row r="37" spans="1:34" x14ac:dyDescent="0.25">
      <c r="A37" s="534" t="s">
        <v>1059</v>
      </c>
      <c r="B37" s="614">
        <f>GETPIVOTDATA("Sum of Wholetime Operational",EntrantsPivot!$A$3,"Gender","Male")</f>
        <v>79</v>
      </c>
      <c r="C37" s="614">
        <f>GETPIVOTDATA("Sum of Retained Duty System",EntrantsPivot!$A$3,"Gender","Male")</f>
        <v>222</v>
      </c>
      <c r="D37" s="614">
        <f>GETPIVOTDATA("Sum of Control",EntrantsPivot!$A$3,"Gender","Male")</f>
        <v>0</v>
      </c>
      <c r="E37" s="614">
        <f>GETPIVOTDATA("Sum of Support",EntrantsPivot!$A$3,"Gender","Male")</f>
        <v>41</v>
      </c>
      <c r="F37" s="614">
        <f>GETPIVOTDATA("Sum of Volunteers",EntrantsPivot!$A$3,"Gender","Male")</f>
        <v>15</v>
      </c>
      <c r="G37" s="614">
        <f>GETPIVOTDATA("Sum of Total",EntrantsPivot!$A$3,"Gender","Male")</f>
        <v>357</v>
      </c>
    </row>
    <row r="38" spans="1:34" ht="15.75" thickBot="1" x14ac:dyDescent="0.3">
      <c r="A38" s="503" t="s">
        <v>26</v>
      </c>
      <c r="B38" s="693">
        <f>SUM(B36:B37)</f>
        <v>92</v>
      </c>
      <c r="C38" s="693">
        <f t="shared" ref="C38:G38" si="2">SUM(C36:C37)</f>
        <v>248</v>
      </c>
      <c r="D38" s="693">
        <f t="shared" si="2"/>
        <v>1</v>
      </c>
      <c r="E38" s="693">
        <f t="shared" si="2"/>
        <v>73</v>
      </c>
      <c r="F38" s="693">
        <f t="shared" si="2"/>
        <v>18</v>
      </c>
      <c r="G38" s="693">
        <f t="shared" si="2"/>
        <v>432</v>
      </c>
      <c r="AH38" t="s">
        <v>440</v>
      </c>
    </row>
    <row r="40" spans="1:34" x14ac:dyDescent="0.25">
      <c r="A40" s="317"/>
      <c r="B40" s="317"/>
      <c r="C40" s="317"/>
      <c r="D40" s="317"/>
      <c r="E40" s="317"/>
      <c r="F40" s="317"/>
      <c r="G40" s="317"/>
    </row>
    <row r="41" spans="1:34" ht="15.75" customHeight="1" x14ac:dyDescent="0.25">
      <c r="A41" s="339" t="s">
        <v>8</v>
      </c>
      <c r="B41" s="317"/>
      <c r="C41" s="317"/>
      <c r="D41" s="317"/>
      <c r="E41" s="317"/>
      <c r="F41" s="317"/>
      <c r="G41" s="317"/>
    </row>
    <row r="42" spans="1:34" ht="45.6" customHeight="1" x14ac:dyDescent="0.25">
      <c r="A42" s="996" t="s">
        <v>734</v>
      </c>
      <c r="B42" s="996"/>
      <c r="C42" s="996"/>
      <c r="D42" s="996"/>
      <c r="E42" s="996"/>
      <c r="F42" s="996"/>
      <c r="G42" s="996"/>
      <c r="H42" s="996"/>
    </row>
    <row r="43" spans="1:34" x14ac:dyDescent="0.25">
      <c r="A43" s="339"/>
    </row>
    <row r="44" spans="1:34" ht="15.75" x14ac:dyDescent="0.25">
      <c r="A44" s="994" t="s">
        <v>489</v>
      </c>
      <c r="B44" s="994"/>
      <c r="C44" s="994"/>
      <c r="D44" s="994"/>
      <c r="E44" s="994"/>
      <c r="F44" s="994"/>
      <c r="G44" s="994"/>
      <c r="H44" s="994"/>
    </row>
    <row r="45" spans="1:34" ht="15.75" x14ac:dyDescent="0.25">
      <c r="A45" t="s">
        <v>328</v>
      </c>
      <c r="B45" t="s">
        <v>691</v>
      </c>
      <c r="C45" s="234"/>
      <c r="D45" s="234"/>
      <c r="E45" s="234"/>
      <c r="F45" s="234"/>
      <c r="G45" s="234"/>
      <c r="H45" s="234"/>
    </row>
    <row r="46" spans="1:34" ht="15.75" x14ac:dyDescent="0.25">
      <c r="A46" t="s">
        <v>329</v>
      </c>
      <c r="B46" t="s">
        <v>331</v>
      </c>
      <c r="C46" s="234"/>
      <c r="D46" s="234"/>
      <c r="E46" s="234"/>
      <c r="F46" s="234"/>
      <c r="G46" s="234"/>
    </row>
    <row r="47" spans="1:34" x14ac:dyDescent="0.25">
      <c r="A47" t="s">
        <v>330</v>
      </c>
      <c r="B47" t="s">
        <v>332</v>
      </c>
    </row>
    <row r="48" spans="1:34" ht="14.45" customHeight="1" x14ac:dyDescent="0.25"/>
    <row r="49" spans="1:8" ht="14.45" customHeight="1" x14ac:dyDescent="0.25">
      <c r="A49" s="317" t="s">
        <v>1</v>
      </c>
      <c r="B49" s="317" t="str">
        <f>EntrantsPivot!$B$34</f>
        <v>2023-24</v>
      </c>
    </row>
    <row r="50" spans="1:8" x14ac:dyDescent="0.25">
      <c r="F50" s="505" t="s">
        <v>7</v>
      </c>
      <c r="H50" s="505"/>
    </row>
    <row r="51" spans="1:8" ht="24.95" customHeight="1" x14ac:dyDescent="0.25">
      <c r="A51" s="131" t="s">
        <v>487</v>
      </c>
      <c r="B51" s="512" t="s">
        <v>27</v>
      </c>
      <c r="C51" s="512" t="s">
        <v>28</v>
      </c>
      <c r="D51" s="512" t="s">
        <v>2</v>
      </c>
      <c r="E51" s="512" t="s">
        <v>86</v>
      </c>
      <c r="F51" s="512" t="s">
        <v>29</v>
      </c>
      <c r="G51" s="435"/>
      <c r="H51" s="435"/>
    </row>
    <row r="52" spans="1:8" x14ac:dyDescent="0.25">
      <c r="A52" s="218" t="s">
        <v>114</v>
      </c>
      <c r="B52" s="316">
        <f>IFERROR(GETPIVOTDATA("Sum of WT",EntrantsPivot!$A$36,"EthStat","Ethnic Minority"), "0.0")</f>
        <v>0</v>
      </c>
      <c r="C52" s="316">
        <f>IFERROR(GETPIVOTDATA("Sum of RDS",EntrantsPivot!$A$36,"EthStat","Ethnic Minority"), "0.0")</f>
        <v>0</v>
      </c>
      <c r="D52" s="316">
        <f>IFERROR(GETPIVOTDATA("Sum of Control",EntrantsPivot!$A$36,"EthStat","Ethnic Minority"), "0.0")</f>
        <v>0</v>
      </c>
      <c r="E52" s="316">
        <f>IFERROR(GETPIVOTDATA("Sum of Support",EntrantsPivot!$A$36,"EthStat","Ethnic Minority"), "0.0")</f>
        <v>2.7397260273972601</v>
      </c>
      <c r="F52" s="316">
        <f>IFERROR(GETPIVOTDATA("Sum of Vol",EntrantsPivot!$A$36,"EthStat","Ethnic Minority"), "0.0")</f>
        <v>0</v>
      </c>
      <c r="G52" s="179"/>
      <c r="H52" s="179"/>
    </row>
    <row r="53" spans="1:8" x14ac:dyDescent="0.25">
      <c r="A53" s="176" t="s">
        <v>113</v>
      </c>
      <c r="B53" s="177">
        <f>GETPIVOTDATA("Sum of WT",EntrantsPivot!$A$36,"EthStat","White")</f>
        <v>4.9382716049382713</v>
      </c>
      <c r="C53" s="177">
        <f>GETPIVOTDATA("Sum of RDS",EntrantsPivot!$A$36,"EthStat","White")</f>
        <v>5.6451612903225801</v>
      </c>
      <c r="D53" s="177">
        <f>IF($B$49 = "2019-20", "-", GETPIVOTDATA("Sum of Control",EntrantsPivot!$A$36,"EthStat","White"))</f>
        <v>0</v>
      </c>
      <c r="E53" s="177">
        <f>GETPIVOTDATA("Sum of Support",EntrantsPivot!$A$36,"EthStat","White")</f>
        <v>27.397260273972602</v>
      </c>
      <c r="F53" s="177">
        <f>GETPIVOTDATA("Sum of Vol",EntrantsPivot!$A$36,"EthStat","White")</f>
        <v>0</v>
      </c>
      <c r="G53" s="179"/>
      <c r="H53" s="179"/>
    </row>
    <row r="54" spans="1:8" x14ac:dyDescent="0.25">
      <c r="A54" s="406" t="s">
        <v>348</v>
      </c>
      <c r="B54" s="506">
        <f>GETPIVOTDATA("Sum of WT",EntrantsPivot!$A$36,"EthStat","Not Stated")</f>
        <v>95.061728395061735</v>
      </c>
      <c r="C54" s="506">
        <f>GETPIVOTDATA("Sum of RDS",EntrantsPivot!$A$36,"EthStat","Not Stated")</f>
        <v>94.354838709677423</v>
      </c>
      <c r="D54" s="506">
        <f>IF($B$49 = "2019-20", "-", GETPIVOTDATA("Sum of Control",EntrantsPivot!$A$36,"EthStat","Not Stated"))</f>
        <v>100</v>
      </c>
      <c r="E54" s="506">
        <f>GETPIVOTDATA("Sum of Support",EntrantsPivot!$A$36,"EthStat","Not Stated")</f>
        <v>69.863013698630141</v>
      </c>
      <c r="F54" s="506">
        <f>GETPIVOTDATA("Sum of Vol",EntrantsPivot!$A$36,"EthStat","Not Stated")</f>
        <v>100</v>
      </c>
      <c r="G54" s="179"/>
      <c r="H54" s="179"/>
    </row>
    <row r="56" spans="1:8" x14ac:dyDescent="0.25">
      <c r="A56" s="339" t="s">
        <v>8</v>
      </c>
      <c r="B56" s="25"/>
      <c r="C56" s="25"/>
      <c r="D56" s="25"/>
      <c r="E56" s="25"/>
      <c r="F56" s="25"/>
      <c r="G56" s="25"/>
      <c r="H56" s="25"/>
    </row>
    <row r="57" spans="1:8" x14ac:dyDescent="0.25">
      <c r="A57" s="1032" t="s">
        <v>492</v>
      </c>
      <c r="B57" s="1032"/>
      <c r="C57" s="1032"/>
      <c r="D57" s="1032"/>
      <c r="E57" s="1032"/>
      <c r="F57" s="1032"/>
      <c r="G57" s="1032"/>
      <c r="H57" s="1032"/>
    </row>
    <row r="58" spans="1:8" x14ac:dyDescent="0.25">
      <c r="A58" s="1032" t="s">
        <v>735</v>
      </c>
      <c r="B58" s="1032"/>
      <c r="C58" s="1032"/>
      <c r="D58" s="1032"/>
      <c r="E58" s="1032"/>
      <c r="F58" s="1032"/>
      <c r="G58" s="1032"/>
      <c r="H58" s="1032"/>
    </row>
    <row r="59" spans="1:8" x14ac:dyDescent="0.25">
      <c r="A59" s="580"/>
      <c r="B59" s="580"/>
      <c r="C59" s="580"/>
      <c r="D59" s="580"/>
      <c r="E59" s="580"/>
      <c r="F59" s="580"/>
      <c r="G59" s="580"/>
      <c r="H59" s="580"/>
    </row>
    <row r="60" spans="1:8" ht="15.75" x14ac:dyDescent="0.25">
      <c r="A60" s="994" t="s">
        <v>490</v>
      </c>
      <c r="B60" s="994"/>
      <c r="C60" s="994"/>
      <c r="D60" s="994"/>
      <c r="E60" s="994"/>
      <c r="F60" s="994"/>
      <c r="G60" s="994"/>
      <c r="H60" s="994"/>
    </row>
    <row r="61" spans="1:8" ht="15.75" x14ac:dyDescent="0.25">
      <c r="A61" t="s">
        <v>328</v>
      </c>
      <c r="B61" t="s">
        <v>692</v>
      </c>
      <c r="C61" s="234"/>
      <c r="D61" s="232"/>
      <c r="F61" s="234"/>
      <c r="G61" s="234"/>
      <c r="H61" s="234"/>
    </row>
    <row r="62" spans="1:8" ht="15.75" x14ac:dyDescent="0.25">
      <c r="A62" t="s">
        <v>329</v>
      </c>
      <c r="B62" t="s">
        <v>331</v>
      </c>
      <c r="C62" s="234"/>
      <c r="D62" s="234"/>
      <c r="E62" s="234"/>
      <c r="F62" s="234"/>
      <c r="G62" s="234"/>
    </row>
    <row r="63" spans="1:8" ht="14.45" customHeight="1" x14ac:dyDescent="0.25">
      <c r="A63" t="s">
        <v>330</v>
      </c>
      <c r="B63" t="s">
        <v>332</v>
      </c>
    </row>
    <row r="64" spans="1:8" ht="14.45" customHeight="1" x14ac:dyDescent="0.25"/>
    <row r="65" spans="1:8" ht="14.45" customHeight="1" x14ac:dyDescent="0.25">
      <c r="A65" s="317" t="s">
        <v>1</v>
      </c>
      <c r="B65" s="317" t="str">
        <f>EntrantsPivot!$B$48</f>
        <v>2023-24</v>
      </c>
    </row>
    <row r="66" spans="1:8" ht="14.45" customHeight="1" x14ac:dyDescent="0.25">
      <c r="A66" s="317"/>
      <c r="F66" s="505" t="s">
        <v>7</v>
      </c>
    </row>
    <row r="67" spans="1:8" ht="26.25" x14ac:dyDescent="0.25">
      <c r="A67" s="183"/>
      <c r="B67" s="743" t="s">
        <v>27</v>
      </c>
      <c r="C67" s="743" t="s">
        <v>28</v>
      </c>
      <c r="D67" s="743" t="s">
        <v>2</v>
      </c>
      <c r="E67" s="743" t="s">
        <v>86</v>
      </c>
      <c r="F67" s="743" t="s">
        <v>29</v>
      </c>
    </row>
    <row r="68" spans="1:8" x14ac:dyDescent="0.25">
      <c r="A68" s="131" t="s">
        <v>854</v>
      </c>
      <c r="B68" s="744">
        <f>IFERROR(GETPIVOTDATA("Sum of WT",EntrantsPivot!$A$50,"DisStat","Disabled"), "0.0")</f>
        <v>0</v>
      </c>
      <c r="C68" s="744">
        <f>IFERROR(GETPIVOTDATA("Sum of RDS",EntrantsPivot!$A$50,"DisStat","Disabled"),"0.0")</f>
        <v>0</v>
      </c>
      <c r="D68" s="744">
        <f>IF(B65 = "2019-20", "-", IFERROR(GETPIVOTDATA("Sum of Control",EntrantsPivot!$A$50,"DisStat","Disabled"), "0.0"))</f>
        <v>0</v>
      </c>
      <c r="E68" s="744">
        <f>IFERROR(GETPIVOTDATA("Sum of Support",EntrantsPivot!$A$50,"DisStat","Disabled"), "0.0")</f>
        <v>2.7397260273972601</v>
      </c>
      <c r="F68" s="744">
        <f>IFERROR(GETPIVOTDATA("Sum of Vol",EntrantsPivot!$A$50,"DisStat","Disabled"), "0.0")</f>
        <v>0</v>
      </c>
    </row>
    <row r="69" spans="1:8" x14ac:dyDescent="0.25">
      <c r="A69" s="176" t="s">
        <v>855</v>
      </c>
      <c r="B69" s="744">
        <f>GETPIVOTDATA("Sum of WT",EntrantsPivot!$A$50,"DisStat","Not Disabled")</f>
        <v>4.9382716049382713</v>
      </c>
      <c r="C69" s="744">
        <f>GETPIVOTDATA("Sum of RDS",EntrantsPivot!$A$50,"DisStat","Not Disabled")</f>
        <v>3.225806451612903</v>
      </c>
      <c r="D69" s="744">
        <f>IF(B65 = "2019-20", "-", IFERROR(GETPIVOTDATA("Sum of Control",EntrantsPivot!$A$50,"DisStat","Not Disabled"), "-"))</f>
        <v>0</v>
      </c>
      <c r="E69" s="744">
        <f>GETPIVOTDATA("Sum of Support",EntrantsPivot!$A$50,"DisStat","Not Disabled")</f>
        <v>16.43835616438356</v>
      </c>
      <c r="F69" s="744">
        <f>GETPIVOTDATA("Sum of Vol",EntrantsPivot!$A$50,"DisStat","Not Disabled")</f>
        <v>0</v>
      </c>
    </row>
    <row r="70" spans="1:8" x14ac:dyDescent="0.25">
      <c r="A70" s="406" t="s">
        <v>783</v>
      </c>
      <c r="B70" s="745">
        <f>GETPIVOTDATA("Sum of WT",EntrantsPivot!$A$50,"DisStat","Not Known")</f>
        <v>95.061728395061735</v>
      </c>
      <c r="C70" s="745">
        <f>GETPIVOTDATA("Sum of RDS",EntrantsPivot!$A$50,"DisStat","Not Known")</f>
        <v>96.774193548387103</v>
      </c>
      <c r="D70" s="745">
        <f>IF(B65 = "2019-20", "-", IFERROR(GETPIVOTDATA("Sum of Control",EntrantsPivot!$A$50,"DisStat","Not Known"), "-"))</f>
        <v>100</v>
      </c>
      <c r="E70" s="745">
        <f>GETPIVOTDATA("Sum of Support",EntrantsPivot!$A$50,"DisStat","Not Known")</f>
        <v>80.821917808219183</v>
      </c>
      <c r="F70" s="745">
        <f>GETPIVOTDATA("Sum of Vol",EntrantsPivot!$A$50,"DisStat","Not Known")</f>
        <v>100</v>
      </c>
    </row>
    <row r="71" spans="1:8" x14ac:dyDescent="0.25">
      <c r="A71" s="176"/>
    </row>
    <row r="73" spans="1:8" x14ac:dyDescent="0.25">
      <c r="A73" s="339" t="s">
        <v>8</v>
      </c>
      <c r="B73" s="25"/>
      <c r="C73" s="25"/>
      <c r="D73" s="25"/>
      <c r="E73" s="25"/>
      <c r="F73" s="25"/>
      <c r="G73" s="25"/>
      <c r="H73" s="25"/>
    </row>
    <row r="74" spans="1:8" x14ac:dyDescent="0.25">
      <c r="A74" s="1032" t="s">
        <v>492</v>
      </c>
      <c r="B74" s="1032"/>
      <c r="C74" s="1032"/>
      <c r="D74" s="1032"/>
      <c r="E74" s="1032"/>
      <c r="F74" s="1032"/>
      <c r="G74" s="1032"/>
      <c r="H74" s="1032"/>
    </row>
    <row r="75" spans="1:8" ht="29.45" customHeight="1" x14ac:dyDescent="0.25">
      <c r="A75" s="1032" t="s">
        <v>735</v>
      </c>
      <c r="B75" s="1032"/>
      <c r="C75" s="1032"/>
      <c r="D75" s="1032"/>
      <c r="E75" s="1032"/>
      <c r="F75" s="1032"/>
      <c r="G75" s="1032"/>
      <c r="H75" s="1032"/>
    </row>
  </sheetData>
  <sheetProtection algorithmName="SHA-512" hashValue="/RgX+k7POLpUGwZEIHzccyX08tZt104myYUdp3iQcUtwrL++bnBOMi7vGQq0fjTxukf8wXVkAvaBN6E7ysSrPA==" saltValue="W9xZNtqvS+bDWI9+sH0UXQ==" spinCount="100000" sheet="1" scenarios="1" formatCells="0" sort="0" autoFilter="0" pivotTables="0"/>
  <mergeCells count="13">
    <mergeCell ref="A1:C1"/>
    <mergeCell ref="A4:H4"/>
    <mergeCell ref="I1:K1"/>
    <mergeCell ref="I4:P4"/>
    <mergeCell ref="A74:H74"/>
    <mergeCell ref="A75:H75"/>
    <mergeCell ref="A27:H27"/>
    <mergeCell ref="A29:H29"/>
    <mergeCell ref="A42:H42"/>
    <mergeCell ref="A44:H44"/>
    <mergeCell ref="A57:H57"/>
    <mergeCell ref="A58:H58"/>
    <mergeCell ref="A60:H60"/>
  </mergeCells>
  <hyperlinks>
    <hyperlink ref="A2" location="'Table of Contents'!A1" display="Back to Table of Contents" xr:uid="{00000000-0004-0000-6C00-000000000000}"/>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ation" ma:contentTypeID="0x0101004D3BEEE8C71E0441ABCD602B2883CF2303002F0AEBBF2B74A8408CFDD78D345B4A87" ma:contentTypeVersion="42" ma:contentTypeDescription="" ma:contentTypeScope="" ma:versionID="387ac8585603bb813dc819b4c6400b6e">
  <xsd:schema xmlns:xsd="http://www.w3.org/2001/XMLSchema" xmlns:xs="http://www.w3.org/2001/XMLSchema" xmlns:p="http://schemas.microsoft.com/office/2006/metadata/properties" xmlns:ns1="361c438b-452b-4051-9cda-3a6b8527f04f" xmlns:ns3="858ae7c7-9454-45c7-a50c-4c9144226ea3" targetNamespace="http://schemas.microsoft.com/office/2006/metadata/properties" ma:root="true" ma:fieldsID="aa98cf483f0921919feefc817a5de56c" ns1:_="" ns3:_="">
    <xsd:import namespace="361c438b-452b-4051-9cda-3a6b8527f04f"/>
    <xsd:import namespace="858ae7c7-9454-45c7-a50c-4c9144226ea3"/>
    <xsd:element name="properties">
      <xsd:complexType>
        <xsd:sequence>
          <xsd:element name="documentManagement">
            <xsd:complexType>
              <xsd:all>
                <xsd:element ref="ns1:Doc_x0020_Type" minOccurs="0"/>
                <xsd:element ref="ns1:_dlc_DocIdUrl" minOccurs="0"/>
                <xsd:element ref="ns1:Summary" minOccurs="0"/>
                <xsd:element ref="ns1:Document_x0020_Status" minOccurs="0"/>
                <xsd:element ref="ns1:Security_x0020_Classification" minOccurs="0"/>
                <xsd:element ref="ns1:Abbreviation_x0028_s_x0029_" minOccurs="0"/>
                <xsd:element ref="ns1:Version_x0020_Number" minOccurs="0"/>
                <xsd:element ref="ns3:ActivePublishDate" minOccurs="0"/>
                <xsd:element ref="ns3:InitialPublishDate" minOccurs="0"/>
                <xsd:element ref="ns1:Review_x0020_Period" minOccurs="0"/>
                <xsd:element ref="ns3:ProperReviewDate" minOccurs="0"/>
                <xsd:element ref="ns1:Intranet_x0020_content" minOccurs="0"/>
                <xsd:element ref="ns1:Related_x0020_Intranet_x0020_page" minOccurs="0"/>
                <xsd:element ref="ns1:Published_x0020_to_x0020_website" minOccurs="0"/>
                <xsd:element ref="ns1:Publication_x0020_Scheme_x0020_Class" minOccurs="0"/>
                <xsd:element ref="ns1:Sub_x0020_Class_x0020_Heading" minOccurs="0"/>
                <xsd:element ref="ns1:Related_x0020_PDF" minOccurs="0"/>
                <xsd:element ref="ns1:DocumentReadyForApproval" minOccurs="0"/>
                <xsd:element ref="ns1:Delete" minOccurs="0"/>
                <xsd:element ref="ns3:RelatedWebsitePage" minOccurs="0"/>
                <xsd:element ref="ns1:TaxKeywordTaxHTField" minOccurs="0"/>
                <xsd:element ref="ns1:TaxCatchAll" minOccurs="0"/>
                <xsd:element ref="ns3:lcf76f155ced4ddcb4097134ff3c332f" minOccurs="0"/>
                <xsd:element ref="ns1:TaxCatchAllLabel" minOccurs="0"/>
                <xsd:element ref="ns3:MediaServiceSearchProperties" minOccurs="0"/>
                <xsd:element ref="ns3:xPDF" minOccurs="0"/>
                <xsd:element ref="ns1:SharedWithUsers" minOccurs="0"/>
                <xsd:element ref="ns1:SharedWithDetails" minOccurs="0"/>
                <xsd:element ref="ns1:Approver" minOccurs="0"/>
                <xsd:element ref="ns1:k383230df22e4c6daee9d7a3c1495057" minOccurs="0"/>
                <xsd:element ref="ns1:_dlc_DocIdPersistId" minOccurs="0"/>
                <xsd:element ref="ns1:External" minOccurs="0"/>
                <xsd:element ref="ns1:_dlc_DocId" minOccurs="0"/>
                <xsd:element ref="ns3:Effective_x0020_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1c438b-452b-4051-9cda-3a6b8527f04f" elementFormDefault="qualified">
    <xsd:import namespace="http://schemas.microsoft.com/office/2006/documentManagement/types"/>
    <xsd:import namespace="http://schemas.microsoft.com/office/infopath/2007/PartnerControls"/>
    <xsd:element name="Doc_x0020_Type" ma:index="0" nillable="true" ma:displayName="Doc Type" ma:format="Dropdown" ma:internalName="Doc_x0020_Type">
      <xsd:simpleType>
        <xsd:restriction base="dms:Choice">
          <xsd:enumeration value="Awareness Briefing (AB)"/>
          <xsd:enumeration value="Board Paper"/>
          <xsd:enumeration value="Campaign Material"/>
          <xsd:enumeration value="Consultation"/>
          <xsd:enumeration value="Control Operating Procedure (COP)"/>
          <xsd:enumeration value="Equality and Human Rights Impact Assessment (EHRIA)"/>
          <xsd:enumeration value="Equipment Information Card (EIC)"/>
          <xsd:enumeration value="Executive Meeting"/>
          <xsd:enumeration value="Form"/>
          <xsd:enumeration value="Framework"/>
          <xsd:enumeration value="Frequently Asked Questions (FAQs)"/>
          <xsd:enumeration value="Frontline Update (FU)"/>
          <xsd:enumeration value="General Information Note (GIN)"/>
          <xsd:enumeration value="Generic Risk Assessment (GRA)"/>
          <xsd:enumeration value="Guidance"/>
          <xsd:enumeration value="Leaflet / Poster"/>
          <xsd:enumeration value="Magazine / Newsletter"/>
          <xsd:enumeration value="Management Arrangement (MA)"/>
          <xsd:enumeration value="Memorandum of Understanding (MOU)"/>
          <xsd:enumeration value="National Training Standard (NTS)"/>
          <xsd:enumeration value="Operational Aide Memoire (OAM)"/>
          <xsd:enumeration value="Periodic Inspection and Testing Sheet (PIT)"/>
          <xsd:enumeration value="Plan"/>
          <xsd:enumeration value="Policy"/>
          <xsd:enumeration value="Policy and Operational Guidance (POG)"/>
          <xsd:enumeration value="Presentation"/>
          <xsd:enumeration value="Privacy Notice"/>
          <xsd:enumeration value="Procedure"/>
          <xsd:enumeration value="Report"/>
          <xsd:enumeration value="Risk Assessment"/>
          <xsd:enumeration value="Risk Information Card"/>
          <xsd:enumeration value="Risk Register"/>
          <xsd:enumeration value="Safe System of Work (SSOW)"/>
          <xsd:enumeration value="Standard Operating Procedure (SOP)"/>
          <xsd:enumeration value="Strategy"/>
          <xsd:enumeration value="Structure"/>
          <xsd:enumeration value="Task Card"/>
          <xsd:enumeration value="Technical Information Note (TIN)"/>
          <xsd:enumeration value="Template"/>
          <xsd:enumeration value="Terms of Reference (ToR)"/>
          <xsd:enumeration value="Toolkit"/>
          <xsd:enumeration value="Urgent Instruction (UI)"/>
        </xsd:restriction>
      </xsd:simpleType>
    </xsd:element>
    <xsd:element name="_dlc_DocIdUrl" ma:index="1"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ummary" ma:index="4" nillable="true" ma:displayName="Summary" ma:internalName="Summary" ma:readOnly="false">
      <xsd:simpleType>
        <xsd:restriction base="dms:Note">
          <xsd:maxLength value="255"/>
        </xsd:restriction>
      </xsd:simpleType>
    </xsd:element>
    <xsd:element name="Document_x0020_Status" ma:index="6" nillable="true" ma:displayName="Document Status" ma:default="Unpublished" ma:format="Dropdown" ma:indexed="true" ma:internalName="Document_x0020_Status" ma:readOnly="false">
      <xsd:simpleType>
        <xsd:restriction base="dms:Choice">
          <xsd:enumeration value="Unpublished"/>
          <xsd:enumeration value="Out for quality check"/>
          <xsd:enumeration value="Out for approval"/>
          <xsd:enumeration value="Out for familiarization"/>
          <xsd:enumeration value="Ready for publication"/>
          <xsd:enumeration value="Live"/>
        </xsd:restriction>
      </xsd:simpleType>
    </xsd:element>
    <xsd:element name="Security_x0020_Classification" ma:index="7" nillable="true" ma:displayName="Security Classification" ma:default="Official" ma:format="Dropdown" ma:internalName="Security_x0020_Classification" ma:readOnly="false">
      <xsd:simpleType>
        <xsd:restriction base="dms:Choice">
          <xsd:enumeration value="Official"/>
          <xsd:enumeration value="Official Internal"/>
        </xsd:restriction>
      </xsd:simpleType>
    </xsd:element>
    <xsd:element name="Abbreviation_x0028_s_x0029_" ma:index="8" nillable="true" ma:displayName="Abbreviation(s)" ma:list="{cb5a0069-96fc-49cd-a8ec-b11d3665ab89}" ma:internalName="Abbreviation_x0028_s_x0029_" ma:readOnly="false" ma:showField="Full_x0020_Title"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Version_x0020_Number" ma:index="10" nillable="true" ma:displayName="Version Number" ma:decimals="2" ma:internalName="Version_x0020_Number" ma:percentage="FALSE">
      <xsd:simpleType>
        <xsd:restriction base="dms:Number"/>
      </xsd:simpleType>
    </xsd:element>
    <xsd:element name="Review_x0020_Period" ma:index="13" nillable="true" ma:displayName="Review Period" ma:default="3 years" ma:format="Dropdown" ma:internalName="Review_x0020_Period" ma:readOnly="false">
      <xsd:simpleType>
        <xsd:restriction base="dms:Choice">
          <xsd:enumeration value="3 months"/>
          <xsd:enumeration value="6 months"/>
          <xsd:enumeration value="1 year"/>
          <xsd:enumeration value="3 years"/>
          <xsd:enumeration value="5 years"/>
        </xsd:restriction>
      </xsd:simpleType>
    </xsd:element>
    <xsd:element name="Intranet_x0020_content" ma:index="16" nillable="true" ma:displayName="Intranet content" ma:default="0" ma:indexed="true" ma:internalName="Intranet_x0020_content" ma:readOnly="false">
      <xsd:simpleType>
        <xsd:restriction base="dms:Boolean"/>
      </xsd:simpleType>
    </xsd:element>
    <xsd:element name="Related_x0020_Intranet_x0020_page" ma:index="17" nillable="true" ma:displayName="Related Intranet page" ma:format="Hyperlink" ma:internalName="Related_x0020_Intranet_x0020_p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ublished_x0020_to_x0020_website" ma:index="18" nillable="true" ma:displayName="Published to website" ma:default="0" ma:indexed="true" ma:internalName="Published_x0020_to_x0020_website">
      <xsd:simpleType>
        <xsd:restriction base="dms:Boolean"/>
      </xsd:simpleType>
    </xsd:element>
    <xsd:element name="Publication_x0020_Scheme_x0020_Class" ma:index="19" nillable="true" ma:displayName="Publication Scheme Class" ma:format="Dropdown" ma:internalName="Publication_x0020_Scheme_x0020_Class" ma:readOnly="false">
      <xsd:simpleType>
        <xsd:restriction base="dms:Choice">
          <xsd:enumeration value="About SFRS"/>
          <xsd:enumeration value="How we are performing"/>
          <xsd:enumeration value="How we deliver our functions and services"/>
          <xsd:enumeration value="How we manage our human, physical and information resources"/>
          <xsd:enumeration value="How we procure goods and services from external providers"/>
          <xsd:enumeration value="How we take decisions and what we have decided"/>
          <xsd:enumeration value="What we spend and how we spend it"/>
          <xsd:enumeration value="Our commercial publications"/>
          <xsd:enumeration value="Our open data"/>
        </xsd:restriction>
      </xsd:simpleType>
    </xsd:element>
    <xsd:element name="Sub_x0020_Class_x0020_Heading" ma:index="20" nillable="true" ma:displayName="Sub Class Heading" ma:format="Dropdown" ma:internalName="Sub_x0020_Class_x0020_Heading" ma:readOnly="false">
      <xsd:simpleType>
        <xsd:restriction base="dms:Choice">
          <xsd:enumeration value="External relations/Working with others"/>
          <xsd:enumeration value="Functions"/>
          <xsd:enumeration value="General Information about SFRS"/>
          <xsd:enumeration value="Governance and Accountability/ Corporate planning"/>
          <xsd:enumeration value="How we are run"/>
          <xsd:enumeration value="Human resources"/>
          <xsd:enumeration value="Information resources"/>
          <xsd:enumeration value="Physical resources"/>
          <xsd:enumeration value="Services"/>
        </xsd:restriction>
      </xsd:simpleType>
    </xsd:element>
    <xsd:element name="Related_x0020_PDF" ma:index="22" nillable="true" ma:displayName="Related PDF" ma:format="Hyperlink" ma:internalName="Related_x0020_PDF"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DocumentReadyForApproval" ma:index="24" nillable="true" ma:displayName="Document ready to progress" ma:default="0" ma:internalName="DocumentReadyForApproval">
      <xsd:simpleType>
        <xsd:restriction base="dms:Boolean"/>
      </xsd:simpleType>
    </xsd:element>
    <xsd:element name="Delete" ma:index="25" nillable="true" ma:displayName="Withdraw" ma:default="0" ma:internalName="Delete" ma:readOnly="false">
      <xsd:simpleType>
        <xsd:restriction base="dms:Boolean"/>
      </xsd:simpleType>
    </xsd:element>
    <xsd:element name="TaxKeywordTaxHTField" ma:index="27" nillable="true" ma:taxonomy="true" ma:internalName="TaxKeywordTaxHTField" ma:taxonomyFieldName="TaxKeyword" ma:displayName="Enterprise Keywords" ma:readOnly="false" ma:fieldId="{23f27201-bee3-471e-b2e7-b64fd8b7ca38}" ma:taxonomyMulti="true" ma:sspId="b512196b-5a0a-432a-bb17-e1b4922fa624" ma:termSetId="00000000-0000-0000-0000-000000000000" ma:anchorId="00000000-0000-0000-0000-000000000000" ma:open="true" ma:isKeyword="true">
      <xsd:complexType>
        <xsd:sequence>
          <xsd:element ref="pc:Terms" minOccurs="0" maxOccurs="1"/>
        </xsd:sequence>
      </xsd:complexType>
    </xsd:element>
    <xsd:element name="TaxCatchAll" ma:index="28" nillable="true" ma:displayName="Taxonomy Catch All Column" ma:hidden="true" ma:list="{27df03d8-9a97-46e6-9e9c-10932c826c7e}" ma:internalName="TaxCatchAll" ma:readOnly="false" ma:showField="CatchAllData"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hidden="true" ma:list="{27df03d8-9a97-46e6-9e9c-10932c826c7e}" ma:internalName="TaxCatchAllLabel" ma:readOnly="false" ma:showField="CatchAllDataLabel"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SharedWithUsers" ma:index="39"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0" nillable="true" ma:displayName="Shared With Details" ma:hidden="true" ma:internalName="SharedWithDetails" ma:readOnly="true">
      <xsd:simpleType>
        <xsd:restriction base="dms:Note"/>
      </xsd:simpleType>
    </xsd:element>
    <xsd:element name="Approver" ma:index="41" nillable="true" ma:displayName="Approver" ma:hidden="true" ma:list="UserInfo" ma:SharePointGroup="0" ma:internalName="Approv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383230df22e4c6daee9d7a3c1495057" ma:index="43" nillable="true" ma:taxonomy="true" ma:internalName="k383230df22e4c6daee9d7a3c1495057" ma:taxonomyFieldName="Directorate" ma:displayName="Directorate" ma:readOnly="false" ma:default="" ma:fieldId="{4383230d-f22e-4c6d-aee9-d7a3c1495057}" ma:taxonomyMulti="true" ma:sspId="b512196b-5a0a-432a-bb17-e1b4922fa624" ma:termSetId="118f2308-ed62-41c1-a4cd-b6e6f40956a9" ma:anchorId="00000000-0000-0000-0000-000000000000" ma:open="false" ma:isKeyword="false">
      <xsd:complexType>
        <xsd:sequence>
          <xsd:element ref="pc:Terms" minOccurs="0" maxOccurs="1"/>
        </xsd:sequence>
      </xsd:complexType>
    </xsd:element>
    <xsd:element name="_dlc_DocIdPersistId" ma:index="44" nillable="true" ma:displayName="Persist ID" ma:description="Keep ID on add." ma:hidden="true" ma:internalName="_dlc_DocIdPersistId" ma:readOnly="false">
      <xsd:simpleType>
        <xsd:restriction base="dms:Boolean"/>
      </xsd:simpleType>
    </xsd:element>
    <xsd:element name="External" ma:index="45" nillable="true" ma:displayName="External" ma:default="0" ma:hidden="true" ma:indexed="true" ma:internalName="External">
      <xsd:simpleType>
        <xsd:restriction base="dms:Boolean"/>
      </xsd:simpleType>
    </xsd:element>
    <xsd:element name="_dlc_DocId" ma:index="46" nillable="true" ma:displayName="Document ID Value" ma:description="The value of the document ID assigned to this item." ma:hidden="true" ma:indexed="true" ma:internalName="_dlc_DocId"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8ae7c7-9454-45c7-a50c-4c9144226ea3" elementFormDefault="qualified">
    <xsd:import namespace="http://schemas.microsoft.com/office/2006/documentManagement/types"/>
    <xsd:import namespace="http://schemas.microsoft.com/office/infopath/2007/PartnerControls"/>
    <xsd:element name="ActivePublishDate" ma:index="11" nillable="true" ma:displayName="Active Publish Date" ma:format="DateOnly" ma:indexed="true" ma:internalName="ActivePublishDate">
      <xsd:simpleType>
        <xsd:restriction base="dms:DateTime"/>
      </xsd:simpleType>
    </xsd:element>
    <xsd:element name="InitialPublishDate" ma:index="12" nillable="true" ma:displayName="Initial Publish Date" ma:default="[today]" ma:format="DateOnly" ma:internalName="InitialPublishDate">
      <xsd:simpleType>
        <xsd:restriction base="dms:DateTime"/>
      </xsd:simpleType>
    </xsd:element>
    <xsd:element name="ProperReviewDate" ma:index="15" nillable="true" ma:displayName="Proper Review Date" ma:format="DateOnly" ma:indexed="true" ma:internalName="ProperReviewDate">
      <xsd:simpleType>
        <xsd:restriction base="dms:DateTime"/>
      </xsd:simpleType>
    </xsd:element>
    <xsd:element name="RelatedWebsitePage" ma:index="26" nillable="true" ma:displayName="Related Website Page" ma:format="Hyperlink" ma:internalName="RelatedWebsiteP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29" nillable="true" ma:displayName="Image Tags_0" ma:hidden="true" ma:internalName="lcf76f155ced4ddcb4097134ff3c332f" ma:readOnly="false">
      <xsd:simpleType>
        <xsd:restriction base="dms:Note"/>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xPDF" ma:index="38" nillable="true" ma:displayName="xPDF" ma:default="0" ma:format="Dropdown" ma:hidden="true" ma:internalName="xPDF" ma:readOnly="false">
      <xsd:simpleType>
        <xsd:restriction base="dms:Boolean"/>
      </xsd:simpleType>
    </xsd:element>
    <xsd:element name="Effective_x0020_Date" ma:index="47" nillable="true" ma:displayName="Effective Date" ma:default="2000-01-01T00:00:00Z" ma:format="DateOnly" ma:internalName="Effective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ma:index="23"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b 5 a 5 9 3 b e - b 7 6 e - 4 1 d 4 - b e f 5 - f 7 a 3 2 7 5 c 8 6 b 1 "   x m l n s = " h t t p : / / s c h e m a s . m i c r o s o f t . c o m / D a t a M a s h u p " > A A A A A B Y D A A B Q S w M E F A A C A A g A G 1 s W W f Y S c a i m A A A A 9 g A A A B I A H A B D b 2 5 m a W c v U G F j a 2 F n Z S 5 4 b W w g o h g A K K A U A A A A A A A A A A A A A A A A A A A A A A A A A A A A h Y 8 x D o I w G I W v Q r r T l h K j I T 8 l 0 c F F E h M T 4 9 q U C o 1 Q D C 2 W u z l 4 J K 8 g R l E 3 x / e 9 b 3 j v f r 1 B N j R 1 c F G d 1 a 1 J U Y Q p C p S R b a F N m a L e H c M F y j h s h T y J U g W j b G w y 2 C J F l X P n h B D v P f Y x b r u S M E o j c s g 3 O 1 m p R q C P r P / L o T b W C S M V 4 r B / j e E M R z H F M z b H F M g E I d f m K 7 B x 7 7 P 9 g b D q a 9 d 3 i i s T r p d A p g j k / Y E / A F B L A w Q U A A I A C A A b W x Z 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1 s W W S i K R 7 g O A A A A E Q A A A B M A H A B G b 3 J t d W x h c y 9 T Z W N 0 a W 9 u M S 5 t I K I Y A C i g F A A A A A A A A A A A A A A A A A A A A A A A A A A A A C t O T S 7 J z M 9 T C I b Q h t Y A U E s B A i 0 A F A A C A A g A G 1 s W W f Y S c a i m A A A A 9 g A A A B I A A A A A A A A A A A A A A A A A A A A A A E N v b m Z p Z y 9 Q Y W N r Y W d l L n h t b F B L A Q I t A B Q A A g A I A B t b F l k P y u m r p A A A A O k A A A A T A A A A A A A A A A A A A A A A A P I A A A B b Q 2 9 u d G V u d F 9 U e X B l c 1 0 u e G 1 s U E s B A i 0 A F A A C A A g A G 1 s W W S 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M X v o S k K j 9 h A r 5 B B z m w c r P Q A A A A A A g A A A A A A A 2 Y A A M A A A A A Q A A A A Q f X p i J G G r 5 j a j B G o Y a a 7 d A A A A A A E g A A A o A A A A B A A A A A i b z o C L i m r 4 Q 0 G z 2 f o x b r w U A A A A D y 6 B g K 4 b S 6 N D Y a A f + i a L o U q 7 N O B m 9 u L X M y c I X n Z Y 1 i w E Y s 9 t p b s 3 I V Q b a f 5 J L 9 c a S p o 6 t s S O a Q 4 + r B Q 1 u 5 2 g I C x d O 4 S S 2 P n 7 a e 5 u Z 2 2 O 8 u A F A A A A F X o b Y K + S E 7 i Z Y X E 0 j q O s q P 4 0 N 8 7 < / D a t a M a s h u p > 
</file>

<file path=customXml/item4.xml><?xml version="1.0" encoding="utf-8"?>
<p:properties xmlns:p="http://schemas.microsoft.com/office/2006/metadata/properties" xmlns:xsi="http://www.w3.org/2001/XMLSchema-instance" xmlns:pc="http://schemas.microsoft.com/office/infopath/2007/PartnerControls">
  <documentManagement>
    <Version_x0020_Number xmlns="361c438b-452b-4051-9cda-3a6b8527f04f">2</Version_x0020_Number>
    <Published_x0020_to_x0020_website xmlns="361c438b-452b-4051-9cda-3a6b8527f04f">true</Published_x0020_to_x0020_website>
    <_dlc_DocId xmlns="361c438b-452b-4051-9cda-3a6b8527f04f">CORPDL-747745404-7950</_dlc_DocId>
    <_dlc_DocIdPersistId xmlns="361c438b-452b-4051-9cda-3a6b8527f04f" xsi:nil="true"/>
    <Abbreviation_x0028_s_x0029_ xmlns="361c438b-452b-4051-9cda-3a6b8527f04f">
      <Value>1115</Value>
      <Value>492</Value>
      <Value>132</Value>
      <Value>866</Value>
    </Abbreviation_x0028_s_x0029_>
    <Effective_x0020_Date xmlns="858ae7c7-9454-45c7-a50c-4c9144226ea3">2024-08-29T23:00:00+00:00</Effective_x0020_Date>
    <TaxCatchAll xmlns="361c438b-452b-4051-9cda-3a6b8527f04f">
      <Value>2077</Value>
    </TaxCatchAll>
    <Publication_x0020_Scheme_x0020_Class xmlns="361c438b-452b-4051-9cda-3a6b8527f04f">How we manage our human, physical and information resources</Publication_x0020_Scheme_x0020_Class>
    <DocumentReadyForApproval xmlns="361c438b-452b-4051-9cda-3a6b8527f04f">false</DocumentReadyForApproval>
    <External xmlns="361c438b-452b-4051-9cda-3a6b8527f04f">true</External>
    <Security_x0020_Classification xmlns="361c438b-452b-4051-9cda-3a6b8527f04f">Official</Security_x0020_Classification>
    <ActivePublishDate xmlns="858ae7c7-9454-45c7-a50c-4c9144226ea3">2024-08-29T23:00:00+00:00</ActivePublishDate>
    <Related_x0020_PDF xmlns="361c438b-452b-4051-9cda-3a6b8527f04f">
      <Url xsi:nil="true"/>
      <Description xsi:nil="true"/>
    </Related_x0020_PDF>
    <Doc_x0020_Type xmlns="361c438b-452b-4051-9cda-3a6b8527f04f">Report</Doc_x0020_Type>
    <RelatedWebsitePage xmlns="858ae7c7-9454-45c7-a50c-4c9144226ea3">
      <Url xsi:nil="true"/>
      <Description xsi:nil="true"/>
    </RelatedWebsitePage>
    <Intranet_x0020_content xmlns="361c438b-452b-4051-9cda-3a6b8527f04f">true</Intranet_x0020_content>
    <TaxKeywordTaxHTField xmlns="361c438b-452b-4051-9cda-3a6b8527f04f">
      <Terms xmlns="http://schemas.microsoft.com/office/infopath/2007/PartnerControls"/>
    </TaxKeywordTaxHTField>
    <k383230df22e4c6daee9d7a3c1495057 xmlns="361c438b-452b-4051-9cda-3a6b8527f04f">
      <Terms xmlns="http://schemas.microsoft.com/office/infopath/2007/PartnerControls">
        <TermInfo xmlns="http://schemas.microsoft.com/office/infopath/2007/PartnerControls">
          <TermName xmlns="http://schemas.microsoft.com/office/infopath/2007/PartnerControls">Strategic Planning, Performance and Communications (SPPC)</TermName>
          <TermId xmlns="http://schemas.microsoft.com/office/infopath/2007/PartnerControls">c9dfca0c-2d79-4a95-9878-54827f0e6791</TermId>
        </TermInfo>
      </Terms>
    </k383230df22e4c6daee9d7a3c1495057>
    <Delete xmlns="361c438b-452b-4051-9cda-3a6b8527f04f">false</Delete>
    <Review_x0020_Period xmlns="361c438b-452b-4051-9cda-3a6b8527f04f">3 years</Review_x0020_Period>
    <ProperReviewDate xmlns="858ae7c7-9454-45c7-a50c-4c9144226ea3">2027-08-29T23:00:00+00:00</ProperReviewDate>
    <Sub_x0020_Class_x0020_Heading xmlns="361c438b-452b-4051-9cda-3a6b8527f04f">Information resources</Sub_x0020_Class_x0020_Heading>
    <TaxCatchAllLabel xmlns="361c438b-452b-4051-9cda-3a6b8527f04f" xsi:nil="true"/>
    <Approver xmlns="361c438b-452b-4051-9cda-3a6b8527f04f">
      <UserInfo>
        <DisplayName/>
        <AccountId xsi:nil="true"/>
        <AccountType/>
      </UserInfo>
    </Approver>
    <Document_x0020_Status xmlns="361c438b-452b-4051-9cda-3a6b8527f04f">Live</Document_x0020_Status>
    <Related_x0020_Intranet_x0020_page xmlns="361c438b-452b-4051-9cda-3a6b8527f04f">
      <Url xsi:nil="true"/>
      <Description xsi:nil="true"/>
    </Related_x0020_Intranet_x0020_page>
    <xPDF xmlns="858ae7c7-9454-45c7-a50c-4c9144226ea3">false</xPDF>
    <_dlc_DocIdUrl xmlns="361c438b-452b-4051-9cda-3a6b8527f04f">
      <Url>https://firescotland.sharepoint.com/sites/SFRSDocumentLibrary/_layouts/15/DocIdRedir.aspx?ID=CORPDL-747745404-7950</Url>
      <Description>CORPDL-747745404-7950</Description>
    </_dlc_DocIdUrl>
    <InitialPublishDate xmlns="858ae7c7-9454-45c7-a50c-4c9144226ea3">2024-08-29T23:00:00+00:00</InitialPublishDate>
    <lcf76f155ced4ddcb4097134ff3c332f xmlns="858ae7c7-9454-45c7-a50c-4c9144226ea3" xsi:nil="true"/>
    <Summary xmlns="361c438b-452b-4051-9cda-3a6b8527f04f" xsi:nil="true"/>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4E9E009-6DEB-42A3-9FD6-F3CD8CE12167}">
  <ds:schemaRefs>
    <ds:schemaRef ds:uri="http://schemas.microsoft.com/sharepoint/v3/contenttype/forms"/>
  </ds:schemaRefs>
</ds:datastoreItem>
</file>

<file path=customXml/itemProps2.xml><?xml version="1.0" encoding="utf-8"?>
<ds:datastoreItem xmlns:ds="http://schemas.openxmlformats.org/officeDocument/2006/customXml" ds:itemID="{4E946853-9AF9-4317-AA44-69919A09A3F4}"/>
</file>

<file path=customXml/itemProps3.xml><?xml version="1.0" encoding="utf-8"?>
<ds:datastoreItem xmlns:ds="http://schemas.openxmlformats.org/officeDocument/2006/customXml" ds:itemID="{114DF623-7076-4293-92C0-78BE711ACB03}">
  <ds:schemaRefs>
    <ds:schemaRef ds:uri="http://schemas.microsoft.com/DataMashup"/>
  </ds:schemaRefs>
</ds:datastoreItem>
</file>

<file path=customXml/itemProps4.xml><?xml version="1.0" encoding="utf-8"?>
<ds:datastoreItem xmlns:ds="http://schemas.openxmlformats.org/officeDocument/2006/customXml" ds:itemID="{073B2A45-904E-4275-8BD8-243012F2BE83}">
  <ds:schemaRefs>
    <ds:schemaRef ds:uri="http://purl.org/dc/elements/1.1/"/>
    <ds:schemaRef ds:uri="http://purl.org/dc/dcmitype/"/>
    <ds:schemaRef ds:uri="http://schemas.microsoft.com/office/infopath/2007/PartnerControls"/>
    <ds:schemaRef ds:uri="2fde2ac3-82aa-4683-bf24-3cc3e0b52b56"/>
    <ds:schemaRef ds:uri="http://schemas.openxmlformats.org/package/2006/metadata/core-properties"/>
    <ds:schemaRef ds:uri="http://schemas.microsoft.com/office/2006/metadata/properties"/>
    <ds:schemaRef ds:uri="http://schemas.microsoft.com/office/2006/documentManagement/types"/>
    <ds:schemaRef ds:uri="45129c51-feb3-4a04-82af-cefecb3ce0d1"/>
    <ds:schemaRef ds:uri="http://www.w3.org/XML/1998/namespace"/>
    <ds:schemaRef ds:uri="http://purl.org/dc/terms/"/>
  </ds:schemaRefs>
</ds:datastoreItem>
</file>

<file path=customXml/itemProps5.xml><?xml version="1.0" encoding="utf-8"?>
<ds:datastoreItem xmlns:ds="http://schemas.openxmlformats.org/officeDocument/2006/customXml" ds:itemID="{A25D44C4-959E-4945-A3E2-AE0174B8C7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188</vt:i4>
      </vt:variant>
      <vt:variant>
        <vt:lpstr>Named Ranges</vt:lpstr>
      </vt:variant>
      <vt:variant>
        <vt:i4>4</vt:i4>
      </vt:variant>
    </vt:vector>
  </HeadingPairs>
  <TitlesOfParts>
    <vt:vector size="192" baseType="lpstr">
      <vt:lpstr>Information</vt:lpstr>
      <vt:lpstr>Table of Contents</vt:lpstr>
      <vt:lpstr>Structure</vt:lpstr>
      <vt:lpstr>Crewing Model</vt:lpstr>
      <vt:lpstr>Crewing Model - Area</vt:lpstr>
      <vt:lpstr>CrewingModelAreaPivot</vt:lpstr>
      <vt:lpstr>CrewingModelAreaData</vt:lpstr>
      <vt:lpstr>Primary Crewing</vt:lpstr>
      <vt:lpstr>PrimaryCrewingAreaPivot</vt:lpstr>
      <vt:lpstr>PrimaryCrewingAreaData</vt:lpstr>
      <vt:lpstr>Primary Crewing - Area</vt:lpstr>
      <vt:lpstr>Crewing Level</vt:lpstr>
      <vt:lpstr>CapabilitiesData</vt:lpstr>
      <vt:lpstr>CapabilitiesPivot</vt:lpstr>
      <vt:lpstr>Capabilities</vt:lpstr>
      <vt:lpstr>Chart - Station Type</vt:lpstr>
      <vt:lpstr>Chart - Area</vt:lpstr>
      <vt:lpstr>Chart - Map</vt:lpstr>
      <vt:lpstr>VehiclesPivot</vt:lpstr>
      <vt:lpstr>VehiclesData</vt:lpstr>
      <vt:lpstr>Vehicles</vt:lpstr>
      <vt:lpstr>AppliancesLAPivot</vt:lpstr>
      <vt:lpstr>AppliancesLAData</vt:lpstr>
      <vt:lpstr>Appliances LA</vt:lpstr>
      <vt:lpstr>StaffingPivot</vt:lpstr>
      <vt:lpstr>StaffingData</vt:lpstr>
      <vt:lpstr>Staffing</vt:lpstr>
      <vt:lpstr>DutySystemPivot</vt:lpstr>
      <vt:lpstr>DutySystemData</vt:lpstr>
      <vt:lpstr>DutySystem</vt:lpstr>
      <vt:lpstr>dutysystemlapivot</vt:lpstr>
      <vt:lpstr>dutysystemladata</vt:lpstr>
      <vt:lpstr>DutySytem LA</vt:lpstr>
      <vt:lpstr>Department</vt:lpstr>
      <vt:lpstr>geographicpivot</vt:lpstr>
      <vt:lpstr>geographicdata</vt:lpstr>
      <vt:lpstr>Geographic Structure</vt:lpstr>
      <vt:lpstr>smallareapivot</vt:lpstr>
      <vt:lpstr>smallareadata</vt:lpstr>
      <vt:lpstr>Staff - Small Area</vt:lpstr>
      <vt:lpstr>roledata</vt:lpstr>
      <vt:lpstr>rolepivot</vt:lpstr>
      <vt:lpstr>Role</vt:lpstr>
      <vt:lpstr>roledutysystempivot</vt:lpstr>
      <vt:lpstr>roledutysystemdata</vt:lpstr>
      <vt:lpstr>Role DutySystem</vt:lpstr>
      <vt:lpstr>roleareapivot</vt:lpstr>
      <vt:lpstr>roleareadata</vt:lpstr>
      <vt:lpstr>Role - Area</vt:lpstr>
      <vt:lpstr>wtroleareapivot</vt:lpstr>
      <vt:lpstr>wtroleareadata</vt:lpstr>
      <vt:lpstr>WT Role - Area</vt:lpstr>
      <vt:lpstr>rdsroleareapivot</vt:lpstr>
      <vt:lpstr>rdsroleareadata</vt:lpstr>
      <vt:lpstr>RDS Role - Area</vt:lpstr>
      <vt:lpstr>csroledatapivot</vt:lpstr>
      <vt:lpstr>csroleareadata</vt:lpstr>
      <vt:lpstr>CSRoleAreaSupportPivot</vt:lpstr>
      <vt:lpstr>CSRoleAreaSupportData</vt:lpstr>
      <vt:lpstr>C&amp;S Role - Area</vt:lpstr>
      <vt:lpstr>volroleareapivot</vt:lpstr>
      <vt:lpstr>volroleareadata</vt:lpstr>
      <vt:lpstr>Vol Role - Area</vt:lpstr>
      <vt:lpstr>WTFTERoleAreaPivot</vt:lpstr>
      <vt:lpstr>WTFTERoleAreaData</vt:lpstr>
      <vt:lpstr>WT FTE Role - Area</vt:lpstr>
      <vt:lpstr>RDSFTERoleAreaPivot</vt:lpstr>
      <vt:lpstr>RDSFTERoleAreaData</vt:lpstr>
      <vt:lpstr>RDS FTE Role - Area</vt:lpstr>
      <vt:lpstr>CSFTERoleAreaControlPivot</vt:lpstr>
      <vt:lpstr>CSFTERoleAreaControlData</vt:lpstr>
      <vt:lpstr>CSFTERoleAreaSupportPivot</vt:lpstr>
      <vt:lpstr>CSFTERoleAreaSupportData</vt:lpstr>
      <vt:lpstr>C&amp;S FTE Role - Area</vt:lpstr>
      <vt:lpstr>SexTimeseriesPivot</vt:lpstr>
      <vt:lpstr>SexTimeseriesData</vt:lpstr>
      <vt:lpstr>Sex Timeseries</vt:lpstr>
      <vt:lpstr>SexPivot</vt:lpstr>
      <vt:lpstr>SexData</vt:lpstr>
      <vt:lpstr>Sex</vt:lpstr>
      <vt:lpstr>sexandrolepivot</vt:lpstr>
      <vt:lpstr>sexandroledata</vt:lpstr>
      <vt:lpstr>Sex and Role</vt:lpstr>
      <vt:lpstr>FTESexRolePivot</vt:lpstr>
      <vt:lpstr>FTESexRoleData</vt:lpstr>
      <vt:lpstr>FTE Sex and Role</vt:lpstr>
      <vt:lpstr>agepivot</vt:lpstr>
      <vt:lpstr>agedata</vt:lpstr>
      <vt:lpstr>Age</vt:lpstr>
      <vt:lpstr>servicepivot</vt:lpstr>
      <vt:lpstr>servicedata</vt:lpstr>
      <vt:lpstr>Service Length</vt:lpstr>
      <vt:lpstr>EthnicityData</vt:lpstr>
      <vt:lpstr>EthnicityPivot</vt:lpstr>
      <vt:lpstr>Ethnicity</vt:lpstr>
      <vt:lpstr>DisabilityPivot</vt:lpstr>
      <vt:lpstr>DisabilityData</vt:lpstr>
      <vt:lpstr>Disability</vt:lpstr>
      <vt:lpstr>Entrants - Demographics</vt:lpstr>
      <vt:lpstr>EntrantsPivot</vt:lpstr>
      <vt:lpstr>Entrants_Data</vt:lpstr>
      <vt:lpstr>leaversdata</vt:lpstr>
      <vt:lpstr>leaverspivot</vt:lpstr>
      <vt:lpstr>Leavers</vt:lpstr>
      <vt:lpstr>Chart Headcount</vt:lpstr>
      <vt:lpstr>Chart FTE</vt:lpstr>
      <vt:lpstr>Chart Sex</vt:lpstr>
      <vt:lpstr>Chart Age</vt:lpstr>
      <vt:lpstr>Chart Service Length</vt:lpstr>
      <vt:lpstr>AttacksPivot</vt:lpstr>
      <vt:lpstr>AttacksData</vt:lpstr>
      <vt:lpstr>Attacks</vt:lpstr>
      <vt:lpstr>AttacksAreaPivot</vt:lpstr>
      <vt:lpstr>AttacksAreaData</vt:lpstr>
      <vt:lpstr>Attacks - Area</vt:lpstr>
      <vt:lpstr>Chart - Attacks</vt:lpstr>
      <vt:lpstr>Chart - Injuries</vt:lpstr>
      <vt:lpstr>Chart - AttacksMap</vt:lpstr>
      <vt:lpstr>HFSVPivot</vt:lpstr>
      <vt:lpstr>HFSVData</vt:lpstr>
      <vt:lpstr>ReferenceHouseholds</vt:lpstr>
      <vt:lpstr>HFSVs</vt:lpstr>
      <vt:lpstr>DistinctPropertiesPivot</vt:lpstr>
      <vt:lpstr>DistinctPropertiesData</vt:lpstr>
      <vt:lpstr>Distinct Properties</vt:lpstr>
      <vt:lpstr>DistinctPropertPopPivot</vt:lpstr>
      <vt:lpstr>DistinctPropertPopData</vt:lpstr>
      <vt:lpstr>Distinct Propert. Popul.</vt:lpstr>
      <vt:lpstr>ResidentsPivot</vt:lpstr>
      <vt:lpstr>ResidentsData</vt:lpstr>
      <vt:lpstr>ResidentsPercentPivot</vt:lpstr>
      <vt:lpstr>ResidentsPercentData</vt:lpstr>
      <vt:lpstr>Residents</vt:lpstr>
      <vt:lpstr>TenurePivot</vt:lpstr>
      <vt:lpstr>TenureData</vt:lpstr>
      <vt:lpstr>Tenure</vt:lpstr>
      <vt:lpstr>SIMDVisitsPivot</vt:lpstr>
      <vt:lpstr>SIMDVisitsData</vt:lpstr>
      <vt:lpstr>SIMD-Visits</vt:lpstr>
      <vt:lpstr>SIMDAlarmsPivot</vt:lpstr>
      <vt:lpstr>SIMDAlarmsData</vt:lpstr>
      <vt:lpstr>SIMD-Alarms</vt:lpstr>
      <vt:lpstr>SIMD%AlarmPivot</vt:lpstr>
      <vt:lpstr>SIMD%AlarmData</vt:lpstr>
      <vt:lpstr>SIMD-%Alarm</vt:lpstr>
      <vt:lpstr>RuralityPivot</vt:lpstr>
      <vt:lpstr>RuralityData</vt:lpstr>
      <vt:lpstr>Rurality</vt:lpstr>
      <vt:lpstr>HFSVLAPivot</vt:lpstr>
      <vt:lpstr>HFSVLAData</vt:lpstr>
      <vt:lpstr>HFSVs LA</vt:lpstr>
      <vt:lpstr>Outcome LA</vt:lpstr>
      <vt:lpstr>Rate LA</vt:lpstr>
      <vt:lpstr>Chart HFSVs</vt:lpstr>
      <vt:lpstr>Chart Alarms</vt:lpstr>
      <vt:lpstr>Chart Residents</vt:lpstr>
      <vt:lpstr>Chart SIMD</vt:lpstr>
      <vt:lpstr>Chart SIMD Alarms</vt:lpstr>
      <vt:lpstr>Chart SIMD AlarmRate</vt:lpstr>
      <vt:lpstr>Chart SIMD OwnerOcc</vt:lpstr>
      <vt:lpstr>Chart SIMD OwnerYears</vt:lpstr>
      <vt:lpstr>Chart Rurality</vt:lpstr>
      <vt:lpstr>Chart LA</vt:lpstr>
      <vt:lpstr>Chart Map</vt:lpstr>
      <vt:lpstr>Chart Alarms Map</vt:lpstr>
      <vt:lpstr>Chart %Install</vt:lpstr>
      <vt:lpstr>Workflows</vt:lpstr>
      <vt:lpstr>WorkflowsPivot</vt:lpstr>
      <vt:lpstr>WorkflowsData</vt:lpstr>
      <vt:lpstr>Audits</vt:lpstr>
      <vt:lpstr>Audits LA</vt:lpstr>
      <vt:lpstr>auditlapivot</vt:lpstr>
      <vt:lpstr>auditladata</vt:lpstr>
      <vt:lpstr>auditsoutcomepremisespivot</vt:lpstr>
      <vt:lpstr>auditsoutcomepremises</vt:lpstr>
      <vt:lpstr>Audits Outcome</vt:lpstr>
      <vt:lpstr>auditsoutcomeLApivot</vt:lpstr>
      <vt:lpstr>auditsoutcomeLA</vt:lpstr>
      <vt:lpstr>Audits Outcome LA</vt:lpstr>
      <vt:lpstr>NoticesPivot</vt:lpstr>
      <vt:lpstr>NoticesData</vt:lpstr>
      <vt:lpstr>Notices</vt:lpstr>
      <vt:lpstr>riskpivot</vt:lpstr>
      <vt:lpstr>riskdata</vt:lpstr>
      <vt:lpstr>Risk</vt:lpstr>
      <vt:lpstr>Chart Workflows</vt:lpstr>
      <vt:lpstr>Chart Audits</vt:lpstr>
      <vt:lpstr>Chart Audit Share</vt:lpstr>
      <vt:lpstr>'Geographic Structure'!Print_Area</vt:lpstr>
      <vt:lpstr>Information!Print_Area</vt:lpstr>
      <vt:lpstr>'Rate LA'!Print_Area</vt:lpstr>
      <vt:lpstr>Staffing!Print_Area</vt:lpstr>
    </vt:vector>
  </TitlesOfParts>
  <Company>Scottish Fire and Rescue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 Safety and Organisational Statistics, 2023-2024, Tables and Charts</dc:title>
  <dc:creator>Welsh, Gregor</dc:creator>
  <cp:lastModifiedBy>Allan, Morag</cp:lastModifiedBy>
  <cp:lastPrinted>2018-08-15T17:19:41Z</cp:lastPrinted>
  <dcterms:created xsi:type="dcterms:W3CDTF">2018-07-05T11:22:21Z</dcterms:created>
  <dcterms:modified xsi:type="dcterms:W3CDTF">2024-08-30T13:46:47Z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0x0101004D3BEEE8C71E0441ABCD602B2883CF2303002F0AEBBF2B74A8408CFDD78D345B4A87</vt:lpwstr>
  </property>
  <property fmtid="{D5CDD505-2E9C-101B-9397-08002B2CF9AE}" pid="3" name="TaxKeyword">
    <vt:lpwstr/>
  </property>
  <property fmtid="{D5CDD505-2E9C-101B-9397-08002B2CF9AE}" pid="4" name="MediaServiceImageTags">
    <vt:lpwstr/>
  </property>
  <property fmtid="{D5CDD505-2E9C-101B-9397-08002B2CF9AE}" pid="5" name="_dlc_DocIdItemGuid">
    <vt:lpwstr>6e74ef75-8903-413d-a40b-29756a4c6d08</vt:lpwstr>
  </property>
  <property fmtid="{D5CDD505-2E9C-101B-9397-08002B2CF9AE}" pid="6" name="Comments">
    <vt:lpwstr>OK to publish</vt:lpwstr>
  </property>
  <property fmtid="{D5CDD505-2E9C-101B-9397-08002B2CF9AE}" pid="7" name="Directorate">
    <vt:lpwstr>2077;#Strategic Planning, Performance and Communications (SPPC)|c9dfca0c-2d79-4a95-9878-54827f0e6791</vt:lpwstr>
  </property>
</Properties>
</file>